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hidePivotFieldList="1"/>
  <mc:AlternateContent xmlns:mc="http://schemas.openxmlformats.org/markup-compatibility/2006">
    <mc:Choice Requires="x15">
      <x15ac:absPath xmlns:x15ac="http://schemas.microsoft.com/office/spreadsheetml/2010/11/ac" url="https://maynardseuropegmbh.sharepoint.com/sites/INTERN/PROJEKTE/B - MD - 803 - BTB Sewing Machine Bulgaria/0002 - PROJECT MANAGEMENT/0002-1 Assets/0002-1-2 Assetlists/"/>
    </mc:Choice>
  </mc:AlternateContent>
  <xr:revisionPtr revIDLastSave="36" documentId="13_ncr:1_{9BAAA3BA-40CC-4CFB-B301-FB82E4407BFD}" xr6:coauthVersionLast="47" xr6:coauthVersionMax="47" xr10:uidLastSave="{A4C9EEFF-F07B-4D7D-A6B9-1E6030819A8F}"/>
  <bookViews>
    <workbookView xWindow="-108" yWindow="-108" windowWidth="23256" windowHeight="12456" tabRatio="777" firstSheet="3" activeTab="3" xr2:uid="{00000000-000D-0000-FFFF-FFFF00000000}"/>
  </bookViews>
  <sheets>
    <sheet name="Апарати" sheetId="3" state="hidden" r:id="rId1"/>
    <sheet name="апарати Мострена бригада" sheetId="7" state="hidden" r:id="rId2"/>
    <sheet name="Обобщен " sheetId="4" state="hidden" r:id="rId3"/>
    <sheet name="Machine park -  BTB 24.04.26" sheetId="10" r:id="rId4"/>
    <sheet name="List of Attachments &amp; Devices" sheetId="35" r:id="rId5"/>
    <sheet name="List of Major Assets" sheetId="37" r:id="rId6"/>
    <sheet name=" машинен парк - България Общо" sheetId="33" state="hidden" r:id="rId7"/>
    <sheet name="Обобщено машинен парк + ст-сти" sheetId="32" state="hidden" r:id="rId8"/>
    <sheet name="Пр-во Русе обобщен" sheetId="28" state="hidden" r:id="rId9"/>
    <sheet name="KУ Русе обобщен" sheetId="25" state="hidden" r:id="rId10"/>
    <sheet name="Мостр. бригада обобщен" sheetId="26" state="hidden" r:id="rId11"/>
    <sheet name="Входящ контрол" sheetId="23" state="hidden" r:id="rId12"/>
    <sheet name="Техн. подготовка" sheetId="29" state="hidden" r:id="rId13"/>
    <sheet name="Пр-во Руйно обобщен" sheetId="27" state="hidden" r:id="rId14"/>
  </sheets>
  <definedNames>
    <definedName name="_xlnm._FilterDatabase" localSheetId="6" hidden="1">' машинен парк - България Общо'!$A$2:$U$905</definedName>
    <definedName name="_xlnm._FilterDatabase" localSheetId="9" hidden="1">'KУ Русе обобщен'!$A$4:$D$42</definedName>
    <definedName name="_xlnm._FilterDatabase" localSheetId="4" hidden="1">'List of Attachments &amp; Devices'!$A$2:$N$361</definedName>
    <definedName name="_xlnm._FilterDatabase" localSheetId="3" hidden="1">'Machine park -  BTB 24.04.26'!$A$2:$J$816</definedName>
    <definedName name="_xlnm._FilterDatabase" localSheetId="0" hidden="1">Апарати!$A$1:$I$109</definedName>
    <definedName name="_xlnm._FilterDatabase" localSheetId="1" hidden="1">'апарати Мострена бригада'!$H$4:$P$72</definedName>
    <definedName name="_xlnm._FilterDatabase" localSheetId="10" hidden="1">'Мостр. бригада обобщен'!$A$4:$D$79</definedName>
    <definedName name="_xlnm._FilterDatabase" localSheetId="2" hidden="1">'Обобщен '!$A$2:$G$52</definedName>
    <definedName name="_xlnm._FilterDatabase" localSheetId="7" hidden="1">'Обобщено машинен парк + ст-сти'!$K$3:$W$234</definedName>
    <definedName name="_xlnm._FilterDatabase" localSheetId="13" hidden="1">'Пр-во Руйно обобщен'!$A$4:$D$130</definedName>
    <definedName name="_xlnm._FilterDatabase" localSheetId="8" hidden="1">'Пр-во Русе обобщен'!$A$4:$D$159</definedName>
    <definedName name="_xlnm._FilterDatabase" localSheetId="12" hidden="1">'Техн. подготовка'!$A$4:$D$33</definedName>
    <definedName name="_xlnm.Print_Area" localSheetId="6">' машинен парк - България Общо'!$A$1:$U$906</definedName>
    <definedName name="_xlnm.Print_Area" localSheetId="3">'Machine park -  BTB 24.04.26'!$A$1:$J$816</definedName>
    <definedName name="_xlnm.Print_Titles" localSheetId="6">' машинен парк - България Общо'!$2:$2</definedName>
    <definedName name="_xlnm.Print_Titles" localSheetId="9">'KУ Русе обобщен'!$4:$4</definedName>
    <definedName name="_xlnm.Print_Titles" localSheetId="3">'Machine park -  BTB 24.04.26'!$2:$2</definedName>
    <definedName name="_xlnm.Print_Titles" localSheetId="11">'Входящ контрол'!$4:$4</definedName>
    <definedName name="_xlnm.Print_Titles" localSheetId="10">'Мостр. бригада обобщен'!$4:$4</definedName>
    <definedName name="_xlnm.Print_Titles" localSheetId="13">'Пр-во Руйно обобщен'!$4:$4</definedName>
    <definedName name="_xlnm.Print_Titles" localSheetId="8">'Пр-во Русе обобщен'!$4:$4</definedName>
    <definedName name="_xlnm.Print_Titles" localSheetId="12">'Техн. подготовка'!$4:$4</definedName>
  </definedNames>
  <calcPr calcId="191029"/>
  <pivotCaches>
    <pivotCache cacheId="0" r:id="rId1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9" i="35" l="1"/>
  <c r="D118" i="35"/>
  <c r="D117" i="35"/>
  <c r="D130" i="27" l="1"/>
  <c r="D128" i="27"/>
  <c r="D126" i="27"/>
  <c r="D121" i="27"/>
  <c r="D117" i="27"/>
  <c r="D115" i="27"/>
  <c r="D111" i="27"/>
  <c r="D100" i="27"/>
  <c r="D98" i="27"/>
  <c r="D96" i="27"/>
  <c r="D94" i="27"/>
  <c r="D90" i="27"/>
  <c r="D88" i="27"/>
  <c r="D86" i="27"/>
  <c r="D83" i="27"/>
  <c r="D78" i="27"/>
  <c r="D76" i="27"/>
  <c r="D71" i="27"/>
  <c r="D69" i="27"/>
  <c r="D67" i="27"/>
  <c r="D65" i="27"/>
  <c r="D62" i="27"/>
  <c r="D57" i="27"/>
  <c r="D50" i="27"/>
  <c r="D45" i="27"/>
  <c r="D41" i="27"/>
  <c r="D35" i="27"/>
  <c r="D33" i="27"/>
  <c r="D131" i="27" s="1"/>
  <c r="D31" i="27"/>
  <c r="D18" i="27"/>
  <c r="D33" i="29"/>
  <c r="D27" i="29"/>
  <c r="D23" i="29"/>
  <c r="D21" i="29"/>
  <c r="D16" i="29"/>
  <c r="D12" i="29"/>
  <c r="D8" i="29"/>
  <c r="D6" i="29"/>
  <c r="D34" i="29" s="1"/>
  <c r="D24" i="23"/>
  <c r="D12" i="23"/>
  <c r="D8" i="23"/>
  <c r="D6" i="23"/>
  <c r="D25" i="23" s="1"/>
  <c r="D79" i="26"/>
  <c r="D77" i="26"/>
  <c r="D71" i="26"/>
  <c r="D68" i="26"/>
  <c r="D60" i="26"/>
  <c r="D57" i="26"/>
  <c r="D54" i="26"/>
  <c r="D50" i="26"/>
  <c r="D48" i="26"/>
  <c r="D44" i="26"/>
  <c r="D42" i="26"/>
  <c r="D40" i="26"/>
  <c r="D38" i="26"/>
  <c r="D36" i="26"/>
  <c r="D32" i="26"/>
  <c r="D29" i="26"/>
  <c r="D27" i="26"/>
  <c r="D22" i="26"/>
  <c r="D11" i="26"/>
  <c r="D80" i="26" s="1"/>
  <c r="D42" i="25"/>
  <c r="D38" i="25"/>
  <c r="D36" i="25"/>
  <c r="D32" i="25"/>
  <c r="D30" i="25"/>
  <c r="D24" i="25"/>
  <c r="D22" i="25"/>
  <c r="D20" i="25"/>
  <c r="D13" i="25"/>
  <c r="D11" i="25"/>
  <c r="D8" i="25"/>
  <c r="D6" i="25"/>
  <c r="D43" i="25" s="1"/>
  <c r="D159" i="28"/>
  <c r="D157" i="28"/>
  <c r="D155" i="28"/>
  <c r="D149" i="28"/>
  <c r="D147" i="28"/>
  <c r="D145" i="28"/>
  <c r="D141" i="28"/>
  <c r="D138" i="28"/>
  <c r="D126" i="28"/>
  <c r="D111" i="28"/>
  <c r="D109" i="28"/>
  <c r="D107" i="28"/>
  <c r="D105" i="28"/>
  <c r="D103" i="28"/>
  <c r="D100" i="28"/>
  <c r="D98" i="28"/>
  <c r="D94" i="28"/>
  <c r="D92" i="28"/>
  <c r="D88" i="28"/>
  <c r="D85" i="28"/>
  <c r="D83" i="28"/>
  <c r="D79" i="28"/>
  <c r="D77" i="28"/>
  <c r="D74" i="28"/>
  <c r="D72" i="28"/>
  <c r="D70" i="28"/>
  <c r="D68" i="28"/>
  <c r="D65" i="28"/>
  <c r="D61" i="28"/>
  <c r="D54" i="28"/>
  <c r="D44" i="28"/>
  <c r="D42" i="28"/>
  <c r="D34" i="28"/>
  <c r="D31" i="28"/>
  <c r="D29" i="28"/>
  <c r="D15" i="28"/>
  <c r="D160" i="28" s="1"/>
  <c r="N249" i="32"/>
  <c r="S233" i="32"/>
  <c r="P233" i="32"/>
  <c r="M233" i="32"/>
  <c r="M234" i="32" s="1"/>
  <c r="L233" i="32"/>
  <c r="S231" i="32"/>
  <c r="P231" i="32"/>
  <c r="M231" i="32"/>
  <c r="L231" i="32"/>
  <c r="S229" i="32"/>
  <c r="P229" i="32"/>
  <c r="M229" i="32"/>
  <c r="L229" i="32"/>
  <c r="S223" i="32"/>
  <c r="P223" i="32"/>
  <c r="M223" i="32"/>
  <c r="L223" i="32"/>
  <c r="S221" i="32"/>
  <c r="P221" i="32"/>
  <c r="M221" i="32"/>
  <c r="L221" i="32"/>
  <c r="S219" i="32"/>
  <c r="P219" i="32"/>
  <c r="M219" i="32"/>
  <c r="L219" i="32"/>
  <c r="S217" i="32"/>
  <c r="P217" i="32"/>
  <c r="M217" i="32"/>
  <c r="L217" i="32"/>
  <c r="S215" i="32"/>
  <c r="P215" i="32"/>
  <c r="M215" i="32"/>
  <c r="L215" i="32"/>
  <c r="S205" i="32"/>
  <c r="P205" i="32"/>
  <c r="M205" i="32"/>
  <c r="L205" i="32"/>
  <c r="S202" i="32"/>
  <c r="P202" i="32"/>
  <c r="M202" i="32"/>
  <c r="L202" i="32"/>
  <c r="S189" i="32"/>
  <c r="P189" i="32"/>
  <c r="M189" i="32"/>
  <c r="L189" i="32"/>
  <c r="S172" i="32"/>
  <c r="P172" i="32"/>
  <c r="M172" i="32"/>
  <c r="L172" i="32"/>
  <c r="S170" i="32"/>
  <c r="P170" i="32"/>
  <c r="M170" i="32"/>
  <c r="L170" i="32"/>
  <c r="S168" i="32"/>
  <c r="P168" i="32"/>
  <c r="M168" i="32"/>
  <c r="L168" i="32"/>
  <c r="S166" i="32"/>
  <c r="P166" i="32"/>
  <c r="M166" i="32"/>
  <c r="L166" i="32"/>
  <c r="S164" i="32"/>
  <c r="P164" i="32"/>
  <c r="M164" i="32"/>
  <c r="L164" i="32"/>
  <c r="S161" i="32"/>
  <c r="P161" i="32"/>
  <c r="M161" i="32"/>
  <c r="L161" i="32"/>
  <c r="S159" i="32"/>
  <c r="P159" i="32"/>
  <c r="M159" i="32"/>
  <c r="L159" i="32"/>
  <c r="S157" i="32"/>
  <c r="P157" i="32"/>
  <c r="M157" i="32"/>
  <c r="L157" i="32"/>
  <c r="S154" i="32"/>
  <c r="P154" i="32"/>
  <c r="M154" i="32"/>
  <c r="L154" i="32"/>
  <c r="S152" i="32"/>
  <c r="P152" i="32"/>
  <c r="M152" i="32"/>
  <c r="L152" i="32"/>
  <c r="S147" i="32"/>
  <c r="P147" i="32"/>
  <c r="M147" i="32"/>
  <c r="L147" i="32"/>
  <c r="S145" i="32"/>
  <c r="P145" i="32"/>
  <c r="M145" i="32"/>
  <c r="L145" i="32"/>
  <c r="S143" i="32"/>
  <c r="P143" i="32"/>
  <c r="M143" i="32"/>
  <c r="L143" i="32"/>
  <c r="S138" i="32"/>
  <c r="P138" i="32"/>
  <c r="M138" i="32"/>
  <c r="L138" i="32"/>
  <c r="S131" i="32"/>
  <c r="P131" i="32"/>
  <c r="M131" i="32"/>
  <c r="L131" i="32"/>
  <c r="S129" i="32"/>
  <c r="P129" i="32"/>
  <c r="M129" i="32"/>
  <c r="L129" i="32"/>
  <c r="S126" i="32"/>
  <c r="P126" i="32"/>
  <c r="M126" i="32"/>
  <c r="L126" i="32"/>
  <c r="S124" i="32"/>
  <c r="P124" i="32"/>
  <c r="M124" i="32"/>
  <c r="L124" i="32"/>
  <c r="S121" i="32"/>
  <c r="P121" i="32"/>
  <c r="M121" i="32"/>
  <c r="L121" i="32"/>
  <c r="S119" i="32"/>
  <c r="P119" i="32"/>
  <c r="M119" i="32"/>
  <c r="L119" i="32"/>
  <c r="S117" i="32"/>
  <c r="P117" i="32"/>
  <c r="M117" i="32"/>
  <c r="L117" i="32"/>
  <c r="S115" i="32"/>
  <c r="P115" i="32"/>
  <c r="M115" i="32"/>
  <c r="L115" i="32"/>
  <c r="S111" i="32"/>
  <c r="P111" i="32"/>
  <c r="M111" i="32"/>
  <c r="L111" i="32"/>
  <c r="S109" i="32"/>
  <c r="P109" i="32"/>
  <c r="M109" i="32"/>
  <c r="L109" i="32"/>
  <c r="S107" i="32"/>
  <c r="P107" i="32"/>
  <c r="M107" i="32"/>
  <c r="L107" i="32"/>
  <c r="S104" i="32"/>
  <c r="P104" i="32"/>
  <c r="M104" i="32"/>
  <c r="L104" i="32"/>
  <c r="S99" i="32"/>
  <c r="P99" i="32"/>
  <c r="M99" i="32"/>
  <c r="L99" i="32"/>
  <c r="S87" i="32"/>
  <c r="P87" i="32"/>
  <c r="M87" i="32"/>
  <c r="L87" i="32"/>
  <c r="S76" i="32"/>
  <c r="P76" i="32"/>
  <c r="M76" i="32"/>
  <c r="L76" i="32"/>
  <c r="S72" i="32"/>
  <c r="P72" i="32"/>
  <c r="M72" i="32"/>
  <c r="L72" i="32"/>
  <c r="S66" i="32"/>
  <c r="P66" i="32"/>
  <c r="M66" i="32"/>
  <c r="L66" i="32"/>
  <c r="S64" i="32"/>
  <c r="P64" i="32"/>
  <c r="M64" i="32"/>
  <c r="L64" i="32"/>
  <c r="S61" i="32"/>
  <c r="P61" i="32"/>
  <c r="M61" i="32"/>
  <c r="L61" i="32"/>
  <c r="S58" i="32"/>
  <c r="P58" i="32"/>
  <c r="M58" i="32"/>
  <c r="L58" i="32"/>
  <c r="S51" i="32"/>
  <c r="P51" i="32"/>
  <c r="M51" i="32"/>
  <c r="L51" i="32"/>
  <c r="S49" i="32"/>
  <c r="P49" i="32"/>
  <c r="M49" i="32"/>
  <c r="L49" i="32"/>
  <c r="S44" i="32"/>
  <c r="P44" i="32"/>
  <c r="M44" i="32"/>
  <c r="L44" i="32"/>
  <c r="S42" i="32"/>
  <c r="P42" i="32"/>
  <c r="M42" i="32"/>
  <c r="L42" i="32"/>
  <c r="S24" i="32"/>
  <c r="P24" i="32"/>
  <c r="M24" i="32"/>
  <c r="L24" i="32"/>
  <c r="R905" i="33"/>
  <c r="Q905" i="33"/>
  <c r="P904" i="33"/>
  <c r="P903" i="33"/>
  <c r="P902" i="33"/>
  <c r="P901" i="33"/>
  <c r="P900" i="33"/>
  <c r="O900" i="33"/>
  <c r="P899" i="33"/>
  <c r="O899" i="33"/>
  <c r="P898" i="33"/>
  <c r="O898" i="33"/>
  <c r="P897" i="33"/>
  <c r="P896" i="33"/>
  <c r="P895" i="33"/>
  <c r="P894" i="33"/>
  <c r="S894" i="33" s="1"/>
  <c r="P893" i="33"/>
  <c r="S892" i="33"/>
  <c r="P892" i="33"/>
  <c r="P891" i="33"/>
  <c r="S890" i="33"/>
  <c r="P890" i="33"/>
  <c r="P889" i="33"/>
  <c r="S889" i="33" s="1"/>
  <c r="P888" i="33"/>
  <c r="P887" i="33"/>
  <c r="P886" i="33"/>
  <c r="P885" i="33"/>
  <c r="P884" i="33"/>
  <c r="S884" i="33" s="1"/>
  <c r="P883" i="33"/>
  <c r="P882" i="33"/>
  <c r="P881" i="33"/>
  <c r="S881" i="33" s="1"/>
  <c r="P880" i="33"/>
  <c r="S880" i="33" s="1"/>
  <c r="P879" i="33"/>
  <c r="P878" i="33"/>
  <c r="P877" i="33"/>
  <c r="P876" i="33"/>
  <c r="P875" i="33"/>
  <c r="S874" i="33"/>
  <c r="P874" i="33"/>
  <c r="P873" i="33"/>
  <c r="P872" i="33"/>
  <c r="P871" i="33"/>
  <c r="P870" i="33"/>
  <c r="P869" i="33"/>
  <c r="P868" i="33"/>
  <c r="S867" i="33"/>
  <c r="P867" i="33"/>
  <c r="P866" i="33"/>
  <c r="S866" i="33" s="1"/>
  <c r="P865" i="33"/>
  <c r="P864" i="33"/>
  <c r="S864" i="33" s="1"/>
  <c r="P863" i="33"/>
  <c r="P862" i="33"/>
  <c r="P861" i="33"/>
  <c r="P860" i="33"/>
  <c r="P859" i="33"/>
  <c r="P858" i="33"/>
  <c r="P857" i="33"/>
  <c r="P856" i="33"/>
  <c r="P855" i="33"/>
  <c r="S855" i="33" s="1"/>
  <c r="P854" i="33"/>
  <c r="P853" i="33"/>
  <c r="P852" i="33"/>
  <c r="S851" i="33"/>
  <c r="P851" i="33"/>
  <c r="S850" i="33"/>
  <c r="P850" i="33"/>
  <c r="P849" i="33"/>
  <c r="P848" i="33"/>
  <c r="P847" i="33"/>
  <c r="P846" i="33"/>
  <c r="P845" i="33"/>
  <c r="P844" i="33"/>
  <c r="P843" i="33"/>
  <c r="P842" i="33"/>
  <c r="P841" i="33"/>
  <c r="P840" i="33"/>
  <c r="P839" i="33"/>
  <c r="P838" i="33"/>
  <c r="S838" i="33" s="1"/>
  <c r="P837" i="33"/>
  <c r="S837" i="33" s="1"/>
  <c r="S836" i="33"/>
  <c r="P836" i="33"/>
  <c r="O835" i="33"/>
  <c r="P835" i="33" s="1"/>
  <c r="P834" i="33"/>
  <c r="P833" i="33"/>
  <c r="P832" i="33"/>
  <c r="P831" i="33"/>
  <c r="P830" i="33"/>
  <c r="S829" i="33"/>
  <c r="P829" i="33"/>
  <c r="S828" i="33"/>
  <c r="P828" i="33"/>
  <c r="P827" i="33"/>
  <c r="P826" i="33"/>
  <c r="P825" i="33"/>
  <c r="P824" i="33"/>
  <c r="P823" i="33"/>
  <c r="P822" i="33"/>
  <c r="P821" i="33"/>
  <c r="P820" i="33"/>
  <c r="S819" i="33"/>
  <c r="P819" i="33"/>
  <c r="P818" i="33"/>
  <c r="P817" i="33"/>
  <c r="P816" i="33"/>
  <c r="P815" i="33"/>
  <c r="P814" i="33"/>
  <c r="P813" i="33"/>
  <c r="S813" i="33" s="1"/>
  <c r="P812" i="33"/>
  <c r="S812" i="33" s="1"/>
  <c r="S811" i="33"/>
  <c r="P811" i="33"/>
  <c r="P810" i="33"/>
  <c r="S810" i="33" s="1"/>
  <c r="P809" i="33"/>
  <c r="S809" i="33" s="1"/>
  <c r="P808" i="33"/>
  <c r="S808" i="33" s="1"/>
  <c r="S807" i="33"/>
  <c r="P807" i="33"/>
  <c r="P806" i="33"/>
  <c r="S806" i="33" s="1"/>
  <c r="P805" i="33"/>
  <c r="P804" i="33"/>
  <c r="P803" i="33"/>
  <c r="S803" i="33" s="1"/>
  <c r="S802" i="33"/>
  <c r="P802" i="33"/>
  <c r="P801" i="33"/>
  <c r="P800" i="33"/>
  <c r="S800" i="33" s="1"/>
  <c r="P799" i="33"/>
  <c r="S799" i="33" s="1"/>
  <c r="P798" i="33"/>
  <c r="P797" i="33"/>
  <c r="P796" i="33"/>
  <c r="P795" i="33"/>
  <c r="P794" i="33"/>
  <c r="P793" i="33"/>
  <c r="P792" i="33"/>
  <c r="P791" i="33"/>
  <c r="P790" i="33"/>
  <c r="P789" i="33"/>
  <c r="P788" i="33"/>
  <c r="P787" i="33"/>
  <c r="P786" i="33"/>
  <c r="P785" i="33"/>
  <c r="P784" i="33"/>
  <c r="P783" i="33"/>
  <c r="P782" i="33"/>
  <c r="P781" i="33"/>
  <c r="P780" i="33"/>
  <c r="P779" i="33"/>
  <c r="P778" i="33"/>
  <c r="P777" i="33"/>
  <c r="P776" i="33"/>
  <c r="P775" i="33"/>
  <c r="P774" i="33"/>
  <c r="P773" i="33"/>
  <c r="P772" i="33"/>
  <c r="P771" i="33"/>
  <c r="P770" i="33"/>
  <c r="P769" i="33"/>
  <c r="P768" i="33"/>
  <c r="P767" i="33"/>
  <c r="P766" i="33"/>
  <c r="S766" i="33" s="1"/>
  <c r="P765" i="33"/>
  <c r="P764" i="33"/>
  <c r="P763" i="33"/>
  <c r="S763" i="33" s="1"/>
  <c r="P762" i="33"/>
  <c r="S761" i="33"/>
  <c r="P761" i="33"/>
  <c r="P760" i="33"/>
  <c r="P759" i="33"/>
  <c r="P758" i="33"/>
  <c r="P757" i="33"/>
  <c r="S756" i="33"/>
  <c r="P756" i="33"/>
  <c r="P755" i="33"/>
  <c r="P754" i="33"/>
  <c r="P753" i="33"/>
  <c r="P752" i="33"/>
  <c r="S752" i="33" s="1"/>
  <c r="O751" i="33"/>
  <c r="O905" i="33" s="1"/>
  <c r="P905" i="33" s="1"/>
  <c r="P750" i="33"/>
  <c r="S749" i="33"/>
  <c r="P749" i="33"/>
  <c r="S748" i="33"/>
  <c r="P748" i="33"/>
  <c r="P747" i="33"/>
  <c r="P746" i="33"/>
  <c r="S746" i="33" s="1"/>
  <c r="P745" i="33"/>
  <c r="S744" i="33"/>
  <c r="P744" i="33"/>
  <c r="S743" i="33"/>
  <c r="P743" i="33"/>
  <c r="P742" i="33"/>
  <c r="P741" i="33"/>
  <c r="P740" i="33"/>
  <c r="P739" i="33"/>
  <c r="S739" i="33" s="1"/>
  <c r="P738" i="33"/>
  <c r="P737" i="33"/>
  <c r="P736" i="33"/>
  <c r="P735" i="33"/>
  <c r="P734" i="33"/>
  <c r="S733" i="33"/>
  <c r="P733" i="33"/>
  <c r="P732" i="33"/>
  <c r="P731" i="33"/>
  <c r="S731" i="33" s="1"/>
  <c r="P730" i="33"/>
  <c r="P729" i="33"/>
  <c r="P728" i="33"/>
  <c r="P727" i="33"/>
  <c r="P726" i="33"/>
  <c r="P725" i="33"/>
  <c r="P724" i="33"/>
  <c r="P723" i="33"/>
  <c r="P722" i="33"/>
  <c r="P721" i="33"/>
  <c r="P720" i="33"/>
  <c r="S719" i="33"/>
  <c r="P719" i="33"/>
  <c r="S718" i="33"/>
  <c r="P718" i="33"/>
  <c r="S717" i="33"/>
  <c r="P717" i="33"/>
  <c r="S716" i="33"/>
  <c r="P716" i="33"/>
  <c r="S715" i="33"/>
  <c r="P715" i="33"/>
  <c r="P714" i="33"/>
  <c r="P713" i="33"/>
  <c r="S713" i="33" s="1"/>
  <c r="P712" i="33"/>
  <c r="S712" i="33" s="1"/>
  <c r="P711" i="33"/>
  <c r="S710" i="33"/>
  <c r="P710" i="33"/>
  <c r="S709" i="33"/>
  <c r="P709" i="33"/>
  <c r="S708" i="33"/>
  <c r="P708" i="33"/>
  <c r="S707" i="33"/>
  <c r="P707" i="33"/>
  <c r="S706" i="33"/>
  <c r="P706" i="33"/>
  <c r="P705" i="33"/>
  <c r="P704" i="33"/>
  <c r="P703" i="33"/>
  <c r="P702" i="33"/>
  <c r="P701" i="33"/>
  <c r="P700" i="33"/>
  <c r="P699" i="33"/>
  <c r="P698" i="33"/>
  <c r="P697" i="33"/>
  <c r="P696" i="33"/>
  <c r="P695" i="33"/>
  <c r="P694" i="33"/>
  <c r="S693" i="33"/>
  <c r="P693" i="33"/>
  <c r="S692" i="33"/>
  <c r="P692" i="33"/>
  <c r="P691" i="33"/>
  <c r="P690" i="33"/>
  <c r="S690" i="33" s="1"/>
  <c r="P689" i="33"/>
  <c r="P688" i="33"/>
  <c r="P687" i="33"/>
  <c r="P686" i="33"/>
  <c r="P685" i="33"/>
  <c r="P684" i="33"/>
  <c r="P683" i="33"/>
  <c r="P682" i="33"/>
  <c r="P681" i="33"/>
  <c r="S680" i="33"/>
  <c r="P680" i="33"/>
  <c r="S679" i="33"/>
  <c r="P679" i="33"/>
  <c r="P678" i="33"/>
  <c r="P677" i="33"/>
  <c r="P676" i="33"/>
  <c r="P675" i="33"/>
  <c r="S675" i="33" s="1"/>
  <c r="P674" i="33"/>
  <c r="P673" i="33"/>
  <c r="P672" i="33"/>
  <c r="S671" i="33"/>
  <c r="P671" i="33"/>
  <c r="S670" i="33"/>
  <c r="P670" i="33"/>
  <c r="S669" i="33"/>
  <c r="P669" i="33"/>
  <c r="S668" i="33"/>
  <c r="P668" i="33"/>
  <c r="S667" i="33"/>
  <c r="P667" i="33"/>
  <c r="P666" i="33"/>
  <c r="P665" i="33"/>
  <c r="P664" i="33"/>
  <c r="P663" i="33"/>
  <c r="P662" i="33"/>
  <c r="P661" i="33"/>
  <c r="P660" i="33"/>
  <c r="P659" i="33"/>
  <c r="P658" i="33"/>
  <c r="P657" i="33"/>
  <c r="P656" i="33"/>
  <c r="P655" i="33"/>
  <c r="P654" i="33"/>
  <c r="P653" i="33"/>
  <c r="S652" i="33"/>
  <c r="P652" i="33"/>
  <c r="P651" i="33"/>
  <c r="P650" i="33"/>
  <c r="S649" i="33"/>
  <c r="P649" i="33"/>
  <c r="P648" i="33"/>
  <c r="P647" i="33"/>
  <c r="P646" i="33"/>
  <c r="P645" i="33"/>
  <c r="S644" i="33"/>
  <c r="P644" i="33"/>
  <c r="S643" i="33"/>
  <c r="P643" i="33"/>
  <c r="P642" i="33"/>
  <c r="P641" i="33"/>
  <c r="S640" i="33"/>
  <c r="P640" i="33"/>
  <c r="S639" i="33"/>
  <c r="P639" i="33"/>
  <c r="P638" i="33"/>
  <c r="P637" i="33"/>
  <c r="S637" i="33" s="1"/>
  <c r="P636" i="33"/>
  <c r="S636" i="33" s="1"/>
  <c r="P635" i="33"/>
  <c r="S634" i="33"/>
  <c r="P634" i="33"/>
  <c r="S633" i="33"/>
  <c r="P633" i="33"/>
  <c r="P632" i="33"/>
  <c r="P631" i="33"/>
  <c r="S631" i="33" s="1"/>
  <c r="P630" i="33"/>
  <c r="S629" i="33"/>
  <c r="P629" i="33"/>
  <c r="P628" i="33"/>
  <c r="P627" i="33"/>
  <c r="S626" i="33"/>
  <c r="P626" i="33"/>
  <c r="S625" i="33"/>
  <c r="P625" i="33"/>
  <c r="S624" i="33"/>
  <c r="P624" i="33"/>
  <c r="P623" i="33"/>
  <c r="P622" i="33"/>
  <c r="P621" i="33"/>
  <c r="P620" i="33"/>
  <c r="S620" i="33" s="1"/>
  <c r="P619" i="33"/>
  <c r="P618" i="33"/>
  <c r="P617" i="33"/>
  <c r="S617" i="33" s="1"/>
  <c r="P616" i="33"/>
  <c r="S616" i="33" s="1"/>
  <c r="P615" i="33"/>
  <c r="S614" i="33"/>
  <c r="P614" i="33"/>
  <c r="S613" i="33"/>
  <c r="P613" i="33"/>
  <c r="S612" i="33"/>
  <c r="P612" i="33"/>
  <c r="P611" i="33"/>
  <c r="P610" i="33"/>
  <c r="S610" i="33" s="1"/>
  <c r="P609" i="33"/>
  <c r="S609" i="33" s="1"/>
  <c r="P608" i="33"/>
  <c r="S608" i="33" s="1"/>
  <c r="P607" i="33"/>
  <c r="S607" i="33" s="1"/>
  <c r="P606" i="33"/>
  <c r="S605" i="33"/>
  <c r="P605" i="33"/>
  <c r="S604" i="33"/>
  <c r="P604" i="33"/>
  <c r="S603" i="33"/>
  <c r="P603" i="33"/>
  <c r="S602" i="33"/>
  <c r="P602" i="33"/>
  <c r="S601" i="33"/>
  <c r="P601" i="33"/>
  <c r="S600" i="33"/>
  <c r="P600" i="33"/>
  <c r="S599" i="33"/>
  <c r="P599" i="33"/>
  <c r="S598" i="33"/>
  <c r="P598" i="33"/>
  <c r="P597" i="33"/>
  <c r="P596" i="33"/>
  <c r="P595" i="33"/>
  <c r="P594" i="33"/>
  <c r="P593" i="33"/>
  <c r="P592" i="33"/>
  <c r="P591" i="33"/>
  <c r="P590" i="33"/>
  <c r="S590" i="33" s="1"/>
  <c r="P589" i="33"/>
  <c r="P588" i="33"/>
  <c r="P587" i="33"/>
  <c r="P586" i="33"/>
  <c r="P585" i="33"/>
  <c r="P584" i="33"/>
  <c r="P583" i="33"/>
  <c r="P582" i="33"/>
  <c r="P581" i="33"/>
  <c r="P580" i="33"/>
  <c r="P579" i="33"/>
  <c r="S579" i="33" s="1"/>
  <c r="P578" i="33"/>
  <c r="P577" i="33"/>
  <c r="P576" i="33"/>
  <c r="P575" i="33"/>
  <c r="P574" i="33"/>
  <c r="S573" i="33"/>
  <c r="P573" i="33"/>
  <c r="P572" i="33"/>
  <c r="P571" i="33"/>
  <c r="S571" i="33" s="1"/>
  <c r="P570" i="33"/>
  <c r="P569" i="33"/>
  <c r="P568" i="33"/>
  <c r="P567" i="33"/>
  <c r="P566" i="33"/>
  <c r="S566" i="33" s="1"/>
  <c r="P565" i="33"/>
  <c r="S565" i="33" s="1"/>
  <c r="P564" i="33"/>
  <c r="S563" i="33"/>
  <c r="P563" i="33"/>
  <c r="S562" i="33"/>
  <c r="P562" i="33"/>
  <c r="P561" i="33"/>
  <c r="P560" i="33"/>
  <c r="P559" i="33"/>
  <c r="P558" i="33"/>
  <c r="P557" i="33"/>
  <c r="P556" i="33"/>
  <c r="P555" i="33"/>
  <c r="P554" i="33"/>
  <c r="P553" i="33"/>
  <c r="P552" i="33"/>
  <c r="P551" i="33"/>
  <c r="P550" i="33"/>
  <c r="P549" i="33"/>
  <c r="P548" i="33"/>
  <c r="S547" i="33"/>
  <c r="P547" i="33"/>
  <c r="S546" i="33"/>
  <c r="P546" i="33"/>
  <c r="P545" i="33"/>
  <c r="P544" i="33"/>
  <c r="P543" i="33"/>
  <c r="P542" i="33"/>
  <c r="P541" i="33"/>
  <c r="P540" i="33"/>
  <c r="P539" i="33"/>
  <c r="P538" i="33"/>
  <c r="P537" i="33"/>
  <c r="P536" i="33"/>
  <c r="P535" i="33"/>
  <c r="P534" i="33"/>
  <c r="S533" i="33"/>
  <c r="P533" i="33"/>
  <c r="S532" i="33"/>
  <c r="P532" i="33"/>
  <c r="S531" i="33"/>
  <c r="P531" i="33"/>
  <c r="P530" i="33"/>
  <c r="P529" i="33"/>
  <c r="S529" i="33" s="1"/>
  <c r="P528" i="33"/>
  <c r="S527" i="33"/>
  <c r="P527" i="33"/>
  <c r="P526" i="33"/>
  <c r="P525" i="33"/>
  <c r="P524" i="33"/>
  <c r="P523" i="33"/>
  <c r="P522" i="33"/>
  <c r="P521" i="33"/>
  <c r="P520" i="33"/>
  <c r="P519" i="33"/>
  <c r="S518" i="33"/>
  <c r="P518" i="33"/>
  <c r="S517" i="33"/>
  <c r="P517" i="33"/>
  <c r="S516" i="33"/>
  <c r="P516" i="33"/>
  <c r="S515" i="33"/>
  <c r="P515" i="33"/>
  <c r="S514" i="33"/>
  <c r="P514" i="33"/>
  <c r="P513" i="33"/>
  <c r="P512" i="33"/>
  <c r="P511" i="33"/>
  <c r="P510" i="33"/>
  <c r="S509" i="33"/>
  <c r="P509" i="33"/>
  <c r="P508" i="33"/>
  <c r="P507" i="33"/>
  <c r="P506" i="33"/>
  <c r="P505" i="33"/>
  <c r="S505" i="33" s="1"/>
  <c r="P504" i="33"/>
  <c r="P503" i="33"/>
  <c r="P502" i="33"/>
  <c r="S502" i="33" s="1"/>
  <c r="P501" i="33"/>
  <c r="P500" i="33"/>
  <c r="P499" i="33"/>
  <c r="P498" i="33"/>
  <c r="P497" i="33"/>
  <c r="P496" i="33"/>
  <c r="P495" i="33"/>
  <c r="S495" i="33" s="1"/>
  <c r="P494" i="33"/>
  <c r="P493" i="33"/>
  <c r="P492" i="33"/>
  <c r="S492" i="33" s="1"/>
  <c r="P491" i="33"/>
  <c r="S491" i="33" s="1"/>
  <c r="P490" i="33"/>
  <c r="P489" i="33"/>
  <c r="P488" i="33"/>
  <c r="P487" i="33"/>
  <c r="P486" i="33"/>
  <c r="P485" i="33"/>
  <c r="P484" i="33"/>
  <c r="P483" i="33"/>
  <c r="P482" i="33"/>
  <c r="P481" i="33"/>
  <c r="P480" i="33"/>
  <c r="P479" i="33"/>
  <c r="P478" i="33"/>
  <c r="P477" i="33"/>
  <c r="P476" i="33"/>
  <c r="P475" i="33"/>
  <c r="P474" i="33"/>
  <c r="P473" i="33"/>
  <c r="P472" i="33"/>
  <c r="P471" i="33"/>
  <c r="P470" i="33"/>
  <c r="P469" i="33"/>
  <c r="P468" i="33"/>
  <c r="P467" i="33"/>
  <c r="P466" i="33"/>
  <c r="P465" i="33"/>
  <c r="P464" i="33"/>
  <c r="P463" i="33"/>
  <c r="P462" i="33"/>
  <c r="P461" i="33"/>
  <c r="P460" i="33"/>
  <c r="S459" i="33"/>
  <c r="P459" i="33"/>
  <c r="P458" i="33"/>
  <c r="P457" i="33"/>
  <c r="P456" i="33"/>
  <c r="P455" i="33"/>
  <c r="P454" i="33"/>
  <c r="P453" i="33"/>
  <c r="P452" i="33"/>
  <c r="P451" i="33"/>
  <c r="S450" i="33"/>
  <c r="P450" i="33"/>
  <c r="P449" i="33"/>
  <c r="P448" i="33"/>
  <c r="S447" i="33"/>
  <c r="P447" i="33"/>
  <c r="P446" i="33"/>
  <c r="P445" i="33"/>
  <c r="P444" i="33"/>
  <c r="P443" i="33"/>
  <c r="S442" i="33"/>
  <c r="P442" i="33"/>
  <c r="P441" i="33"/>
  <c r="P440" i="33"/>
  <c r="P439" i="33"/>
  <c r="P438" i="33"/>
  <c r="P437" i="33"/>
  <c r="P436" i="33"/>
  <c r="S436" i="33" s="1"/>
  <c r="P435" i="33"/>
  <c r="S435" i="33" s="1"/>
  <c r="P434" i="33"/>
  <c r="S434" i="33" s="1"/>
  <c r="P433" i="33"/>
  <c r="S433" i="33" s="1"/>
  <c r="P432" i="33"/>
  <c r="P431" i="33"/>
  <c r="P430" i="33"/>
  <c r="P429" i="33"/>
  <c r="P428" i="33"/>
  <c r="P427" i="33"/>
  <c r="P426" i="33"/>
  <c r="P425" i="33"/>
  <c r="P424" i="33"/>
  <c r="S424" i="33" s="1"/>
  <c r="P423" i="33"/>
  <c r="P422" i="33"/>
  <c r="P421" i="33"/>
  <c r="P420" i="33"/>
  <c r="P419" i="33"/>
  <c r="P418" i="33"/>
  <c r="P417" i="33"/>
  <c r="S417" i="33" s="1"/>
  <c r="P416" i="33"/>
  <c r="P415" i="33"/>
  <c r="P414" i="33"/>
  <c r="P413" i="33"/>
  <c r="P412" i="33"/>
  <c r="P411" i="33"/>
  <c r="P410" i="33"/>
  <c r="P409" i="33"/>
  <c r="P408" i="33"/>
  <c r="P407" i="33"/>
  <c r="P406" i="33"/>
  <c r="P405" i="33"/>
  <c r="P404" i="33"/>
  <c r="P403" i="33"/>
  <c r="P402" i="33"/>
  <c r="P401" i="33"/>
  <c r="P400" i="33"/>
  <c r="P399" i="33"/>
  <c r="P398" i="33"/>
  <c r="P397" i="33"/>
  <c r="P396" i="33"/>
  <c r="P395" i="33"/>
  <c r="P394" i="33"/>
  <c r="P393" i="33"/>
  <c r="P392" i="33"/>
  <c r="P391" i="33"/>
  <c r="P390" i="33"/>
  <c r="P389" i="33"/>
  <c r="P388" i="33"/>
  <c r="P387" i="33"/>
  <c r="P386" i="33"/>
  <c r="S386" i="33" s="1"/>
  <c r="P385" i="33"/>
  <c r="S385" i="33" s="1"/>
  <c r="P384" i="33"/>
  <c r="S384" i="33" s="1"/>
  <c r="P383" i="33"/>
  <c r="P382" i="33"/>
  <c r="P381" i="33"/>
  <c r="P380" i="33"/>
  <c r="P379" i="33"/>
  <c r="S378" i="33"/>
  <c r="P378" i="33"/>
  <c r="P377" i="33"/>
  <c r="P376" i="33"/>
  <c r="S376" i="33" s="1"/>
  <c r="P375" i="33"/>
  <c r="S375" i="33" s="1"/>
  <c r="P374" i="33"/>
  <c r="S374" i="33" s="1"/>
  <c r="P373" i="33"/>
  <c r="S373" i="33" s="1"/>
  <c r="P372" i="33"/>
  <c r="S372" i="33" s="1"/>
  <c r="P371" i="33"/>
  <c r="S371" i="33" s="1"/>
  <c r="P370" i="33"/>
  <c r="S370" i="33" s="1"/>
  <c r="P369" i="33"/>
  <c r="S369" i="33" s="1"/>
  <c r="P368" i="33"/>
  <c r="S368" i="33" s="1"/>
  <c r="P367" i="33"/>
  <c r="S367" i="33" s="1"/>
  <c r="P366" i="33"/>
  <c r="S365" i="33"/>
  <c r="P365" i="33"/>
  <c r="S364" i="33"/>
  <c r="P364" i="33"/>
  <c r="S363" i="33"/>
  <c r="P363" i="33"/>
  <c r="S362" i="33"/>
  <c r="P362" i="33"/>
  <c r="S361" i="33"/>
  <c r="P361" i="33"/>
  <c r="S360" i="33"/>
  <c r="P360" i="33"/>
  <c r="S359" i="33"/>
  <c r="P359" i="33"/>
  <c r="S358" i="33"/>
  <c r="P358" i="33"/>
  <c r="S357" i="33"/>
  <c r="P357" i="33"/>
  <c r="S356" i="33"/>
  <c r="P356" i="33"/>
  <c r="S355" i="33"/>
  <c r="P355" i="33"/>
  <c r="S354" i="33"/>
  <c r="P354" i="33"/>
  <c r="S353" i="33"/>
  <c r="P353" i="33"/>
  <c r="P352" i="33"/>
  <c r="P351" i="33"/>
  <c r="P350" i="33"/>
  <c r="P349" i="33"/>
  <c r="P348" i="33"/>
  <c r="P347" i="33"/>
  <c r="P346" i="33"/>
  <c r="P345" i="33"/>
  <c r="P344" i="33"/>
  <c r="P343" i="33"/>
  <c r="P342" i="33"/>
  <c r="P341" i="33"/>
  <c r="S341" i="33" s="1"/>
  <c r="P340" i="33"/>
  <c r="S340" i="33" s="1"/>
  <c r="P339" i="33"/>
  <c r="S339" i="33" s="1"/>
  <c r="P338" i="33"/>
  <c r="P337" i="33"/>
  <c r="P336" i="33"/>
  <c r="P335" i="33"/>
  <c r="P334" i="33"/>
  <c r="P333" i="33"/>
  <c r="P332" i="33"/>
  <c r="P331" i="33"/>
  <c r="P330" i="33"/>
  <c r="P329" i="33"/>
  <c r="P328" i="33"/>
  <c r="P327" i="33"/>
  <c r="P326" i="33"/>
  <c r="P325" i="33"/>
  <c r="P324" i="33"/>
  <c r="P323" i="33"/>
  <c r="P322" i="33"/>
  <c r="P321" i="33"/>
  <c r="P320" i="33"/>
  <c r="P319" i="33"/>
  <c r="P318" i="33"/>
  <c r="P317" i="33"/>
  <c r="P316" i="33"/>
  <c r="P315" i="33"/>
  <c r="P314" i="33"/>
  <c r="P313" i="33"/>
  <c r="P312" i="33"/>
  <c r="P311" i="33"/>
  <c r="P310" i="33"/>
  <c r="P309" i="33"/>
  <c r="P308" i="33"/>
  <c r="P307" i="33"/>
  <c r="P306" i="33"/>
  <c r="S306" i="33" s="1"/>
  <c r="P305" i="33"/>
  <c r="P304" i="33"/>
  <c r="P303" i="33"/>
  <c r="P302" i="33"/>
  <c r="P301" i="33"/>
  <c r="P300" i="33"/>
  <c r="P299" i="33"/>
  <c r="P298" i="33"/>
  <c r="P297" i="33"/>
  <c r="S297" i="33" s="1"/>
  <c r="P296" i="33"/>
  <c r="P295" i="33"/>
  <c r="P294" i="33"/>
  <c r="P293" i="33"/>
  <c r="P292" i="33"/>
  <c r="P291" i="33"/>
  <c r="P290" i="33"/>
  <c r="P289" i="33"/>
  <c r="P288" i="33"/>
  <c r="S287" i="33"/>
  <c r="P287" i="33"/>
  <c r="P286" i="33"/>
  <c r="P285" i="33"/>
  <c r="P284" i="33"/>
  <c r="P283" i="33"/>
  <c r="P282" i="33"/>
  <c r="P281" i="33"/>
  <c r="S280" i="33"/>
  <c r="P280" i="33"/>
  <c r="P279" i="33"/>
  <c r="P278" i="33"/>
  <c r="P277" i="33"/>
  <c r="P276" i="33"/>
  <c r="P275" i="33"/>
  <c r="P274" i="33"/>
  <c r="P273" i="33"/>
  <c r="P272" i="33"/>
  <c r="S272" i="33" s="1"/>
  <c r="P271" i="33"/>
  <c r="S271" i="33" s="1"/>
  <c r="P270" i="33"/>
  <c r="P269" i="33"/>
  <c r="P268" i="33"/>
  <c r="P267" i="33"/>
  <c r="P266" i="33"/>
  <c r="P265" i="33"/>
  <c r="P264" i="33"/>
  <c r="P263" i="33"/>
  <c r="P262" i="33"/>
  <c r="P261" i="33"/>
  <c r="P260" i="33"/>
  <c r="P259" i="33"/>
  <c r="P258" i="33"/>
  <c r="P257" i="33"/>
  <c r="P256" i="33"/>
  <c r="P255" i="33"/>
  <c r="P254" i="33"/>
  <c r="P253" i="33"/>
  <c r="P252" i="33"/>
  <c r="P251" i="33"/>
  <c r="P250" i="33"/>
  <c r="P249" i="33"/>
  <c r="P248" i="33"/>
  <c r="P247" i="33"/>
  <c r="P246" i="33"/>
  <c r="P245" i="33"/>
  <c r="P244" i="33"/>
  <c r="S243" i="33"/>
  <c r="P243" i="33"/>
  <c r="P242" i="33"/>
  <c r="P241" i="33"/>
  <c r="P240" i="33"/>
  <c r="P239" i="33"/>
  <c r="P238" i="33"/>
  <c r="P237" i="33"/>
  <c r="P236" i="33"/>
  <c r="P235" i="33"/>
  <c r="P234" i="33"/>
  <c r="P233" i="33"/>
  <c r="P232" i="33"/>
  <c r="P231" i="33"/>
  <c r="P230" i="33"/>
  <c r="P229" i="33"/>
  <c r="P228" i="33"/>
  <c r="P227" i="33"/>
  <c r="P226" i="33"/>
  <c r="P225" i="33"/>
  <c r="P224" i="33"/>
  <c r="P223" i="33"/>
  <c r="P222" i="33"/>
  <c r="P221" i="33"/>
  <c r="P220" i="33"/>
  <c r="P219" i="33"/>
  <c r="P218" i="33"/>
  <c r="P217" i="33"/>
  <c r="P216" i="33"/>
  <c r="P215" i="33"/>
  <c r="P214" i="33"/>
  <c r="P213" i="33"/>
  <c r="P212" i="33"/>
  <c r="P211" i="33"/>
  <c r="P210" i="33"/>
  <c r="P209" i="33"/>
  <c r="P208" i="33"/>
  <c r="P207" i="33"/>
  <c r="P206" i="33"/>
  <c r="P205" i="33"/>
  <c r="S204" i="33"/>
  <c r="P204" i="33"/>
  <c r="P203" i="33"/>
  <c r="P202" i="33"/>
  <c r="P201" i="33"/>
  <c r="P200" i="33"/>
  <c r="S200" i="33" s="1"/>
  <c r="P199" i="33"/>
  <c r="S199" i="33" s="1"/>
  <c r="P198" i="33"/>
  <c r="P197" i="33"/>
  <c r="P196" i="33"/>
  <c r="P195" i="33"/>
  <c r="P194" i="33"/>
  <c r="P193" i="33"/>
  <c r="P192" i="33"/>
  <c r="P191" i="33"/>
  <c r="P190" i="33"/>
  <c r="P189" i="33"/>
  <c r="P188" i="33"/>
  <c r="S187" i="33"/>
  <c r="P187" i="33"/>
  <c r="S186" i="33"/>
  <c r="P186" i="33"/>
  <c r="S185" i="33"/>
  <c r="P185" i="33"/>
  <c r="S184" i="33"/>
  <c r="P184" i="33"/>
  <c r="S183" i="33"/>
  <c r="P183" i="33"/>
  <c r="S182" i="33"/>
  <c r="P182" i="33"/>
  <c r="S181" i="33"/>
  <c r="P181" i="33"/>
  <c r="S180" i="33"/>
  <c r="P180" i="33"/>
  <c r="S179" i="33"/>
  <c r="P179" i="33"/>
  <c r="S178" i="33"/>
  <c r="P178" i="33"/>
  <c r="P177" i="33"/>
  <c r="P176" i="33"/>
  <c r="S175" i="33"/>
  <c r="P175" i="33"/>
  <c r="P174" i="33"/>
  <c r="P173" i="33"/>
  <c r="P172" i="33"/>
  <c r="P171" i="33"/>
  <c r="S170" i="33"/>
  <c r="P170" i="33"/>
  <c r="P169" i="33"/>
  <c r="P168" i="33"/>
  <c r="S168" i="33" s="1"/>
  <c r="P167" i="33"/>
  <c r="S167" i="33" s="1"/>
  <c r="P166" i="33"/>
  <c r="S165" i="33"/>
  <c r="P165" i="33"/>
  <c r="S164" i="33"/>
  <c r="P164" i="33"/>
  <c r="S163" i="33"/>
  <c r="P163" i="33"/>
  <c r="S162" i="33"/>
  <c r="P162" i="33"/>
  <c r="S161" i="33"/>
  <c r="P161" i="33"/>
  <c r="S160" i="33"/>
  <c r="P160" i="33"/>
  <c r="S159" i="33"/>
  <c r="P159" i="33"/>
  <c r="S158" i="33"/>
  <c r="P158" i="33"/>
  <c r="P157" i="33"/>
  <c r="P156" i="33"/>
  <c r="S156" i="33" s="1"/>
  <c r="P155" i="33"/>
  <c r="P154" i="33"/>
  <c r="P153" i="33"/>
  <c r="P152" i="33"/>
  <c r="P151" i="33"/>
  <c r="P150" i="33"/>
  <c r="P149" i="33"/>
  <c r="P148" i="33"/>
  <c r="P147" i="33"/>
  <c r="P146" i="33"/>
  <c r="P145" i="33"/>
  <c r="P144" i="33"/>
  <c r="P143" i="33"/>
  <c r="S143" i="33" s="1"/>
  <c r="P142" i="33"/>
  <c r="P141" i="33"/>
  <c r="P140" i="33"/>
  <c r="P139" i="33"/>
  <c r="P138" i="33"/>
  <c r="S137" i="33"/>
  <c r="P137" i="33"/>
  <c r="P136" i="33"/>
  <c r="P135" i="33"/>
  <c r="P134" i="33"/>
  <c r="P133" i="33"/>
  <c r="S133" i="33" s="1"/>
  <c r="P132" i="33"/>
  <c r="S132" i="33" s="1"/>
  <c r="P131" i="33"/>
  <c r="P130" i="33"/>
  <c r="P129" i="33"/>
  <c r="P128" i="33"/>
  <c r="P127" i="33"/>
  <c r="P126" i="33"/>
  <c r="P125" i="33"/>
  <c r="P124" i="33"/>
  <c r="P123" i="33"/>
  <c r="P122" i="33"/>
  <c r="P121" i="33"/>
  <c r="P120" i="33"/>
  <c r="P119" i="33"/>
  <c r="P118" i="33"/>
  <c r="P117" i="33"/>
  <c r="P116" i="33"/>
  <c r="P115" i="33"/>
  <c r="P114" i="33"/>
  <c r="P113" i="33"/>
  <c r="P112" i="33"/>
  <c r="P111" i="33"/>
  <c r="P110" i="33"/>
  <c r="P109" i="33"/>
  <c r="P108" i="33"/>
  <c r="P107" i="33"/>
  <c r="P106" i="33"/>
  <c r="P105" i="33"/>
  <c r="P104" i="33"/>
  <c r="P103" i="33"/>
  <c r="P102" i="33"/>
  <c r="P101" i="33"/>
  <c r="P100" i="33"/>
  <c r="P99" i="33"/>
  <c r="P98" i="33"/>
  <c r="P97" i="33"/>
  <c r="P96" i="33"/>
  <c r="P95" i="33"/>
  <c r="P94" i="33"/>
  <c r="P93" i="33"/>
  <c r="P92" i="33"/>
  <c r="P91" i="33"/>
  <c r="P90" i="33"/>
  <c r="P89" i="33"/>
  <c r="P88" i="33"/>
  <c r="P87" i="33"/>
  <c r="P86" i="33"/>
  <c r="P85" i="33"/>
  <c r="S85" i="33" s="1"/>
  <c r="P84" i="33"/>
  <c r="S84" i="33" s="1"/>
  <c r="P83" i="33"/>
  <c r="P82" i="33"/>
  <c r="P81" i="33"/>
  <c r="P80" i="33"/>
  <c r="P79" i="33"/>
  <c r="S79" i="33" s="1"/>
  <c r="P78" i="33"/>
  <c r="S77" i="33"/>
  <c r="P77" i="33"/>
  <c r="P76" i="33"/>
  <c r="P75" i="33"/>
  <c r="P74" i="33"/>
  <c r="P73" i="33"/>
  <c r="P72" i="33"/>
  <c r="P71" i="33"/>
  <c r="P70" i="33"/>
  <c r="P69" i="33"/>
  <c r="S69" i="33" s="1"/>
  <c r="P68" i="33"/>
  <c r="P67" i="33"/>
  <c r="P66" i="33"/>
  <c r="S65" i="33"/>
  <c r="P65" i="33"/>
  <c r="S64" i="33"/>
  <c r="P64" i="33"/>
  <c r="P63" i="33"/>
  <c r="P62" i="33"/>
  <c r="S61" i="33"/>
  <c r="P61" i="33"/>
  <c r="P60" i="33"/>
  <c r="P59" i="33"/>
  <c r="P58" i="33"/>
  <c r="P57" i="33"/>
  <c r="P56" i="33"/>
  <c r="P55" i="33"/>
  <c r="P54" i="33"/>
  <c r="P53" i="33"/>
  <c r="P52" i="33"/>
  <c r="P51" i="33"/>
  <c r="P50" i="33"/>
  <c r="P49" i="33"/>
  <c r="P48" i="33"/>
  <c r="P47" i="33"/>
  <c r="S46" i="33"/>
  <c r="P46" i="33"/>
  <c r="P45" i="33"/>
  <c r="P44" i="33"/>
  <c r="P43" i="33"/>
  <c r="P42" i="33"/>
  <c r="P41" i="33"/>
  <c r="P40" i="33"/>
  <c r="P39" i="33"/>
  <c r="P38" i="33"/>
  <c r="P37" i="33"/>
  <c r="P36" i="33"/>
  <c r="P35" i="33"/>
  <c r="P34" i="33"/>
  <c r="S34" i="33" s="1"/>
  <c r="P33" i="33"/>
  <c r="P32" i="33"/>
  <c r="P31" i="33"/>
  <c r="S31" i="33" s="1"/>
  <c r="P30" i="33"/>
  <c r="S30" i="33" s="1"/>
  <c r="P29" i="33"/>
  <c r="P28" i="33"/>
  <c r="P27" i="33"/>
  <c r="S27" i="33" s="1"/>
  <c r="P26" i="33"/>
  <c r="P25" i="33"/>
  <c r="P24" i="33"/>
  <c r="P23" i="33"/>
  <c r="P22" i="33"/>
  <c r="S22" i="33" s="1"/>
  <c r="P21" i="33"/>
  <c r="S21" i="33" s="1"/>
  <c r="P20" i="33"/>
  <c r="S20" i="33" s="1"/>
  <c r="P19" i="33"/>
  <c r="P18" i="33"/>
  <c r="P17" i="33"/>
  <c r="S16" i="33"/>
  <c r="P16" i="33"/>
  <c r="S15" i="33"/>
  <c r="P15" i="33"/>
  <c r="P14" i="33"/>
  <c r="P13" i="33"/>
  <c r="P12" i="33"/>
  <c r="P11" i="33"/>
  <c r="P10" i="33"/>
  <c r="P9" i="33"/>
  <c r="P8" i="33"/>
  <c r="P7" i="33"/>
  <c r="P6" i="33"/>
  <c r="P5" i="33"/>
  <c r="P4" i="33"/>
  <c r="P3" i="33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E3" i="4"/>
  <c r="P751" i="33" l="1"/>
  <c r="P234" i="32"/>
  <c r="S234" i="32"/>
  <c r="E1" i="4"/>
  <c r="I48" i="32" l="1"/>
  <c r="W228" i="32"/>
  <c r="I197" i="32"/>
  <c r="I187" i="32"/>
  <c r="I43" i="32"/>
  <c r="W162" i="32"/>
  <c r="I53" i="32"/>
  <c r="I90" i="32"/>
  <c r="W204" i="32"/>
  <c r="W201" i="32"/>
  <c r="W226" i="32"/>
  <c r="W211" i="32"/>
  <c r="I222" i="32"/>
  <c r="I78" i="32"/>
  <c r="I50" i="32"/>
  <c r="W118" i="32"/>
  <c r="W164" i="32"/>
  <c r="I132" i="32"/>
  <c r="W224" i="32"/>
  <c r="W168" i="32"/>
  <c r="W180" i="32"/>
  <c r="W60" i="32"/>
  <c r="W142" i="32"/>
  <c r="W115" i="32"/>
  <c r="W72" i="32"/>
  <c r="I186" i="32"/>
  <c r="W104" i="32"/>
  <c r="I193" i="32"/>
  <c r="W176" i="32"/>
  <c r="W32" i="32"/>
  <c r="W130" i="32"/>
  <c r="I34" i="32"/>
  <c r="W18" i="32"/>
  <c r="W136" i="32"/>
  <c r="W163" i="32"/>
  <c r="W109" i="32"/>
  <c r="W64" i="32"/>
  <c r="I120" i="32"/>
  <c r="W208" i="32"/>
  <c r="W157" i="32"/>
  <c r="I57" i="32"/>
  <c r="W76" i="32"/>
  <c r="I30" i="32"/>
  <c r="I167" i="32"/>
  <c r="W7" i="32"/>
  <c r="I160" i="32"/>
  <c r="I212" i="32"/>
  <c r="W71" i="32"/>
  <c r="I38" i="32"/>
  <c r="I155" i="32"/>
  <c r="W233" i="32"/>
  <c r="W121" i="32"/>
  <c r="W73" i="32"/>
  <c r="W207" i="32"/>
  <c r="W89" i="32"/>
  <c r="W105" i="32"/>
  <c r="I39" i="32"/>
  <c r="W119" i="32"/>
  <c r="I140" i="32"/>
  <c r="I86" i="32"/>
  <c r="I41" i="32"/>
  <c r="I82" i="32"/>
  <c r="W230" i="32"/>
  <c r="W146" i="32"/>
  <c r="I45" i="32"/>
  <c r="W51" i="32"/>
  <c r="I13" i="32"/>
  <c r="I146" i="32"/>
  <c r="W62" i="32"/>
  <c r="W181" i="32"/>
  <c r="W124" i="32"/>
  <c r="W120" i="32"/>
  <c r="W159" i="32"/>
  <c r="W20" i="32"/>
  <c r="W50" i="32"/>
  <c r="W30" i="32"/>
  <c r="I33" i="32"/>
  <c r="W114" i="32"/>
  <c r="W152" i="32"/>
  <c r="W206" i="32"/>
  <c r="W65" i="32"/>
  <c r="W96" i="32"/>
  <c r="W213" i="32"/>
  <c r="I130" i="32"/>
  <c r="W216" i="32"/>
  <c r="W165" i="32"/>
  <c r="I127" i="32"/>
  <c r="I141" i="32"/>
  <c r="I67" i="32"/>
  <c r="I70" i="32"/>
  <c r="I15" i="32"/>
  <c r="W205" i="32"/>
  <c r="I35" i="32"/>
  <c r="W55" i="32"/>
  <c r="W92" i="32"/>
  <c r="I10" i="32"/>
  <c r="I101" i="32"/>
  <c r="I183" i="32"/>
  <c r="I9" i="32"/>
  <c r="W47" i="32"/>
  <c r="W154" i="32"/>
  <c r="W126" i="32"/>
  <c r="W133" i="32"/>
  <c r="I177" i="32"/>
  <c r="I185" i="32"/>
  <c r="W175" i="32"/>
  <c r="W21" i="32"/>
  <c r="W48" i="32"/>
  <c r="W34" i="32"/>
  <c r="W91" i="32"/>
  <c r="W210" i="32"/>
  <c r="I114" i="32"/>
  <c r="W155" i="32"/>
  <c r="W185" i="32"/>
  <c r="I97" i="32"/>
  <c r="W26" i="32"/>
  <c r="W191" i="32"/>
  <c r="W141" i="32"/>
  <c r="W99" i="32"/>
  <c r="I112" i="32"/>
  <c r="I14" i="32"/>
  <c r="I227" i="32"/>
  <c r="W220" i="32"/>
  <c r="W169" i="32"/>
  <c r="W217" i="32"/>
  <c r="W5" i="32"/>
  <c r="W75" i="32"/>
  <c r="W179" i="32"/>
  <c r="W27" i="32"/>
  <c r="W187" i="32"/>
  <c r="W54" i="32"/>
  <c r="I175" i="32"/>
  <c r="I194" i="32"/>
  <c r="W178" i="32"/>
  <c r="W35" i="32"/>
  <c r="W131" i="32"/>
  <c r="I36" i="32"/>
  <c r="W80" i="32"/>
  <c r="I135" i="32"/>
  <c r="I134" i="32"/>
  <c r="W223" i="32"/>
  <c r="W39" i="32"/>
  <c r="I75" i="32"/>
  <c r="W16" i="32"/>
  <c r="W160" i="32"/>
  <c r="W125" i="32"/>
  <c r="W128" i="32"/>
  <c r="W129" i="32"/>
  <c r="I153" i="32"/>
  <c r="I174" i="32"/>
  <c r="W198" i="32"/>
  <c r="W66" i="32"/>
  <c r="W143" i="32"/>
  <c r="W232" i="32"/>
  <c r="I178" i="32"/>
  <c r="I96" i="32"/>
  <c r="W10" i="32"/>
  <c r="I218" i="32"/>
  <c r="W8" i="32"/>
  <c r="I179" i="32"/>
  <c r="W197" i="32"/>
  <c r="W6" i="32"/>
  <c r="I12" i="32"/>
  <c r="W102" i="32"/>
  <c r="I95" i="32"/>
  <c r="I62" i="32"/>
  <c r="W110" i="32"/>
  <c r="W144" i="32"/>
  <c r="I20" i="32"/>
  <c r="I29" i="32"/>
  <c r="W42" i="32"/>
  <c r="W59" i="32"/>
  <c r="W107" i="32"/>
  <c r="W44" i="32"/>
  <c r="I216" i="32"/>
  <c r="I100" i="32"/>
  <c r="I204" i="32"/>
  <c r="I47" i="32"/>
  <c r="I228" i="32"/>
  <c r="I88" i="32"/>
  <c r="W171" i="32"/>
  <c r="I181" i="32"/>
  <c r="W190" i="32"/>
  <c r="I230" i="32"/>
  <c r="W189" i="32"/>
  <c r="W172" i="32"/>
  <c r="W192" i="32"/>
  <c r="I92" i="32"/>
  <c r="I80" i="32"/>
  <c r="I37" i="32"/>
  <c r="I79" i="32"/>
  <c r="I73" i="32"/>
  <c r="I108" i="32"/>
  <c r="I8" i="32"/>
  <c r="W74" i="32"/>
  <c r="I25" i="32"/>
  <c r="I225" i="32"/>
  <c r="W69" i="32"/>
  <c r="W17" i="32"/>
  <c r="W183" i="32"/>
  <c r="I148" i="32"/>
  <c r="I158" i="32"/>
  <c r="I118" i="32"/>
  <c r="I163" i="32"/>
  <c r="I23" i="32"/>
  <c r="I190" i="32"/>
  <c r="I137" i="32"/>
  <c r="W57" i="32"/>
  <c r="I18" i="32"/>
  <c r="W61" i="32"/>
  <c r="W173" i="32"/>
  <c r="I139" i="32"/>
  <c r="W78" i="32"/>
  <c r="W111" i="32"/>
  <c r="I211" i="32"/>
  <c r="I63" i="32"/>
  <c r="W139" i="32"/>
  <c r="W209" i="32"/>
  <c r="W148" i="32"/>
  <c r="W123" i="32"/>
  <c r="W77" i="32"/>
  <c r="W167" i="32"/>
  <c r="W103" i="32"/>
  <c r="I28" i="32"/>
  <c r="I7" i="32"/>
  <c r="I103" i="32"/>
  <c r="I206" i="32"/>
  <c r="W46" i="32"/>
  <c r="I19" i="32"/>
  <c r="I81" i="32"/>
  <c r="I128" i="32"/>
  <c r="W153" i="32"/>
  <c r="W98" i="32"/>
  <c r="W193" i="32"/>
  <c r="I195" i="32"/>
  <c r="W87" i="32"/>
  <c r="W196" i="32"/>
  <c r="W218" i="32"/>
  <c r="W45" i="32"/>
  <c r="I176" i="32"/>
  <c r="W28" i="32"/>
  <c r="W186" i="32"/>
  <c r="W200" i="32"/>
  <c r="I46" i="32"/>
  <c r="I165" i="32"/>
  <c r="W221" i="32"/>
  <c r="I226" i="32"/>
  <c r="I60" i="32"/>
  <c r="W137" i="32"/>
  <c r="W222" i="32"/>
  <c r="I188" i="32"/>
  <c r="W122" i="32"/>
  <c r="I105" i="32"/>
  <c r="W31" i="32"/>
  <c r="I65" i="32"/>
  <c r="W24" i="32"/>
  <c r="I144" i="32"/>
  <c r="I208" i="32"/>
  <c r="W203" i="32"/>
  <c r="I156" i="32"/>
  <c r="W182" i="32"/>
  <c r="W202" i="32"/>
  <c r="W68" i="32"/>
  <c r="W147" i="32"/>
  <c r="W19" i="32"/>
  <c r="W86" i="32"/>
  <c r="W113" i="32"/>
  <c r="I6" i="32"/>
  <c r="W194" i="32"/>
  <c r="W95" i="32"/>
  <c r="W25" i="32"/>
  <c r="I98" i="32"/>
  <c r="I169" i="32"/>
  <c r="I214" i="32"/>
  <c r="W231" i="32"/>
  <c r="I173" i="32"/>
  <c r="W101" i="32"/>
  <c r="W94" i="32"/>
  <c r="I16" i="32"/>
  <c r="W161" i="32"/>
  <c r="I200" i="32"/>
  <c r="W188" i="32"/>
  <c r="I26" i="32"/>
  <c r="I17" i="32"/>
  <c r="I196" i="32"/>
  <c r="W67" i="32"/>
  <c r="I203" i="32"/>
  <c r="I125" i="32"/>
  <c r="I85" i="32"/>
  <c r="I83" i="32"/>
  <c r="I32" i="32"/>
  <c r="W41" i="32"/>
  <c r="W63" i="32"/>
  <c r="I52" i="32"/>
  <c r="W88" i="32"/>
  <c r="I191" i="32"/>
  <c r="W14" i="32"/>
  <c r="W84" i="32"/>
  <c r="I91" i="32"/>
  <c r="I201" i="32"/>
  <c r="I213" i="32"/>
  <c r="I133" i="32"/>
  <c r="I54" i="32"/>
  <c r="W53" i="32"/>
  <c r="W151" i="32"/>
  <c r="I182" i="32"/>
  <c r="W11" i="32"/>
  <c r="I5" i="32"/>
  <c r="I192" i="32"/>
  <c r="W40" i="32"/>
  <c r="I198" i="32"/>
  <c r="W156" i="32"/>
  <c r="I74" i="32"/>
  <c r="I55" i="32"/>
  <c r="W12" i="32"/>
  <c r="I199" i="32"/>
  <c r="W22" i="32"/>
  <c r="W112" i="32"/>
  <c r="W23" i="32"/>
  <c r="I150" i="32"/>
  <c r="W116" i="32"/>
  <c r="W166" i="32"/>
  <c r="W82" i="32"/>
  <c r="I209" i="32"/>
  <c r="W58" i="32"/>
  <c r="I21" i="32"/>
  <c r="I22" i="32"/>
  <c r="I207" i="32"/>
  <c r="W33" i="32"/>
  <c r="W117" i="32"/>
  <c r="W132" i="32"/>
  <c r="I220" i="32"/>
  <c r="I142" i="32"/>
  <c r="I84" i="32"/>
  <c r="I110" i="32"/>
  <c r="W90" i="32"/>
  <c r="W158" i="32"/>
  <c r="W85" i="32"/>
  <c r="W97" i="32"/>
  <c r="W79" i="32"/>
  <c r="I136" i="32"/>
  <c r="I68" i="32"/>
  <c r="I102" i="32"/>
  <c r="I184" i="32"/>
  <c r="W214" i="32"/>
  <c r="I56" i="32"/>
  <c r="I210" i="32"/>
  <c r="I93" i="32"/>
  <c r="W106" i="32"/>
  <c r="W52" i="32"/>
  <c r="W81" i="32"/>
  <c r="W108" i="32"/>
  <c r="W177" i="32"/>
  <c r="W70" i="32"/>
  <c r="I77" i="32"/>
  <c r="W83" i="32"/>
  <c r="I171" i="32"/>
  <c r="W184" i="32"/>
  <c r="W13" i="32"/>
  <c r="I113" i="32"/>
  <c r="I123" i="32"/>
  <c r="W56" i="32"/>
  <c r="W140" i="32"/>
  <c r="I180" i="32"/>
  <c r="I122" i="32"/>
  <c r="W145" i="32"/>
  <c r="W195" i="32"/>
  <c r="W199" i="32"/>
  <c r="W9" i="32"/>
  <c r="I27" i="32"/>
  <c r="W29" i="32"/>
  <c r="I106" i="32"/>
  <c r="W36" i="32"/>
  <c r="W38" i="32"/>
  <c r="W170" i="32"/>
  <c r="W49" i="32"/>
  <c r="W43" i="32"/>
  <c r="I71" i="32"/>
  <c r="I149" i="32"/>
  <c r="W174" i="32"/>
  <c r="I94" i="32"/>
  <c r="I151" i="32"/>
  <c r="W138" i="32"/>
  <c r="W227" i="32"/>
  <c r="I40" i="32"/>
  <c r="I232" i="32"/>
  <c r="I31" i="32"/>
  <c r="W135" i="32"/>
  <c r="I224" i="32"/>
  <c r="W37" i="32"/>
  <c r="I162" i="32"/>
  <c r="I59" i="32"/>
  <c r="W134" i="32"/>
  <c r="W93" i="32"/>
  <c r="I11" i="32"/>
  <c r="I89" i="32"/>
  <c r="W127" i="32"/>
  <c r="I69" i="32"/>
  <c r="W15" i="32"/>
  <c r="W149" i="32"/>
  <c r="W219" i="32"/>
  <c r="W225" i="32"/>
  <c r="W150" i="32"/>
  <c r="W100" i="32"/>
  <c r="I116" i="32"/>
  <c r="W212" i="32"/>
  <c r="X212" i="32" l="1"/>
  <c r="N116" i="32"/>
  <c r="N117" i="32" s="1"/>
  <c r="X100" i="32"/>
  <c r="X150" i="32"/>
  <c r="X225" i="32"/>
  <c r="X149" i="32"/>
  <c r="X15" i="32"/>
  <c r="T69" i="32"/>
  <c r="X127" i="32"/>
  <c r="Q89" i="32"/>
  <c r="T89" i="32"/>
  <c r="X93" i="32"/>
  <c r="X134" i="32"/>
  <c r="N59" i="32"/>
  <c r="X37" i="32"/>
  <c r="X135" i="32"/>
  <c r="N232" i="32"/>
  <c r="N233" i="32" s="1"/>
  <c r="X227" i="32"/>
  <c r="Q151" i="32"/>
  <c r="N94" i="32"/>
  <c r="X174" i="32"/>
  <c r="Q149" i="32"/>
  <c r="N71" i="32"/>
  <c r="T71" i="32"/>
  <c r="X43" i="32"/>
  <c r="X38" i="32"/>
  <c r="X36" i="32"/>
  <c r="Q106" i="32"/>
  <c r="N106" i="32"/>
  <c r="N107" i="32" s="1"/>
  <c r="X29" i="32"/>
  <c r="T27" i="32"/>
  <c r="X9" i="32"/>
  <c r="X199" i="32"/>
  <c r="X195" i="32"/>
  <c r="N122" i="32"/>
  <c r="N124" i="32" s="1"/>
  <c r="N180" i="32"/>
  <c r="X140" i="32"/>
  <c r="X56" i="32"/>
  <c r="N113" i="32"/>
  <c r="N115" i="32" s="1"/>
  <c r="X13" i="32"/>
  <c r="X184" i="32"/>
  <c r="Q171" i="32"/>
  <c r="Q172" i="32" s="1"/>
  <c r="N171" i="32"/>
  <c r="N172" i="32" s="1"/>
  <c r="X83" i="32"/>
  <c r="X70" i="32"/>
  <c r="X177" i="32"/>
  <c r="X108" i="32"/>
  <c r="X109" i="32" s="1"/>
  <c r="X81" i="32"/>
  <c r="X52" i="32"/>
  <c r="X106" i="32"/>
  <c r="N210" i="32"/>
  <c r="X214" i="32"/>
  <c r="T184" i="32"/>
  <c r="Q102" i="32"/>
  <c r="T102" i="32"/>
  <c r="T104" i="32" s="1"/>
  <c r="N68" i="32"/>
  <c r="Q136" i="32"/>
  <c r="X79" i="32"/>
  <c r="X97" i="32"/>
  <c r="X85" i="32"/>
  <c r="X158" i="32"/>
  <c r="X159" i="32" s="1"/>
  <c r="X90" i="32"/>
  <c r="N110" i="32"/>
  <c r="N111" i="32" s="1"/>
  <c r="Q142" i="32"/>
  <c r="Q143" i="32" s="1"/>
  <c r="T142" i="32"/>
  <c r="T143" i="32" s="1"/>
  <c r="N142" i="32"/>
  <c r="N143" i="32" s="1"/>
  <c r="N220" i="32"/>
  <c r="N221" i="32" s="1"/>
  <c r="X132" i="32"/>
  <c r="X33" i="32"/>
  <c r="N207" i="32"/>
  <c r="T22" i="32"/>
  <c r="N21" i="32"/>
  <c r="N209" i="32"/>
  <c r="X82" i="32"/>
  <c r="X116" i="32"/>
  <c r="X117" i="32" s="1"/>
  <c r="Q150" i="32"/>
  <c r="X23" i="32"/>
  <c r="X112" i="32"/>
  <c r="X22" i="32"/>
  <c r="N199" i="32"/>
  <c r="X12" i="32"/>
  <c r="N55" i="32"/>
  <c r="N74" i="32"/>
  <c r="X156" i="32"/>
  <c r="N198" i="32"/>
  <c r="X40" i="32"/>
  <c r="N192" i="32"/>
  <c r="N5" i="32"/>
  <c r="X11" i="32"/>
  <c r="Q182" i="32"/>
  <c r="X151" i="32"/>
  <c r="X53" i="32"/>
  <c r="N54" i="32"/>
  <c r="T133" i="32"/>
  <c r="N213" i="32"/>
  <c r="N201" i="32"/>
  <c r="T91" i="32"/>
  <c r="X84" i="32"/>
  <c r="X14" i="32"/>
  <c r="Q191" i="32"/>
  <c r="X88" i="32"/>
  <c r="N52" i="32"/>
  <c r="X63" i="32"/>
  <c r="X41" i="32"/>
  <c r="Q32" i="32"/>
  <c r="N32" i="32"/>
  <c r="T203" i="32"/>
  <c r="T205" i="32" s="1"/>
  <c r="Q203" i="32"/>
  <c r="Q205" i="32" s="1"/>
  <c r="N203" i="32"/>
  <c r="X67" i="32"/>
  <c r="N196" i="32"/>
  <c r="N17" i="32"/>
  <c r="T17" i="32"/>
  <c r="Q26" i="32"/>
  <c r="X188" i="32"/>
  <c r="N200" i="32"/>
  <c r="T16" i="32"/>
  <c r="X94" i="32"/>
  <c r="X101" i="32"/>
  <c r="N173" i="32"/>
  <c r="N214" i="32"/>
  <c r="Q98" i="32"/>
  <c r="X25" i="32"/>
  <c r="X95" i="32"/>
  <c r="X194" i="32"/>
  <c r="T6" i="32"/>
  <c r="X113" i="32"/>
  <c r="X86" i="32"/>
  <c r="X19" i="32"/>
  <c r="X68" i="32"/>
  <c r="X182" i="32"/>
  <c r="X203" i="32"/>
  <c r="N208" i="32"/>
  <c r="Q144" i="32"/>
  <c r="Q145" i="32" s="1"/>
  <c r="N65" i="32"/>
  <c r="N66" i="32" s="1"/>
  <c r="X31" i="32"/>
  <c r="Q105" i="32"/>
  <c r="X122" i="32"/>
  <c r="N188" i="32"/>
  <c r="X222" i="32"/>
  <c r="X223" i="32" s="1"/>
  <c r="X137" i="32"/>
  <c r="N60" i="32"/>
  <c r="N46" i="32"/>
  <c r="X200" i="32"/>
  <c r="X186" i="32"/>
  <c r="X28" i="32"/>
  <c r="N176" i="32"/>
  <c r="T176" i="32"/>
  <c r="X45" i="32"/>
  <c r="X218" i="32"/>
  <c r="X219" i="32" s="1"/>
  <c r="X196" i="32"/>
  <c r="N195" i="32"/>
  <c r="X193" i="32"/>
  <c r="X98" i="32"/>
  <c r="X153" i="32"/>
  <c r="X154" i="32" s="1"/>
  <c r="N128" i="32"/>
  <c r="Q128" i="32"/>
  <c r="Q129" i="32" s="1"/>
  <c r="T128" i="32"/>
  <c r="T129" i="32" s="1"/>
  <c r="N81" i="32"/>
  <c r="T81" i="32"/>
  <c r="T87" i="32" s="1"/>
  <c r="Q19" i="32"/>
  <c r="T19" i="32"/>
  <c r="X46" i="32"/>
  <c r="N103" i="32"/>
  <c r="Q7" i="32"/>
  <c r="X103" i="32"/>
  <c r="X167" i="32"/>
  <c r="X168" i="32" s="1"/>
  <c r="X77" i="32"/>
  <c r="X123" i="32"/>
  <c r="X148" i="32"/>
  <c r="X209" i="32"/>
  <c r="X139" i="32"/>
  <c r="T63" i="32"/>
  <c r="N211" i="32"/>
  <c r="X78" i="32"/>
  <c r="X173" i="32"/>
  <c r="T18" i="32"/>
  <c r="Q18" i="32"/>
  <c r="X57" i="32"/>
  <c r="Q137" i="32"/>
  <c r="Q190" i="32"/>
  <c r="N23" i="32"/>
  <c r="N118" i="32"/>
  <c r="N119" i="32" s="1"/>
  <c r="Q158" i="32"/>
  <c r="Q159" i="32" s="1"/>
  <c r="Q148" i="32"/>
  <c r="Q152" i="32" s="1"/>
  <c r="X183" i="32"/>
  <c r="X17" i="32"/>
  <c r="X69" i="32"/>
  <c r="N225" i="32"/>
  <c r="X74" i="32"/>
  <c r="N8" i="32"/>
  <c r="Q108" i="32"/>
  <c r="Q109" i="32" s="1"/>
  <c r="T73" i="32"/>
  <c r="N79" i="32"/>
  <c r="N37" i="32"/>
  <c r="N80" i="32"/>
  <c r="Q92" i="32"/>
  <c r="X192" i="32"/>
  <c r="N230" i="32"/>
  <c r="N231" i="32" s="1"/>
  <c r="X190" i="32"/>
  <c r="X171" i="32"/>
  <c r="X172" i="32" s="1"/>
  <c r="Q88" i="32"/>
  <c r="N228" i="32"/>
  <c r="N204" i="32"/>
  <c r="Q100" i="32"/>
  <c r="Q104" i="32" s="1"/>
  <c r="N216" i="32"/>
  <c r="N217" i="32" s="1"/>
  <c r="X59" i="32"/>
  <c r="T29" i="32"/>
  <c r="Q20" i="32"/>
  <c r="T20" i="32"/>
  <c r="N20" i="32"/>
  <c r="X144" i="32"/>
  <c r="X145" i="32" s="1"/>
  <c r="X110" i="32"/>
  <c r="X111" i="32" s="1"/>
  <c r="T62" i="32"/>
  <c r="T64" i="32" s="1"/>
  <c r="N95" i="32"/>
  <c r="X102" i="32"/>
  <c r="X6" i="32"/>
  <c r="X197" i="32"/>
  <c r="N179" i="32"/>
  <c r="X8" i="32"/>
  <c r="N218" i="32"/>
  <c r="N219" i="32" s="1"/>
  <c r="N253" i="32" s="1"/>
  <c r="X10" i="32"/>
  <c r="Q96" i="32"/>
  <c r="N178" i="32"/>
  <c r="X232" i="32"/>
  <c r="X233" i="32" s="1"/>
  <c r="X198" i="32"/>
  <c r="T153" i="32"/>
  <c r="T154" i="32" s="1"/>
  <c r="Q153" i="32"/>
  <c r="Q154" i="32" s="1"/>
  <c r="X128" i="32"/>
  <c r="X125" i="32"/>
  <c r="X126" i="32" s="1"/>
  <c r="Y126" i="32" s="1"/>
  <c r="X160" i="32"/>
  <c r="X161" i="32" s="1"/>
  <c r="X16" i="32"/>
  <c r="Q75" i="32"/>
  <c r="Q76" i="32" s="1"/>
  <c r="T75" i="32"/>
  <c r="N75" i="32"/>
  <c r="X39" i="32"/>
  <c r="T134" i="32"/>
  <c r="T135" i="32"/>
  <c r="X80" i="32"/>
  <c r="X87" i="32" s="1"/>
  <c r="X35" i="32"/>
  <c r="X178" i="32"/>
  <c r="N194" i="32"/>
  <c r="X54" i="32"/>
  <c r="X187" i="32"/>
  <c r="X27" i="32"/>
  <c r="X179" i="32"/>
  <c r="X75" i="32"/>
  <c r="X5" i="32"/>
  <c r="X169" i="32"/>
  <c r="X170" i="32" s="1"/>
  <c r="X220" i="32"/>
  <c r="X221" i="32" s="1"/>
  <c r="N227" i="32"/>
  <c r="N229" i="32" s="1"/>
  <c r="Q14" i="32"/>
  <c r="X141" i="32"/>
  <c r="X191" i="32"/>
  <c r="X26" i="32"/>
  <c r="Q97" i="32"/>
  <c r="X185" i="32"/>
  <c r="X155" i="32"/>
  <c r="X210" i="32"/>
  <c r="X91" i="32"/>
  <c r="X34" i="32"/>
  <c r="X48" i="32"/>
  <c r="X21" i="32"/>
  <c r="X175" i="32"/>
  <c r="Q177" i="32"/>
  <c r="Q189" i="32" s="1"/>
  <c r="X133" i="32"/>
  <c r="X47" i="32"/>
  <c r="N9" i="32"/>
  <c r="T9" i="32"/>
  <c r="N183" i="32"/>
  <c r="T183" i="32"/>
  <c r="T189" i="32" s="1"/>
  <c r="N101" i="32"/>
  <c r="N104" i="32" s="1"/>
  <c r="Q10" i="32"/>
  <c r="X92" i="32"/>
  <c r="X55" i="32"/>
  <c r="T15" i="32"/>
  <c r="N15" i="32"/>
  <c r="Q70" i="32"/>
  <c r="Q72" i="32" s="1"/>
  <c r="N70" i="32"/>
  <c r="T70" i="32"/>
  <c r="N127" i="32"/>
  <c r="X165" i="32"/>
  <c r="X166" i="32" s="1"/>
  <c r="X216" i="32"/>
  <c r="X217" i="32" s="1"/>
  <c r="N130" i="32"/>
  <c r="N131" i="32" s="1"/>
  <c r="T130" i="32"/>
  <c r="T131" i="32" s="1"/>
  <c r="X213" i="32"/>
  <c r="X96" i="32"/>
  <c r="X65" i="32"/>
  <c r="X66" i="32" s="1"/>
  <c r="W215" i="32"/>
  <c r="X206" i="32"/>
  <c r="X114" i="32"/>
  <c r="X115" i="32" s="1"/>
  <c r="Y115" i="32" s="1"/>
  <c r="T33" i="32"/>
  <c r="N33" i="32"/>
  <c r="X30" i="32"/>
  <c r="X50" i="32"/>
  <c r="X51" i="32" s="1"/>
  <c r="X20" i="32"/>
  <c r="X120" i="32"/>
  <c r="X121" i="32" s="1"/>
  <c r="X181" i="32"/>
  <c r="X62" i="32"/>
  <c r="X64" i="32" s="1"/>
  <c r="N146" i="32"/>
  <c r="N147" i="32" s="1"/>
  <c r="T146" i="32"/>
  <c r="T147" i="32" s="1"/>
  <c r="T13" i="32"/>
  <c r="X146" i="32"/>
  <c r="X147" i="32" s="1"/>
  <c r="X230" i="32"/>
  <c r="X231" i="32" s="1"/>
  <c r="Q82" i="32"/>
  <c r="T41" i="32"/>
  <c r="Q41" i="32"/>
  <c r="Q86" i="32"/>
  <c r="T39" i="32"/>
  <c r="Q39" i="32"/>
  <c r="X105" i="32"/>
  <c r="X107" i="32" s="1"/>
  <c r="X89" i="32"/>
  <c r="X207" i="32"/>
  <c r="X73" i="32"/>
  <c r="N38" i="32"/>
  <c r="X71" i="32"/>
  <c r="N212" i="32"/>
  <c r="N160" i="32"/>
  <c r="N161" i="32" s="1"/>
  <c r="T160" i="32"/>
  <c r="T161" i="32" s="1"/>
  <c r="X7" i="32"/>
  <c r="N57" i="32"/>
  <c r="X208" i="32"/>
  <c r="N120" i="32"/>
  <c r="N121" i="32" s="1"/>
  <c r="X163" i="32"/>
  <c r="X136" i="32"/>
  <c r="X18" i="32"/>
  <c r="X24" i="32" s="1"/>
  <c r="T34" i="32"/>
  <c r="T42" i="32" s="1"/>
  <c r="X130" i="32"/>
  <c r="X131" i="32" s="1"/>
  <c r="X32" i="32"/>
  <c r="X176" i="32"/>
  <c r="X189" i="32" s="1"/>
  <c r="Q193" i="32"/>
  <c r="X142" i="32"/>
  <c r="X60" i="32"/>
  <c r="X180" i="32"/>
  <c r="X224" i="32"/>
  <c r="W229" i="32"/>
  <c r="X118" i="32"/>
  <c r="X119" i="32" s="1"/>
  <c r="N50" i="32"/>
  <c r="N51" i="32" s="1"/>
  <c r="N78" i="32"/>
  <c r="N87" i="32" s="1"/>
  <c r="N222" i="32"/>
  <c r="N223" i="32" s="1"/>
  <c r="X211" i="32"/>
  <c r="X226" i="32"/>
  <c r="X201" i="32"/>
  <c r="X204" i="32"/>
  <c r="N90" i="32"/>
  <c r="N53" i="32"/>
  <c r="N58" i="32" s="1"/>
  <c r="X162" i="32"/>
  <c r="N43" i="32"/>
  <c r="N44" i="32" s="1"/>
  <c r="N197" i="32"/>
  <c r="X228" i="32"/>
  <c r="N48" i="32"/>
  <c r="N49" i="32" s="1"/>
  <c r="T99" i="32"/>
  <c r="T76" i="32"/>
  <c r="X205" i="32"/>
  <c r="Y233" i="32"/>
  <c r="X129" i="32"/>
  <c r="Y172" i="32"/>
  <c r="X44" i="32"/>
  <c r="X229" i="32" l="1"/>
  <c r="Q42" i="32"/>
  <c r="X215" i="32"/>
  <c r="W234" i="32"/>
  <c r="Y131" i="32"/>
  <c r="Q138" i="32"/>
  <c r="X61" i="32"/>
  <c r="X99" i="32"/>
  <c r="Q87" i="32"/>
  <c r="Y87" i="32" s="1"/>
  <c r="T24" i="32"/>
  <c r="Q99" i="32"/>
  <c r="Q24" i="32"/>
  <c r="X104" i="32"/>
  <c r="Y104" i="32" s="1"/>
  <c r="X202" i="32"/>
  <c r="X72" i="32"/>
  <c r="X143" i="32"/>
  <c r="Y143" i="32" s="1"/>
  <c r="N129" i="32"/>
  <c r="Y129" i="32" s="1"/>
  <c r="N202" i="32"/>
  <c r="N189" i="32"/>
  <c r="Y189" i="32" s="1"/>
  <c r="Q202" i="32"/>
  <c r="X58" i="32"/>
  <c r="Y58" i="32" s="1"/>
  <c r="N24" i="32"/>
  <c r="Y24" i="32" s="1"/>
  <c r="X157" i="32"/>
  <c r="X138" i="32"/>
  <c r="N99" i="32"/>
  <c r="T72" i="32"/>
  <c r="X152" i="32"/>
  <c r="Y152" i="32" s="1"/>
  <c r="X76" i="32"/>
  <c r="N42" i="32"/>
  <c r="Y119" i="32"/>
  <c r="X49" i="32"/>
  <c r="Y49" i="32" s="1"/>
  <c r="N76" i="32"/>
  <c r="N215" i="32"/>
  <c r="N252" i="32" s="1"/>
  <c r="X164" i="32"/>
  <c r="T138" i="32"/>
  <c r="Y111" i="32"/>
  <c r="Q107" i="32"/>
  <c r="Y107" i="32" s="1"/>
  <c r="Y44" i="32"/>
  <c r="N72" i="32"/>
  <c r="X124" i="32"/>
  <c r="Y124" i="32" s="1"/>
  <c r="N61" i="32"/>
  <c r="N251" i="32" s="1"/>
  <c r="N254" i="32" s="1"/>
  <c r="N205" i="32"/>
  <c r="Y229" i="32"/>
  <c r="Y76" i="32"/>
  <c r="X42" i="32"/>
  <c r="T234" i="32" l="1"/>
  <c r="T239" i="32" s="1"/>
  <c r="T240" i="32" s="1"/>
  <c r="N244" i="32" s="1"/>
  <c r="N239" i="32"/>
  <c r="N242" i="32" s="1"/>
  <c r="Y99" i="32"/>
  <c r="N234" i="32"/>
  <c r="N235" i="32" s="1"/>
  <c r="Y215" i="32"/>
  <c r="Y72" i="32"/>
  <c r="Y138" i="32"/>
  <c r="Q234" i="32"/>
  <c r="Q239" i="32" s="1"/>
  <c r="Q240" i="32" s="1"/>
  <c r="N243" i="32" s="1"/>
  <c r="Y42" i="32"/>
  <c r="X234" i="32"/>
  <c r="T235" i="32"/>
  <c r="N240" i="32" l="1"/>
  <c r="Q235" i="32"/>
  <c r="Y234" i="32"/>
  <c r="Y240" i="32" s="1"/>
  <c r="X240" i="32"/>
  <c r="N245" i="32"/>
  <c r="N256" i="32" s="1"/>
</calcChain>
</file>

<file path=xl/sharedStrings.xml><?xml version="1.0" encoding="utf-8"?>
<sst xmlns="http://schemas.openxmlformats.org/spreadsheetml/2006/main" count="16044" uniqueCount="2779">
  <si>
    <t>№</t>
  </si>
  <si>
    <t>Инв.№</t>
  </si>
  <si>
    <t>група</t>
  </si>
  <si>
    <t>име</t>
  </si>
  <si>
    <t>Пикир машина Strobel 103-180</t>
  </si>
  <si>
    <t>Едноиглова права машина Pfaff 1183</t>
  </si>
  <si>
    <t>обрезвачка</t>
  </si>
  <si>
    <t>Кроялна система Bullmer</t>
  </si>
  <si>
    <t>Двуиглов 5 конечен оверлог JUKI MO 6716S</t>
  </si>
  <si>
    <t>Копчешиеща машина Juki MB-1373</t>
  </si>
  <si>
    <t>Кабина за почистване на петна модел SOSTAR-TL 7</t>
  </si>
  <si>
    <t>Руйно</t>
  </si>
  <si>
    <t>Пикир машина Strobel KL45-223</t>
  </si>
  <si>
    <t>Гладачна преса-ханш - панталони BRI231/101</t>
  </si>
  <si>
    <t>Машина за опаковане продукция TLS1 Brisay</t>
  </si>
  <si>
    <t>Едноиглова права машина  Durkopp 275</t>
  </si>
  <si>
    <t>Илична машина Durkopp 559-151</t>
  </si>
  <si>
    <t>Филет автомат Durkopp-Beisler 100-68</t>
  </si>
  <si>
    <t>Едноиглова права машина Juki DLN5410</t>
  </si>
  <si>
    <t>Едноиглова права машина  Juki DLM 5400</t>
  </si>
  <si>
    <t>Транспортна лента захранваща подлепваща преса с инв.№ 403</t>
  </si>
  <si>
    <t>Копчешиеща машина  Durkopp 531</t>
  </si>
  <si>
    <t>Едноиглова права машина Brother S-7200C</t>
  </si>
  <si>
    <t>Едноиглова права машина  Durkopp 281</t>
  </si>
  <si>
    <t>Верижна машина Durkopp 173</t>
  </si>
  <si>
    <t>Гладачна маса VEIT S126449</t>
  </si>
  <si>
    <t>CNC Cutter автоматизирана с-ма за кроене KURIS С3030</t>
  </si>
  <si>
    <t>Автомат за дребни детайли PFAFF3511-2/1</t>
  </si>
  <si>
    <t>Автомат за свивки PFAFF 3586-12/02</t>
  </si>
  <si>
    <t>Преса за трансферен печат GRUNDLER GTK</t>
  </si>
  <si>
    <t>Верижна машина Kansai  FBX1104PA</t>
  </si>
  <si>
    <t>Едноиглова права машина Brother S7200</t>
  </si>
  <si>
    <t>Едноиглова права машина JUKI DDL 8300N</t>
  </si>
  <si>
    <t>Едноиглова права машина JUKI DDL 8700-7</t>
  </si>
  <si>
    <t>Шевна машина за ръчен бод Japsew-781</t>
  </si>
  <si>
    <t>Копчешиеща машина Juki МВ-377</t>
  </si>
  <si>
    <t>Едноиглова права машина JUKI DDL 9010SS</t>
  </si>
  <si>
    <t>Гатер ножица KM-KS-FX</t>
  </si>
  <si>
    <t>Филет автомат BASS3200-SA</t>
  </si>
  <si>
    <t>Гладачна маса VEIT 070316205</t>
  </si>
  <si>
    <t>Пикир машина  MAYER 40464</t>
  </si>
  <si>
    <t>Едноиглова права машина JUKI DDL 9000 SS</t>
  </si>
  <si>
    <t>Копчешиеща машина Juki MB-373</t>
  </si>
  <si>
    <t>Илична машина</t>
  </si>
  <si>
    <t>Подлепваща преса</t>
  </si>
  <si>
    <t>Гатер ножица SBS-B-97</t>
  </si>
  <si>
    <t>Машина за навиване на копчета "ASCOLITE Mk 6"</t>
  </si>
  <si>
    <t>Едноиглова права машина JUKI DDL-8500</t>
  </si>
  <si>
    <t>Двуиглов 5 конечен оверлог JUKI MO 3616</t>
  </si>
  <si>
    <t xml:space="preserve">Гладачна маса INDUPRESS IPN-1260-DOB S+B </t>
  </si>
  <si>
    <t>Едноиглова права машина Brother S7200/403/PFL/F40</t>
  </si>
  <si>
    <t>Едноиглов 3 конечен оверлог JUKI MO3604</t>
  </si>
  <si>
    <t>Двуиглов 5 конечен оверлог Shanggong GN716-D53-MOOP</t>
  </si>
  <si>
    <t>Едноиглова права машина Shanggong GC8880R-5-5D</t>
  </si>
  <si>
    <t>Автомат укрепване на тигели и етикети JUKI AMS-210EN</t>
  </si>
  <si>
    <t>Едноиглов 3 конечен оверлог JUKI MO 6704S</t>
  </si>
  <si>
    <t>Понтавтомат за укрепване на гайки JUKI AB-1351N</t>
  </si>
  <si>
    <t>Пикир машина Strobel 103-258</t>
  </si>
  <si>
    <t xml:space="preserve">Едноиглова права машина JUKI DLN 9010A-SS </t>
  </si>
  <si>
    <t>Едноиглова права машина за подгъв на панталон Juki DLN 6390</t>
  </si>
  <si>
    <t>Трииглова П-образна машина Brother DA9280-7</t>
  </si>
  <si>
    <t>единична</t>
  </si>
  <si>
    <t>Двуиглов 4 конечен оверлог JUKI MO 6714S</t>
  </si>
  <si>
    <t>Едноиглова права машина  Durkopp 272</t>
  </si>
  <si>
    <t>Пикир машина Strobel VEB103-191</t>
  </si>
  <si>
    <t>Трииглов 6 конечен оверлог JUKI MO6743S</t>
  </si>
  <si>
    <t>Двуиглов 5 конечен оверлог JUKI MO6916R</t>
  </si>
  <si>
    <t>Верижна машина JUKI MH481-54U</t>
  </si>
  <si>
    <t>Верижна машина Durkopp 171</t>
  </si>
  <si>
    <t xml:space="preserve">Гатер ножица </t>
  </si>
  <si>
    <t>Едноиглова права машина  Durkopp 273</t>
  </si>
  <si>
    <t xml:space="preserve">Пикир машина Strobel  100-4 </t>
  </si>
  <si>
    <t>Банциг Kuris TexKnite 492KR</t>
  </si>
  <si>
    <t xml:space="preserve">Машина за процепване на двулицев плат модел Tecmic MR10 </t>
  </si>
  <si>
    <t>Преса за трансферен печат OZER OM-1001</t>
  </si>
  <si>
    <t>Пневматична преса за агрифки</t>
  </si>
  <si>
    <t>Двуиглов 5 конечен оверлог JACK 788-02X 250</t>
  </si>
  <si>
    <t>Илична машина Juki LBH-1790</t>
  </si>
  <si>
    <t>Шевна машина за ръчен бод SLDE360</t>
  </si>
  <si>
    <t>Шевна машина за ръчен бод SLDE313</t>
  </si>
  <si>
    <t>Машина за рязане на зиг-заг SIDECUT 10</t>
  </si>
  <si>
    <t>Филет автомат Durkopp-Beisler 100-69</t>
  </si>
  <si>
    <t>Гладачна маса VEIT UNISET DOB S+B 4255-S126442</t>
  </si>
  <si>
    <t>Копчешиеща машина Siruba RT1906ASS</t>
  </si>
  <si>
    <t>Машина за навиване на копчета "ASCOLITE BSS Mk13"</t>
  </si>
  <si>
    <t xml:space="preserve">Лизир машина Durkopp Adler 610 оборудвано работно място за предварителен набор </t>
  </si>
  <si>
    <t>Покривна машина Juki MF7523</t>
  </si>
  <si>
    <t>Едноиглова права машина Brother S7200B</t>
  </si>
  <si>
    <t>Покривна машина Kansai BLX-2202CW1/4</t>
  </si>
  <si>
    <t>Двуиглова права машина Brother T8452C-403</t>
  </si>
  <si>
    <t>Верижна машина Kansai LX-5803PHD</t>
  </si>
  <si>
    <t>Полуавтомат за съединяване Pegasus 1280-5-1</t>
  </si>
  <si>
    <t>Илична машина Durkopp Multiflex 580-312</t>
  </si>
  <si>
    <t>Илична машина Durkopp 580-112</t>
  </si>
  <si>
    <t>Машина за прикачане на подплънки(вати) Durkopp 697-15155</t>
  </si>
  <si>
    <t>Едноиглова права машина  Durkopp 271</t>
  </si>
  <si>
    <t>Едноиглова права машина  Durkopp 274</t>
  </si>
  <si>
    <t>Верижна машина Durkopp 176</t>
  </si>
  <si>
    <t>Едноиглов 3 конечен оверлог PEGASUS 0271 360</t>
  </si>
  <si>
    <t>Банцинг Kuris 492 KR</t>
  </si>
  <si>
    <t>Гладачна маса VEIT UNISET S TURBO S1443520030</t>
  </si>
  <si>
    <t>Гладачна маса VEIT UNISET DOB S+B</t>
  </si>
  <si>
    <t>Пикир машина  MAYER UNITAS 352-12</t>
  </si>
  <si>
    <t>CNC Cutter автоматизирана с-ма за кроене KURIS C3030S</t>
  </si>
  <si>
    <t xml:space="preserve">Пикир машина Strobel KL560-11 </t>
  </si>
  <si>
    <t>Машина за почистване на конци GT22-12</t>
  </si>
  <si>
    <t>Пикир машина BRODERI BD-101</t>
  </si>
  <si>
    <t>Илична машина Juki MEB 3200S</t>
  </si>
  <si>
    <t>Вакуум помпа DB675</t>
  </si>
  <si>
    <t>Двуиглов 5 конечен оверлог Juki MO3600</t>
  </si>
  <si>
    <t>Покривна машина Juki MF7723</t>
  </si>
  <si>
    <t>Едноиглов 3 конечен оверлог Juki MO6700</t>
  </si>
  <si>
    <t>ел. машина за рязане на ласе CuTex</t>
  </si>
  <si>
    <t>Машина за пренавиване на конци KaiXuan-KX05</t>
  </si>
  <si>
    <t>Банциг</t>
  </si>
  <si>
    <t>Понт машина</t>
  </si>
  <si>
    <t xml:space="preserve">Инв № </t>
  </si>
  <si>
    <t>Група</t>
  </si>
  <si>
    <t>Име на приспособление</t>
  </si>
  <si>
    <t>Описание/размер</t>
  </si>
  <si>
    <t>Количество</t>
  </si>
  <si>
    <t>Забележка</t>
  </si>
  <si>
    <t>Местоположение</t>
  </si>
  <si>
    <t>Апарат за обточване</t>
  </si>
  <si>
    <t>16мм</t>
  </si>
  <si>
    <t>А10</t>
  </si>
  <si>
    <t>БТБ</t>
  </si>
  <si>
    <t>22мм</t>
  </si>
  <si>
    <t>24мм</t>
  </si>
  <si>
    <t>26мм</t>
  </si>
  <si>
    <t>28мм</t>
  </si>
  <si>
    <t>30мм</t>
  </si>
  <si>
    <t>32мм</t>
  </si>
  <si>
    <t>38мм</t>
  </si>
  <si>
    <t>40мм</t>
  </si>
  <si>
    <t>Апарат за подгъв</t>
  </si>
  <si>
    <t>3+3</t>
  </si>
  <si>
    <t>А11</t>
  </si>
  <si>
    <t>4+4</t>
  </si>
  <si>
    <t>5+5</t>
  </si>
  <si>
    <t>6+6</t>
  </si>
  <si>
    <t>8+8</t>
  </si>
  <si>
    <t>10+10</t>
  </si>
  <si>
    <t>8мм</t>
  </si>
  <si>
    <t>1 подгъване</t>
  </si>
  <si>
    <t>...</t>
  </si>
  <si>
    <t>за Руж</t>
  </si>
  <si>
    <t>Паспел</t>
  </si>
  <si>
    <t>50/25</t>
  </si>
  <si>
    <t>44мм</t>
  </si>
  <si>
    <t>25х1,5х10</t>
  </si>
  <si>
    <t>6мм</t>
  </si>
  <si>
    <t>2+2</t>
  </si>
  <si>
    <t>без краче и зъби</t>
  </si>
  <si>
    <t>36мм</t>
  </si>
  <si>
    <t>42мм</t>
  </si>
  <si>
    <t>44мм/10</t>
  </si>
  <si>
    <t>44мм/12</t>
  </si>
  <si>
    <t>44мм/15</t>
  </si>
  <si>
    <t>Фуния за прикачване на лента</t>
  </si>
  <si>
    <t>34мм</t>
  </si>
  <si>
    <t>Фуния за френски шев</t>
  </si>
  <si>
    <t>за двуиглова машина</t>
  </si>
  <si>
    <t>Фуния за спагети</t>
  </si>
  <si>
    <t>20мм</t>
  </si>
  <si>
    <t>24мм,26мм,28мм</t>
  </si>
  <si>
    <t>35мм</t>
  </si>
  <si>
    <t>Фуния за колани</t>
  </si>
  <si>
    <t>90/75</t>
  </si>
  <si>
    <t>75/60</t>
  </si>
  <si>
    <t xml:space="preserve">Гарнитура за двуиглова машина </t>
  </si>
  <si>
    <t>гарнитура к-т</t>
  </si>
  <si>
    <t>Фуния за едниничен подгъв</t>
  </si>
  <si>
    <t>Апарат за паспел</t>
  </si>
  <si>
    <t>Апарат за боксер</t>
  </si>
  <si>
    <t>65мм</t>
  </si>
  <si>
    <t>Апарат за странично съединяване</t>
  </si>
  <si>
    <t>Н025</t>
  </si>
  <si>
    <t>Апарат за набор</t>
  </si>
  <si>
    <t>Апарат за челно съединяване</t>
  </si>
  <si>
    <t>АР 165</t>
  </si>
  <si>
    <t>GР165</t>
  </si>
  <si>
    <t>Апарат за гайки</t>
  </si>
  <si>
    <t>10мм</t>
  </si>
  <si>
    <t>30./12</t>
  </si>
  <si>
    <t>Апарат за френски шев</t>
  </si>
  <si>
    <t>6,4мм</t>
  </si>
  <si>
    <t>ГРУПИ МАШИНИ</t>
  </si>
  <si>
    <t>ГРУПА</t>
  </si>
  <si>
    <t>ВИД МАШИНА</t>
  </si>
  <si>
    <t>Едноиглова права машина</t>
  </si>
  <si>
    <t>Oверлог</t>
  </si>
  <si>
    <t>Двуиглова права машина</t>
  </si>
  <si>
    <t>Покривна машина</t>
  </si>
  <si>
    <t>Верижна машина</t>
  </si>
  <si>
    <t>Пикир машина</t>
  </si>
  <si>
    <t>Шевна машина за ръчен бод</t>
  </si>
  <si>
    <t>Филет автомат</t>
  </si>
  <si>
    <t>Понтавтомат за укрепване на гайки</t>
  </si>
  <si>
    <t>Автомат за свивки</t>
  </si>
  <si>
    <t>Машина за прикачане на подплънки</t>
  </si>
  <si>
    <t>Гладачна маса</t>
  </si>
  <si>
    <t>Гладачна преса</t>
  </si>
  <si>
    <t>CNC Cutter автоматизирана с-ма за кроене KURIS</t>
  </si>
  <si>
    <t xml:space="preserve">Ръкавна машина </t>
  </si>
  <si>
    <t>Преса</t>
  </si>
  <si>
    <t>Автомат за дребни детайли</t>
  </si>
  <si>
    <t>Машина за процепване</t>
  </si>
  <si>
    <t>Машина за рязане на зиг-заг</t>
  </si>
  <si>
    <t>Автомат-Juki AMS</t>
  </si>
  <si>
    <t>Вакуум помпа</t>
  </si>
  <si>
    <t>Опаковъчни машини</t>
  </si>
  <si>
    <t xml:space="preserve">Копчешиещa машинa </t>
  </si>
  <si>
    <t>Зиг-заг машина</t>
  </si>
  <si>
    <t>Станция за почистване на петна</t>
  </si>
  <si>
    <t>Входящ контрол</t>
  </si>
  <si>
    <t>Копчешиеща машина Siruba RT-468G</t>
  </si>
  <si>
    <t>Копчешиеща машина JUKI MB1800B</t>
  </si>
  <si>
    <t>Дата на закупуване</t>
  </si>
  <si>
    <t>Двуиглов 5 конечен оверлог JUKI MO-6700</t>
  </si>
  <si>
    <t>Дискова ножица Robo Technology RT100</t>
  </si>
  <si>
    <t>Дискова ножица</t>
  </si>
  <si>
    <t>Дискова ножица Su Lee ЗЕR.360-70-499</t>
  </si>
  <si>
    <t>Дискова ножица Su Lee 3ER.70497</t>
  </si>
  <si>
    <t>Шило за обръщане на колани</t>
  </si>
  <si>
    <t>Кроялни маси и транспортьори</t>
  </si>
  <si>
    <t>Покривна машина Juki MF 7523</t>
  </si>
  <si>
    <t>30 05 2002</t>
  </si>
  <si>
    <t>Верижна машина JUKI MH481-5</t>
  </si>
  <si>
    <t>Лазерни машини</t>
  </si>
  <si>
    <t>Машина за пренавиване на конци</t>
  </si>
  <si>
    <t>Домашен пикир Robo Technology RT-500D-1</t>
  </si>
  <si>
    <t>Пикир машина Strobel VEB 100-2</t>
  </si>
  <si>
    <t>Шевни машини с дълго рамо</t>
  </si>
  <si>
    <t>Шевна машина с дълго рамо ZJ-M5-S900H-SF</t>
  </si>
  <si>
    <t>Шевна машина с дълго рамо ZJ-M5-S900H-SF-LK2</t>
  </si>
  <si>
    <t>Подлепваща преса MESERMAK MSR-600</t>
  </si>
  <si>
    <t>Боксер машина Siruba VC008-12064P/VSC</t>
  </si>
  <si>
    <t>БТБ-МБ</t>
  </si>
  <si>
    <t>БТБ-Македония</t>
  </si>
  <si>
    <t xml:space="preserve">Гладачна преса за предни части (л+д) BRI1005/101 </t>
  </si>
  <si>
    <t>Гладачна преса-ханш - панталони BRI2390/201</t>
  </si>
  <si>
    <t xml:space="preserve"> Indupress IPN-TOP-B 03</t>
  </si>
  <si>
    <t>Устройство за опъване на затворен ластик</t>
  </si>
  <si>
    <t>Устройство за опъване на затворен ластик RTP0001</t>
  </si>
  <si>
    <t>Двуиглов 4 конечен оверлог Juki MO 6713DA</t>
  </si>
  <si>
    <t>Покривна машина Siruba FOO7KD-W122-356/FHA/UTG/DFKH1</t>
  </si>
  <si>
    <t>Гарнитура за биетарка</t>
  </si>
  <si>
    <t>25-6 / 35-10</t>
  </si>
  <si>
    <t>двойна</t>
  </si>
  <si>
    <t>Водач за лицев шев на покривна машина</t>
  </si>
  <si>
    <t>ляв</t>
  </si>
  <si>
    <t>E020L</t>
  </si>
  <si>
    <t>Гарнитура за оверлог</t>
  </si>
  <si>
    <t>двоен пълен подгъв-10мм</t>
  </si>
  <si>
    <t>Двуиглов 4 конечен оверлог SIRUBA 747L-514M-3-24</t>
  </si>
  <si>
    <t>Двуиглов 5 конечен оверлог Robotechnology RT-65-TAD/EUT</t>
  </si>
  <si>
    <t>ел. машина за рязане на ласе Orbit</t>
  </si>
  <si>
    <t>Машина за рязане на ласе</t>
  </si>
  <si>
    <t>Шевна машина с дълго рамо ZJ-M6-S900-SF-LK2-V2</t>
  </si>
  <si>
    <t>Шевна машина за ръчен бод Japsew 785-D</t>
  </si>
  <si>
    <t>Гарнитура за обрезвачка DA</t>
  </si>
  <si>
    <t>Гарнутура за обрезвачка Juki</t>
  </si>
  <si>
    <t>3мм</t>
  </si>
  <si>
    <t>Шила за обръщане на колани и яки</t>
  </si>
  <si>
    <t>Машина за обръщане и изрязване на яки OM102</t>
  </si>
  <si>
    <t>Преса за трансферен печат SESTO DNT6350PPV</t>
  </si>
  <si>
    <t>Гладачна преса за крачоли на панталон BRI222SH</t>
  </si>
  <si>
    <t>Гладачна преса за крачоли на панталон BRI-2220/411</t>
  </si>
  <si>
    <t>Верижна машина Kansai NW8842-1G/SERVO/IPG</t>
  </si>
  <si>
    <t>апарати мострена бригада</t>
  </si>
  <si>
    <t>номер</t>
  </si>
  <si>
    <t>вид на апарата</t>
  </si>
  <si>
    <t>видове машини</t>
  </si>
  <si>
    <t>права машина</t>
  </si>
  <si>
    <t>двуигловка</t>
  </si>
  <si>
    <t>пикир</t>
  </si>
  <si>
    <t>покривна</t>
  </si>
  <si>
    <t>оверлог</t>
  </si>
  <si>
    <t>машина за двойно лицев плат</t>
  </si>
  <si>
    <t>апарат за гайки на пикир</t>
  </si>
  <si>
    <t>да</t>
  </si>
  <si>
    <t>апарат за отворени шевове права машина</t>
  </si>
  <si>
    <t>апарат за гайки 6мм покривна</t>
  </si>
  <si>
    <t>апарат за гайки 10мм покривна</t>
  </si>
  <si>
    <t>апарат за обточване 1х12/24мм права лента</t>
  </si>
  <si>
    <t>апарат за обточване 2х6/24мм права лента</t>
  </si>
  <si>
    <t>апарат за обточване 22х8/32мм права лента</t>
  </si>
  <si>
    <t>апарат за обточване 1х12 веревна лента</t>
  </si>
  <si>
    <t>апарат за обточване 28мм веревна лента</t>
  </si>
  <si>
    <t>апарат за обточване 26мм веревна лента</t>
  </si>
  <si>
    <t>апарат за обточване 50мм веревна лента</t>
  </si>
  <si>
    <t>апарат за обточване 30мм веревна лента</t>
  </si>
  <si>
    <t>апарат за обточване 40мм веревна лента</t>
  </si>
  <si>
    <t>апарат за обточване 38мм веревна лента</t>
  </si>
  <si>
    <t>апарат за обточване 20мм веревна лента</t>
  </si>
  <si>
    <t>апарат за обточване 22мм веревна лента</t>
  </si>
  <si>
    <t>апарат за обточване 16мм веревна лента</t>
  </si>
  <si>
    <t>апарат за обточване 36мм веревна лента</t>
  </si>
  <si>
    <t>апарат за обточване 32мм веревна лента</t>
  </si>
  <si>
    <t>апарат за обточване бие 38мм лента</t>
  </si>
  <si>
    <t>апарат за обточване 30мм права лента</t>
  </si>
  <si>
    <t>апарат за нервюри (черчета)</t>
  </si>
  <si>
    <t>апарат за отворени шевове покривна машина</t>
  </si>
  <si>
    <t>апарат за подгъв 2х6 широк</t>
  </si>
  <si>
    <t>апарат за спагети 10мм/35мм лента</t>
  </si>
  <si>
    <t>апарат за 2х10 подгъв</t>
  </si>
  <si>
    <t>апарат за (фуния) гайки 10мм</t>
  </si>
  <si>
    <t>апарат за стъпаловидно рязане на обрезвачка</t>
  </si>
  <si>
    <t>апарат за подгъв 2х6мм</t>
  </si>
  <si>
    <t>апарат за обточване 24мм права лента</t>
  </si>
  <si>
    <t>апарат за бие 25мм лента 8/10 готов вид</t>
  </si>
  <si>
    <t>апарат за обточване 36мм права лента</t>
  </si>
  <si>
    <t>апарат за обточване 44мм веревна лента тежък клас</t>
  </si>
  <si>
    <t>апарат за подгъв 2х5мм.(крак)</t>
  </si>
  <si>
    <t>апарат за  обточване 24мм веревна лента регулеруем</t>
  </si>
  <si>
    <t>апарат за спагети 8 мм + краче и зъби</t>
  </si>
  <si>
    <t>апарат за обточване на оверлог с лента 10мм с отворени кантове+краче и зъби за оверлог 1бр.</t>
  </si>
  <si>
    <t>апарат за обточване на оверлог с лента 8мм с отворени кантове</t>
  </si>
  <si>
    <t>апарат за спагети 12,7мм ,лента 40мм</t>
  </si>
  <si>
    <t>апарат за двойно подгъване на 8мм за двойно лицев плат</t>
  </si>
  <si>
    <t>апарат за двойно подгъване с лицев шев на 10мм</t>
  </si>
  <si>
    <t>апарат за обточване 48мм единично подгъване права лента</t>
  </si>
  <si>
    <t>апарат за гайки 40/20мм покривна</t>
  </si>
  <si>
    <t>апарат за обточване права лента 20мм</t>
  </si>
  <si>
    <t>Апарат за обточване веревна лента 60мм,готов вид 20/10 (поло бленда)</t>
  </si>
  <si>
    <t>апарат за обточване права лента еденично 22мм</t>
  </si>
  <si>
    <t>апарат за обточване права лента единично 32мм</t>
  </si>
  <si>
    <t>апарат за обточване права лента единично 60мм</t>
  </si>
  <si>
    <t>апарат за обточване 34мм веревна лента</t>
  </si>
  <si>
    <t>апарат за обточване права лента единично 22мм</t>
  </si>
  <si>
    <t>апарат за обточване бие 36/10/12мм за права машина</t>
  </si>
  <si>
    <t>апарат за обточване веревна лента 30мм</t>
  </si>
  <si>
    <t>апарат за паспел 32мм</t>
  </si>
  <si>
    <t>апарат за гайки 24/12мм покривна машина</t>
  </si>
  <si>
    <t>апарат за спагети 7/26мм</t>
  </si>
  <si>
    <t>апарат за спагети 3,2/12,7мм краче,зъби и плочка</t>
  </si>
  <si>
    <t>апарат за спагети 4,8/19,1мм краче,зъби и плочка</t>
  </si>
  <si>
    <t>апрат за черчета(нервюри)</t>
  </si>
  <si>
    <t>апарат за подгъви 2х1,6мм.    1/16“  +краче,зъби и плочка</t>
  </si>
  <si>
    <t>апарат за подгъви 2х3,2мм.    1/8“     +краче,зъби и плочка</t>
  </si>
  <si>
    <t>гарнитура за пико със силиконови зъби 1,6мм+краче,3бр. Зъби и плочка</t>
  </si>
  <si>
    <t>апарат за паспел 30мм за оверлог</t>
  </si>
  <si>
    <t>апарат за обточване веревна лента 80/20 за права машина</t>
  </si>
  <si>
    <t>апарат за обточване права лента 90/35 за права машина</t>
  </si>
  <si>
    <t>апарат за паспел 39мм за права машина</t>
  </si>
  <si>
    <t>апарат за челно съеденяване на 6мм на покривна машина,горният кат се подгъва на 6мм,а долният е прав</t>
  </si>
  <si>
    <t>апарат за нервюри +зъби,плочка и краче</t>
  </si>
  <si>
    <t>апарат за паспел на оверлог 30/16мм прегъната лента</t>
  </si>
  <si>
    <t>апарат за обточване веревна лента 38мм</t>
  </si>
  <si>
    <t>апарат за гайки 28/10 преподгъната</t>
  </si>
  <si>
    <t>апарат френски шев на права машина с резерва 7мм</t>
  </si>
  <si>
    <t>апарат за гайки 30-32/10/7 с лицев тигел по средата</t>
  </si>
  <si>
    <t>апарат за права лента двойно обточване 35мм</t>
  </si>
  <si>
    <t>апарат за единичен канон 30мм</t>
  </si>
  <si>
    <t>апарат за единичен канон 35мм</t>
  </si>
  <si>
    <t>апарат за права лента двойно подгъване 44/15</t>
  </si>
  <si>
    <t>апарат за единичен канон 20мм</t>
  </si>
  <si>
    <t>апарат за канони (полобленда) 30мм</t>
  </si>
  <si>
    <t>апарат за обточване тежък клас 30мм</t>
  </si>
  <si>
    <t>апарат за прикачане на платка към гръб с резерва 10мм</t>
  </si>
  <si>
    <t>апарат за пришиване на ръкав на двуигловка 1-процес (английски шев)</t>
  </si>
  <si>
    <t>апарат за пришиване на ръкав на права машина 2-процес(английски шев)</t>
  </si>
  <si>
    <t>апарат за френски шев на права машина 10мм размер L</t>
  </si>
  <si>
    <t>апарат за френски шев на права машина 10 мм размер М</t>
  </si>
  <si>
    <t>апарат за английски шев на права машина F10R,прикачане на ръкав</t>
  </si>
  <si>
    <t>апарат за английски шев на права машина F11,прикачане на ръкав</t>
  </si>
  <si>
    <t>а-т за обточване с ластик 20мм + дозатор</t>
  </si>
  <si>
    <t>апарат за паспел с шнур на оверлог</t>
  </si>
  <si>
    <t>апарат за гайки на покривна 16/8мм</t>
  </si>
  <si>
    <t xml:space="preserve">Гладачна маса VEIT UNISET S 4433 </t>
  </si>
  <si>
    <t xml:space="preserve">Гладачна маса VEIT UNISET S  </t>
  </si>
  <si>
    <t>Гладачна преса малка универсална Veit Brisay 2068/101</t>
  </si>
  <si>
    <t xml:space="preserve">Гладачна маса VEIT UNISET S </t>
  </si>
  <si>
    <t>Преса гладене на яки Ozer Makina OM202</t>
  </si>
  <si>
    <t>Гладачна маса VEIT 126470</t>
  </si>
  <si>
    <t>Гладачна преса подмишницата при сака,Veit BRI-2065/201</t>
  </si>
  <si>
    <t xml:space="preserve">Гладачна преса за предни части (л+д) Veit BRI1005/101 </t>
  </si>
  <si>
    <t>Гладачна маса VEIT UNISET S</t>
  </si>
  <si>
    <t xml:space="preserve">Гладачна маса VEIT UNISET S+B </t>
  </si>
  <si>
    <t>Гладачна вертикална преса финиш.ръкави сака Veit BRI-890/111</t>
  </si>
  <si>
    <t>Гладачна преса за крайно гладене лакътен шев, Veit BRI-860/111</t>
  </si>
  <si>
    <t>Гладачна преса за крайно гладене лакътен шев, Veit BRI-860/101</t>
  </si>
  <si>
    <t>Гладачна преса яка и ревер Veit BRI 950</t>
  </si>
  <si>
    <t>Гладачна преса яка и ревер Veit BRI-950E/101</t>
  </si>
  <si>
    <t>Уред за финиширане-Пароманекен VEIT 8363</t>
  </si>
  <si>
    <t>Подлепваща преса Veit Brisay Kannegiesser ЕХ1400 Multistar FE/CR/B soft</t>
  </si>
  <si>
    <t xml:space="preserve">Подлепваща преса тип Veit Brisay Kannegiesser XT1400 </t>
  </si>
  <si>
    <t>Подлепваща преса Veit Brisay Kannegiesser ХТ1000</t>
  </si>
  <si>
    <t>Копчешиеща машина Nanbang NB-1373D</t>
  </si>
  <si>
    <t>Подлепваща преса ROBOTECHNOLOGY RT-450B</t>
  </si>
  <si>
    <t>Машина за разкрояване на текстил Rexel PP-2/B</t>
  </si>
  <si>
    <t>Машина за разкрояване на текстил Rexel P-3S/R</t>
  </si>
  <si>
    <t>Крошет машина Siruba Z008-248Q</t>
  </si>
  <si>
    <t>Двуиглов 5 конечен оверлог Siruba 757KT-516M-3-55</t>
  </si>
  <si>
    <t>Шевна машина за ръчен бод Japsew 785-XT</t>
  </si>
  <si>
    <t>Устройство за поставяне на плъзгач</t>
  </si>
  <si>
    <t>Устройство за поставяне на плъзгач на цип</t>
  </si>
  <si>
    <t>Едноиглова права машина JUKI DDL 8700B-7</t>
  </si>
  <si>
    <t>Едноиглова права машина JUKI DDL 5550N-7</t>
  </si>
  <si>
    <t>Двуиглов 5 конечен оверлог JUKI MO 6816S</t>
  </si>
  <si>
    <t>Месечна амортизация</t>
  </si>
  <si>
    <t>Остатъчна стойност</t>
  </si>
  <si>
    <t>Button sewing machine</t>
  </si>
  <si>
    <t>Bartack machine</t>
  </si>
  <si>
    <t>Device kit for piping</t>
  </si>
  <si>
    <t>device kit for hem</t>
  </si>
  <si>
    <t>Tape attaching funnel</t>
  </si>
  <si>
    <t>French seam funnel</t>
  </si>
  <si>
    <t>Spaghetti funnel</t>
  </si>
  <si>
    <t>Belt funnel</t>
  </si>
  <si>
    <t>Device kit for 2-needle machine</t>
  </si>
  <si>
    <t>Single hem funnel</t>
  </si>
  <si>
    <t>Device kit for multineedle chainstitch machine (Boxer)</t>
  </si>
  <si>
    <t>Device kit for side attachment</t>
  </si>
  <si>
    <t>Device kit for gathering</t>
  </si>
  <si>
    <t>Device kit for face attachment</t>
  </si>
  <si>
    <t>Device kit for beltloops</t>
  </si>
  <si>
    <t>Device kit for french seam</t>
  </si>
  <si>
    <t>Device kit for bias tape maker</t>
  </si>
  <si>
    <t>Topstitch guide for coverstitch machine</t>
  </si>
  <si>
    <t>Device kit for overlock</t>
  </si>
  <si>
    <t>Device kit for edge cutter DA</t>
  </si>
  <si>
    <t>Device kit for edge cutter Juki</t>
  </si>
  <si>
    <t>1 folding</t>
  </si>
  <si>
    <t>piping</t>
  </si>
  <si>
    <t>no foot and teeth</t>
  </si>
  <si>
    <t>for 2-needle machine</t>
  </si>
  <si>
    <t>double</t>
  </si>
  <si>
    <t>single</t>
  </si>
  <si>
    <t>left</t>
  </si>
  <si>
    <t>Device kit for hem double full hem 10mm</t>
  </si>
  <si>
    <t>device kit for blindstitch loops</t>
  </si>
  <si>
    <t>device kit for open seams on a lockstitch machine</t>
  </si>
  <si>
    <t>decive kit for loops 6mm cover</t>
  </si>
  <si>
    <t>decive kit for loops 10mm cover</t>
  </si>
  <si>
    <t>device kit for piping 1x12/24mm straight tape</t>
  </si>
  <si>
    <t>device kit for piping 2x6/24mm straight tape</t>
  </si>
  <si>
    <t>device kit for piping 22x8/32mm straight tape</t>
  </si>
  <si>
    <t>device kit for piping 28mm bias tape</t>
  </si>
  <si>
    <t>device kit for piping 26mm bias tape</t>
  </si>
  <si>
    <t>device kit for piping 1x12 bias tape</t>
  </si>
  <si>
    <t>device kit for piping 22mm bias tape</t>
  </si>
  <si>
    <t>device kit for piping 20mm bias tape</t>
  </si>
  <si>
    <t>device kit for piping 50mm bias tape</t>
  </si>
  <si>
    <t>device kit for piping 32mm bias tape</t>
  </si>
  <si>
    <t>device kit for piping 30mm bias tape</t>
  </si>
  <si>
    <t>device kit for piping 36mm bias tape</t>
  </si>
  <si>
    <t>device kit for piping 40mm bias tape</t>
  </si>
  <si>
    <t>device kit for piping 38mm bias tape</t>
  </si>
  <si>
    <t>device kit for piping 16mm bias tape</t>
  </si>
  <si>
    <t>device kit for piping bias 38mm  tape</t>
  </si>
  <si>
    <t>device kit for piping 30mm straight tape</t>
  </si>
  <si>
    <t>device kit for pin tucks</t>
  </si>
  <si>
    <t>device kit for open seams coverstitch machine</t>
  </si>
  <si>
    <t>device kit for hem 2x6 wide</t>
  </si>
  <si>
    <t>device kit for spaghetti 10mm/35mm tape</t>
  </si>
  <si>
    <t>device kit for 2x10 hem</t>
  </si>
  <si>
    <t>device kit for (funnel) beltloops 10mm</t>
  </si>
  <si>
    <t>device kit for layered cutting of edge cutter</t>
  </si>
  <si>
    <t>device kit for hem 2x6mm</t>
  </si>
  <si>
    <t>device kit for piping 24mm straight tape</t>
  </si>
  <si>
    <t>device kit for bias 25mm tape 8/10 ready</t>
  </si>
  <si>
    <t>device kit for piping 36mm straight tape</t>
  </si>
  <si>
    <t>device kit for piping 44mm bias tape heavy class</t>
  </si>
  <si>
    <t>device kit for hem 2x5mm (foot)</t>
  </si>
  <si>
    <t>device kit for piping 24mm bias tape adjustable</t>
  </si>
  <si>
    <t>device kit for spaghetti 8mm+foot and teeth</t>
  </si>
  <si>
    <t>device kit for piping on overlock with tape 10mm with open edges+foot and teeth for overlock 1pc</t>
  </si>
  <si>
    <t>device kit for piping on overlock with tape 8mm with open edges</t>
  </si>
  <si>
    <t>device kit for spaghetti 12,7mm, tape 40mm</t>
  </si>
  <si>
    <t>device kit for double folding at 8mm for double shell fabric</t>
  </si>
  <si>
    <t>device kit for double folding with topstitch at 10mm</t>
  </si>
  <si>
    <t>device kit for piping 48mm single folding straight tape</t>
  </si>
  <si>
    <t>device kit for loops 40/20mm cover</t>
  </si>
  <si>
    <t>device kit for piping straight tape 20mm</t>
  </si>
  <si>
    <t>device kit for piping bias tape 60mm, ready 20/10 (polo blend)</t>
  </si>
  <si>
    <t>device kit for piping tsraight tape single 22mm</t>
  </si>
  <si>
    <t>device kit for piping straight tape 32mm</t>
  </si>
  <si>
    <t>device kit for piping straight tape single 60mm</t>
  </si>
  <si>
    <t>device kit for piping 34mm bias tape</t>
  </si>
  <si>
    <t>device kit for piping straight tape single 22mm</t>
  </si>
  <si>
    <t>device kit for piping bias 36/10/12mm for lockstitch machine</t>
  </si>
  <si>
    <t>device kit for piping bias tape 30mm</t>
  </si>
  <si>
    <t xml:space="preserve">device kit for piping 32mm   </t>
  </si>
  <si>
    <t>device kit for loops 24/12mm coverstitch machine</t>
  </si>
  <si>
    <t>device kit for spaghetti 7/26mm</t>
  </si>
  <si>
    <t>device kit for spaghetti 3,2/12,7mm foot, teeth and plate</t>
  </si>
  <si>
    <t>device kit for spaghetti 4,8/19,1mm foot, teeth and plate</t>
  </si>
  <si>
    <t>device kit for hems 2x1,6mm. 1/16“ +foot,teeth and plate</t>
  </si>
  <si>
    <t>device kit for hems 2x3,2mm. 1/8“ +foot,teeth and plate</t>
  </si>
  <si>
    <t>device kit for baby overlock with silicone teeth 1,6mm+foot, 3pcs teeth and plate</t>
  </si>
  <si>
    <t>device kit for piping 30mm for overlock</t>
  </si>
  <si>
    <t>device kit for piping bias tape 80/20 for lockstitch machine</t>
  </si>
  <si>
    <t>device kit for piping straight tape 90/35 for lockstitch machine</t>
  </si>
  <si>
    <t>device kit for piping 39mm for lockstitch machine</t>
  </si>
  <si>
    <t>device kit for face attachment at 6mm on coverstitch machine, upper layer is folded at 6mm, under layer is straight</t>
  </si>
  <si>
    <t>device kit for pin tucks+teeth,plate and foot</t>
  </si>
  <si>
    <t>device kit for piping on overlock 30/16mm folded tape</t>
  </si>
  <si>
    <t>device kit for piping bias tape 38mm</t>
  </si>
  <si>
    <t>device kit for loops 28/10 prefolded</t>
  </si>
  <si>
    <t>device kit for french seam on a lockstitch machine with allowance 7 mm</t>
  </si>
  <si>
    <t>device kit for loops 30-32/10/7 with topstitch in the middle</t>
  </si>
  <si>
    <t>device kit for straight tape double piping 35mm</t>
  </si>
  <si>
    <t>device kit for single placket 30mm</t>
  </si>
  <si>
    <t>device kit for single placket 35mm</t>
  </si>
  <si>
    <t>device kit for straight tape double fold 44/15</t>
  </si>
  <si>
    <t>device kit for single placket 20mm</t>
  </si>
  <si>
    <t>device kit for plackets (poloblend) 30mm</t>
  </si>
  <si>
    <t>device kit for piping heavy class 30mm</t>
  </si>
  <si>
    <t>device kit for yoke attachment to back with allowance 10mm</t>
  </si>
  <si>
    <t>device kit for sewing on a sleeve on a twoneedle 1-process (english seam)</t>
  </si>
  <si>
    <t>device kit for sewing on a sleeve on a lockstitch machine 2-process (english seam)</t>
  </si>
  <si>
    <t>device kit for french seam on a lockstitch machine 10 mm size L</t>
  </si>
  <si>
    <t>device kit for french seam on a lockstitch machine 10 mm size M</t>
  </si>
  <si>
    <t>device kit for english seam on a lockstitch machine F10R, attachment of sleeve</t>
  </si>
  <si>
    <t>device kit for english seam on a lockstitch machine F11, attachment of sleeve</t>
  </si>
  <si>
    <t>device kit for piping with elastic 20mm+feeder</t>
  </si>
  <si>
    <t>device kit for piping with string on an overlock</t>
  </si>
  <si>
    <t>device kit for beltloops on a coverstitch 16/8mm</t>
  </si>
  <si>
    <t>1-needle lockstitch machine</t>
  </si>
  <si>
    <t>Overlock</t>
  </si>
  <si>
    <t>2-needle lockstitch machine</t>
  </si>
  <si>
    <t>Zig-zag machine</t>
  </si>
  <si>
    <t>Coverstitch machine</t>
  </si>
  <si>
    <t>chainstitch machine</t>
  </si>
  <si>
    <t>Blind stitch machine</t>
  </si>
  <si>
    <t>Buttonhole machine</t>
  </si>
  <si>
    <t>Sewing machine for handstitch</t>
  </si>
  <si>
    <t>Automatic welt pocket machine</t>
  </si>
  <si>
    <t>Automatic bartack machine for attaching loops</t>
  </si>
  <si>
    <t>Automated machine for darts</t>
  </si>
  <si>
    <t>Pad attachment machine</t>
  </si>
  <si>
    <t>Ironing table</t>
  </si>
  <si>
    <t>Ironing press</t>
  </si>
  <si>
    <t>Steam generator</t>
  </si>
  <si>
    <t>straight knife cutter</t>
  </si>
  <si>
    <t>Fusing press</t>
  </si>
  <si>
    <t>CNC Cutter automatic system for cutting KURIS</t>
  </si>
  <si>
    <t>Cutting system Bullmer</t>
  </si>
  <si>
    <t>band saw</t>
  </si>
  <si>
    <t>Cutting tables and transporters</t>
  </si>
  <si>
    <t>Station for cleaning stains</t>
  </si>
  <si>
    <t>incoming control</t>
  </si>
  <si>
    <t>Machine for sleeves</t>
  </si>
  <si>
    <t>Press</t>
  </si>
  <si>
    <t>Automatic machine for small parts</t>
  </si>
  <si>
    <t>fabric splitting machine</t>
  </si>
  <si>
    <t>machine for zig-zag cutting</t>
  </si>
  <si>
    <t>Automat - Juki AMS</t>
  </si>
  <si>
    <t>Vacuum pump</t>
  </si>
  <si>
    <t>Machines for packaging</t>
  </si>
  <si>
    <t>Disc shears</t>
  </si>
  <si>
    <t>awl for turning out waistbands and collars</t>
  </si>
  <si>
    <t>Laser machines</t>
  </si>
  <si>
    <t>Sewing machines with long arm</t>
  </si>
  <si>
    <t>Device for pulling of a closed elastic</t>
  </si>
  <si>
    <t>Machine for cutting satin tape</t>
  </si>
  <si>
    <t>Machine for rerolling of threads</t>
  </si>
  <si>
    <t>Device for placing a slider</t>
  </si>
  <si>
    <t>Гладачна преса рамо-вертикално Veit BRI 1920E/201</t>
  </si>
  <si>
    <t>Кроялна маса  Kuris3070</t>
  </si>
  <si>
    <t>Дискова ножица Kuris</t>
  </si>
  <si>
    <t xml:space="preserve">количество/ бр. </t>
  </si>
  <si>
    <t>забележка</t>
  </si>
  <si>
    <t xml:space="preserve"> лек клас</t>
  </si>
  <si>
    <t>Права машина с тясно рамо RT 6090B-TL</t>
  </si>
  <si>
    <t>Едноиглова права машина  Durkopp 275-140342</t>
  </si>
  <si>
    <t>Едноиглова права машина Durkopp  550-5-5-2</t>
  </si>
  <si>
    <t>Двуиглов 4 конечен оверлог SIRUBA 757 Qe516M2-55</t>
  </si>
  <si>
    <t>Двуиглов 4 конечен оверлог SIRUBA 757 Q516M2-55</t>
  </si>
  <si>
    <t>Двуиглова права машина JUKI LH 3568S-7</t>
  </si>
  <si>
    <t>зиг-заг машина Brother Z-8560A-431</t>
  </si>
  <si>
    <t>Копчешиеща машина Brother BE-438D</t>
  </si>
  <si>
    <t>Покривна машина  Kansai NW2202GPC</t>
  </si>
  <si>
    <t>Шевна машина за ръчен бод Japsew 781E</t>
  </si>
  <si>
    <t>Шевна машина за ръчен бод Sanggong JK 781-E</t>
  </si>
  <si>
    <t>Филет автомат Durkopp Adler 100-68/1</t>
  </si>
  <si>
    <t>Покривна машина Union Special FS332401-3B56</t>
  </si>
  <si>
    <t>Покривна машина Kansai WX-8842-1</t>
  </si>
  <si>
    <t>Илична машина Durkopp 540-500-01</t>
  </si>
  <si>
    <t>Ръкавна машина Durkopp Adler 6279-170067</t>
  </si>
  <si>
    <t>Парагенератор JUMAG DG 460</t>
  </si>
  <si>
    <t xml:space="preserve">CNC Cutter автоматизирана с-ма за кроене KURIS 3060 </t>
  </si>
  <si>
    <t>VEIT 7406 Обурудване за отстр.на петна</t>
  </si>
  <si>
    <t>Опаковъчна машина-автоматична Polypack 126494</t>
  </si>
  <si>
    <t>Лазерна режеща и гравираща машина Golden Laser JGSD-13090</t>
  </si>
  <si>
    <t>Машина за разкрояване на текстил</t>
  </si>
  <si>
    <t>Машина за почистване на конци</t>
  </si>
  <si>
    <t>Верижна машина Durkopp 175-141621</t>
  </si>
  <si>
    <t>Верижна машина Durkopp 171-131110S</t>
  </si>
  <si>
    <t>Дискова ножица Dayang DYDB-1</t>
  </si>
  <si>
    <t>Дискова ножица Robo Technology RT108</t>
  </si>
  <si>
    <t>Гатер ножица KM-JNR</t>
  </si>
  <si>
    <t>Гатер ножица Dayang CZD 103</t>
  </si>
  <si>
    <t>Шила с нагряване</t>
  </si>
  <si>
    <t>Банцинг  Wastema STV492</t>
  </si>
  <si>
    <t>Банциг Safak120</t>
  </si>
  <si>
    <t>Иглена настилачна маса за кроене Veith</t>
  </si>
  <si>
    <t>Настилачна маса за кроене Kuris</t>
  </si>
  <si>
    <t>Настилачна маса с конвейрна лента Kuris</t>
  </si>
  <si>
    <t xml:space="preserve">Настилачна маса за кроене </t>
  </si>
  <si>
    <t>Транспортна лента захранваща подлепваща преса с инв.№ 402</t>
  </si>
  <si>
    <t>Транспортна лента захранваща подлепваща преса с инв.№ 538</t>
  </si>
  <si>
    <t>Вакуум помпа 6697</t>
  </si>
  <si>
    <t>Вакуум помпа Piller VHRG 0442</t>
  </si>
  <si>
    <t>Компресор бутален-500л.</t>
  </si>
  <si>
    <t>Резервоар напорен за въздух 500л.</t>
  </si>
  <si>
    <t>Хладилен изсушител First Air MKE 100</t>
  </si>
  <si>
    <t>Винтов компресор Ceccato Aria CSM 7.5 DXM 200л.</t>
  </si>
  <si>
    <t>Винтов компресор Almig Belt 30-8</t>
  </si>
  <si>
    <t>Хладилен изсушител Almig ALM 500</t>
  </si>
  <si>
    <t>Хладилен изсушител Almig ALM 350</t>
  </si>
  <si>
    <t>Резервоар напорен за въздух 1000л.</t>
  </si>
  <si>
    <t>Хладилен изсушител Almig ALM RD 110</t>
  </si>
  <si>
    <t>Шило Micro Top SM-201L</t>
  </si>
  <si>
    <t>Влагомер Mahlo textometer DMB-15</t>
  </si>
  <si>
    <t>Устройство за центроване</t>
  </si>
  <si>
    <t>Влагомер</t>
  </si>
  <si>
    <t>Кроялна система Bullmer Compact E 600 - настилъчна количка</t>
  </si>
  <si>
    <t>Парагенератор JUMAG DG 560</t>
  </si>
  <si>
    <t>Преса за трансферен печат</t>
  </si>
  <si>
    <t>Лайтбокс Tilo M60</t>
  </si>
  <si>
    <t>Лайтбокс Termal B11660</t>
  </si>
  <si>
    <t>Лайтбокс Veri Vide CAC 60</t>
  </si>
  <si>
    <t>Комплект за измерване на свиваемост Testex TF178 ISO 3759</t>
  </si>
  <si>
    <t>за 3 размера</t>
  </si>
  <si>
    <t xml:space="preserve">Комплект за измерване на свиваемост </t>
  </si>
  <si>
    <t>за 1 размер</t>
  </si>
  <si>
    <t>Комплект щанца и везна Karl Schroder KG D6940</t>
  </si>
  <si>
    <t>Устройство за центроване с нагряване Hashima HN-1</t>
  </si>
  <si>
    <t>Ръчен крокметър ATLAS CM1</t>
  </si>
  <si>
    <t>Машина за контрол здравината на шевовете Zwick Z25/TN1S</t>
  </si>
  <si>
    <t>Машина за контрол и навиване на платове CANKUR MAKINA ESK6-E</t>
  </si>
  <si>
    <t>Машина за контрол и навиване на платове Guven CelikКМ7-2005 B</t>
  </si>
  <si>
    <t>Машина за контрол износването на плата Nu-Martindale</t>
  </si>
  <si>
    <t>Парогенератор Indupress Maxi24/24</t>
  </si>
  <si>
    <t>Pneumatic Hook-and-Eye Attaching Machine</t>
  </si>
  <si>
    <t>Press for heat transfer OZER OM-1001</t>
  </si>
  <si>
    <t>2-Needle 5-Thread Overlock/Safety Stitch Machine JACK 788-02X 250</t>
  </si>
  <si>
    <t>Textile Cutting Machine Rexel PP-2/B</t>
  </si>
  <si>
    <t>Buttonhole Machine JUKI LBH-1790</t>
  </si>
  <si>
    <t>Spreading Table with Conveyor Belt</t>
  </si>
  <si>
    <t>Zig-Zag Sewing Machine Brother</t>
  </si>
  <si>
    <t>Hand stitch sewing machine  SLDE360</t>
  </si>
  <si>
    <t>Zig-Zag Cutting Machine SIDECUT 10</t>
  </si>
  <si>
    <t>Welt pocket automatic machine Durkopp-Beisler 100-68</t>
  </si>
  <si>
    <t>Ironing Table VEIT UNISET DOB S+B (Suction and Blowing) 4255-S126442</t>
  </si>
  <si>
    <t>3-Needle 6-Thread Overlock/Safety Stitch Machine JUKI MO-6743S</t>
  </si>
  <si>
    <t>Button sewing machine Siruba RT1906ASS</t>
  </si>
  <si>
    <t>Buttonhole Machine Dürkopp  540-500-1</t>
  </si>
  <si>
    <t>Hand stitch sewing machine  SLDE313</t>
  </si>
  <si>
    <t>Heated Centering Device</t>
  </si>
  <si>
    <t>Button Shank Wrapping Machine ASCOLITE BSS Mk13</t>
  </si>
  <si>
    <t>Dürkopp Adler 610 Automatic Pocket Welt Machine with Workstation for Pre-Setting</t>
  </si>
  <si>
    <t>Straight Knife Cutting Machine</t>
  </si>
  <si>
    <t>Belt-Driven Screw Compressor, Model 37-8</t>
  </si>
  <si>
    <t>Straight Knife Cutting Machine KM-KS-FX</t>
  </si>
  <si>
    <t>Straight Knife Cutting Machine KM-JNR</t>
  </si>
  <si>
    <t>2-Needle 4-Thread Overlock Machine SIRUBA</t>
  </si>
  <si>
    <t>Coverstitch Machine JUKI MF-7523</t>
  </si>
  <si>
    <t>Single-Needle Lockstitch Machine Dürkopp Adler 550-5-5-2</t>
  </si>
  <si>
    <t>Button sewing machine Siruba RT-468G</t>
  </si>
  <si>
    <t>Fusing Press  MESERMAK MSR-600</t>
  </si>
  <si>
    <t>Pressurized Air Tank / Air Receiver 500l</t>
  </si>
  <si>
    <t>Band Knife Cutting Machine Safak120</t>
  </si>
  <si>
    <t>Pneumatic Press Sakura</t>
  </si>
  <si>
    <t>Refrigerating Air Dryer MKE 100</t>
  </si>
  <si>
    <t>Laser Cutting and Engraving Machine</t>
  </si>
  <si>
    <t>Steam generator Indupress Maxi24/24</t>
  </si>
  <si>
    <t xml:space="preserve">Programmable Pattern Sewing Machine for Large Elements ZOJE ZJ-M5-S900H-SF </t>
  </si>
  <si>
    <t>Programmable Pattern Sewing Machine for Large Elements ZOJE ZJ-M5-S900H-SF LK2</t>
  </si>
  <si>
    <t>Blindstitch Machine Strobel 100-4</t>
  </si>
  <si>
    <t>Blindstitch Machine Strobel 100-2</t>
  </si>
  <si>
    <t>Handstitch sewing machine Robotechnology-RT 783F</t>
  </si>
  <si>
    <t>Multi-Needle Double Chainstitch Machine VC008-12064P/VSC</t>
  </si>
  <si>
    <t xml:space="preserve"> Sewing Machine (Long Arm) ZJ-M5-S900H-SF-LK2</t>
  </si>
  <si>
    <t>Automatic Cylindrical Bed Coverstitch Machine Siruba FOO7KD-W122-356/FHA/UTG/DFKH1</t>
  </si>
  <si>
    <t>2-Needle 5-Thread Safety Stitch Overlock Machine Robotechnology RT-65-TAD/EUT</t>
  </si>
  <si>
    <t>2-Needle 4-Thread Overlock Machine 747L-514M-3-24</t>
  </si>
  <si>
    <t>Hand stitch sewing machine  Japsew 785-D</t>
  </si>
  <si>
    <t xml:space="preserve"> Sewing Machine (Long Arm) ZJ-M6-S900-SF-LK2-V2</t>
  </si>
  <si>
    <t>Fabric Inspection and Rewinding Machine (IQC) CANKUR MAKINA ESK6-E</t>
  </si>
  <si>
    <t>Sewing Machine (Long Arm) ZJ-M6-S900H-SF-LK2-V2</t>
  </si>
  <si>
    <t>Buttonhole Machine JUKI LBH-1790AN</t>
  </si>
  <si>
    <t>Air Compressor Cube10SD</t>
  </si>
  <si>
    <t>Collar Turning and Trimming Machine / Unit OM102</t>
  </si>
  <si>
    <t>Collar Pressing Machine Ozer Makina OM202</t>
  </si>
  <si>
    <t xml:space="preserve"> Multi-Needle Double Chainstitch Machine Kansai Special NW8842-1G/SERVO/IPG</t>
  </si>
  <si>
    <t>Color Viewing Cabinet  Light Box M60</t>
  </si>
  <si>
    <t>Moisture Meter Mahlo</t>
  </si>
  <si>
    <t>Button sewing machine Nanbang NB-1373D</t>
  </si>
  <si>
    <t>Refrigerating Air Dryer Almig ALM RD 110</t>
  </si>
  <si>
    <t>Dürkopp Adler 550 Sleeve Setting Machine Durkopp Adler 6279-170067</t>
  </si>
  <si>
    <t>Fusing Press ROBOTECHNOLOGY RT-450B</t>
  </si>
  <si>
    <t>Rexel P-3S/R Straight Knife Cutting Machine</t>
  </si>
  <si>
    <t>Flat Bed Double Chainstitch Machine Siruba Z008-248Q</t>
  </si>
  <si>
    <t>2-Needle 5-Thread Safety Stitch Overlock Machine 757KT-516M-3-55</t>
  </si>
  <si>
    <t>Hand stitch sewing machine  Japsew 785-XT</t>
  </si>
  <si>
    <t>Narrow Arm Lockstitch Machine</t>
  </si>
  <si>
    <t>Ironing Table Veit Uniset Turbo</t>
  </si>
  <si>
    <t xml:space="preserve"> Single-Needle Lockstitch Machine Brother S7200B</t>
  </si>
  <si>
    <t>Zig-zag sewing machine BROTHER</t>
  </si>
  <si>
    <t>Two-needle lockstitch sewing machine BROTHER T8452C-403</t>
  </si>
  <si>
    <t>Chainstitch Sewing Machin Kansai LX-5803PHD</t>
  </si>
  <si>
    <t>Semi-Automatic Seaming / Joining Machine Pegasus 1280-5-1</t>
  </si>
  <si>
    <t>Feed-off-the-Arm Coverstitch Machine KAnsai BLX-2202CW1/4</t>
  </si>
  <si>
    <t xml:space="preserve">Electronic Buttonhole Machine Dürkopp Adler Multiflex 580-312 </t>
  </si>
  <si>
    <t>Electronic Buttonhole Machine 580-112</t>
  </si>
  <si>
    <t>1-needle lockstitch machine Dürkopp 275</t>
  </si>
  <si>
    <t xml:space="preserve">Automatic Machine for Attaching Shoulder Pads / Wadding Dürkopp Adler 697-15155 </t>
  </si>
  <si>
    <t xml:space="preserve"> Single-Needle Chainstitch Machine Dürkopp Adler 176</t>
  </si>
  <si>
    <t xml:space="preserve"> Small Universal Pressing Machine Veit Brisay 2068/101</t>
  </si>
  <si>
    <t>Ironing Table VEIT 126449</t>
  </si>
  <si>
    <t xml:space="preserve">Front Pressing Machine (left+ right) BRI1005/101 </t>
  </si>
  <si>
    <t xml:space="preserve">Collar and Lapel Pressing Machine Veit BRI-950E/101 </t>
  </si>
  <si>
    <t>Vertical Jacket Sleeve Finisher / Pressing Machine Veit BRI-890/111</t>
  </si>
  <si>
    <t xml:space="preserve">Armhole  Seam Pressing Machine (for Jackets) BRI-2065/201 </t>
  </si>
  <si>
    <t>Trousers Hip / Seat Pressing Machine BRI2390/201</t>
  </si>
  <si>
    <t>Trousers Leg Pressing Machine BRI-2220/411</t>
  </si>
  <si>
    <t>Final Ironing Table (Pointed Left Side) VEIT 126442</t>
  </si>
  <si>
    <t>Ironing table Veit 126470</t>
  </si>
  <si>
    <t>Ironing Table (with Suction and Blowing) VEIT Uniset DOB S+B 126442</t>
  </si>
  <si>
    <t>Seam Opening ironing table for Trousers Legs VEIT 126459</t>
  </si>
  <si>
    <t>Universal Ironing Table for Skirts, Dresses, and Trousers Veit 124184</t>
  </si>
  <si>
    <t>Single-needle lockstitch machine Durkopp 271</t>
  </si>
  <si>
    <t>Single - needle lockstitch machine  Durkopp 271</t>
  </si>
  <si>
    <t>Ironing table Veit S1425520030</t>
  </si>
  <si>
    <t>Steam Generator / Boiler</t>
  </si>
  <si>
    <t>Chainstitch sewing machine Durkopp 176</t>
  </si>
  <si>
    <t>Chainstitch sewing machine Durkopp 175</t>
  </si>
  <si>
    <t>Trouser Seam Ironing Table Veit UNISET Turbo S</t>
  </si>
  <si>
    <t>Veit BRI 170/101 Sleeve Seam Ironing Table</t>
  </si>
  <si>
    <t>1 - needle 3 thread overlock  PEGASUS 0271 360</t>
  </si>
  <si>
    <t xml:space="preserve">1-needle lockstitch machine Dürkopp </t>
  </si>
  <si>
    <t>Band Knife Cutting Machine Kuris 492 KR</t>
  </si>
  <si>
    <t xml:space="preserve">Ironing table VEIT UNISET S  </t>
  </si>
  <si>
    <t xml:space="preserve">Ironing table VEIT UNISET S 4433 </t>
  </si>
  <si>
    <t>Ironing table VEIT UNISET S TURBO S1443520030</t>
  </si>
  <si>
    <t>1-needle lockstitch machine  Durkopp 272</t>
  </si>
  <si>
    <t>1-needle lockstitch machine  Durkopp</t>
  </si>
  <si>
    <t>Chainstitch machine Durkopp 176</t>
  </si>
  <si>
    <t>1-needle lockstitch machine Durkopp 275</t>
  </si>
  <si>
    <t>Steam generator VEIT 2365</t>
  </si>
  <si>
    <t>Welt pocket automatic machine Durkopp</t>
  </si>
  <si>
    <t>Chainstitch machine  Durkopp 171</t>
  </si>
  <si>
    <t>1- needle lockstitch machine Brother S7200</t>
  </si>
  <si>
    <t xml:space="preserve">Trouser Seam Ironing Table VEITUNISET VEIT CN </t>
  </si>
  <si>
    <t xml:space="preserve">Ironing table VEIT UNISET S </t>
  </si>
  <si>
    <t>Blindstitch Machine MAYER UNITAS 352-12</t>
  </si>
  <si>
    <t>Bartack machine Durkopp Adler 512-211</t>
  </si>
  <si>
    <t>Ironing table VEIT UNISET S 4433</t>
  </si>
  <si>
    <t>Ironing tableVeit Uniset S</t>
  </si>
  <si>
    <t>Single-Needle Lockstitch Machine Durkopp 274</t>
  </si>
  <si>
    <t>Single-needle, two-thread chainstitch machine  Durkopp DA173</t>
  </si>
  <si>
    <t xml:space="preserve"> Automated CNC Cutting System KURIS C3030S</t>
  </si>
  <si>
    <t>Chainstitch sewing machine DURKOPP 173</t>
  </si>
  <si>
    <t>Electronic Sleeve Setting Machine Dürkopp Adler 650</t>
  </si>
  <si>
    <t>Two-Needle, 4-Thread Overlock Machine SIRUBA</t>
  </si>
  <si>
    <t>Thread Trimming Machine GT22-12</t>
  </si>
  <si>
    <t>Blindstitch Machine BRODERI BD-101</t>
  </si>
  <si>
    <t>Steam generator JUMAG DG 560</t>
  </si>
  <si>
    <t>Pad attachment machine (wadding)  Durkopp 697-15155</t>
  </si>
  <si>
    <t>Pneumatic Press Machine for Attaching Buttons and Eyelets JLQ03-80</t>
  </si>
  <si>
    <t>Chainstitch sewing machine DURKOPP 176</t>
  </si>
  <si>
    <t>Electronic Sleeve Setting Machine Durkopp 650-16</t>
  </si>
  <si>
    <t>Ironing table  Veit BRI 170/101</t>
  </si>
  <si>
    <t>Buttonhole sewing machine Durkopp 559-151</t>
  </si>
  <si>
    <t>Sleeve setting machine Durkopp Adler 6279-170067</t>
  </si>
  <si>
    <t>Button Sewing Machine Brother</t>
  </si>
  <si>
    <t>bartack machine Brother</t>
  </si>
  <si>
    <t>Coverstitch Machine Kansai Specia (Inv. No. 1101075)</t>
  </si>
  <si>
    <t>Coverstitch Machine Juki MF-7523</t>
  </si>
  <si>
    <t>Electronic Lockstitch Buttonhole Sewing System</t>
  </si>
  <si>
    <t>Two-Needle, 5-Thread Overlock JUKI MO 6716S</t>
  </si>
  <si>
    <t>1-Needle, 3-Thread Overlock (Serger) Machine JUKI MO 6704S</t>
  </si>
  <si>
    <t>PFAFF 1183 Single-Needle Lockstitch Machine</t>
  </si>
  <si>
    <t>Ironing tablе Fight 80065307</t>
  </si>
  <si>
    <t>VEIT Model 7406 Spot Removing</t>
  </si>
  <si>
    <t>Blindstitch Machine STROBEL KL560-11</t>
  </si>
  <si>
    <t>Sleeve setting machine Durkopp Adler 650-16</t>
  </si>
  <si>
    <t>Fabric Inspection and Rewinding Machine  - Guven Celik КМ7-2005 B</t>
  </si>
  <si>
    <t>CSM 7.5 DX Screw Compressor</t>
  </si>
  <si>
    <t>Belt-Driven Screw Compressor 30-8</t>
  </si>
  <si>
    <t>Vacuum Pump DB675</t>
  </si>
  <si>
    <t>Piston Compressor (500 Liter capacity)</t>
  </si>
  <si>
    <t xml:space="preserve">Chainstitch Machine JUKI MH-481-5 </t>
  </si>
  <si>
    <t xml:space="preserve">Blindstitch Machine Robo Technology RT-500D-1 </t>
  </si>
  <si>
    <t>Round Knife Cutting Machine Robo Technology RT100</t>
  </si>
  <si>
    <t>Two-Needle, 4-Thread Overlock Machine Juki MO-6713DA</t>
  </si>
  <si>
    <t>Layering table for cutting</t>
  </si>
  <si>
    <t>Refrigerating Air Dryer Almig ALM RD 500</t>
  </si>
  <si>
    <t>Compressor Cube10</t>
  </si>
  <si>
    <t>Refrigerating Air Dryer Almig ALM 350</t>
  </si>
  <si>
    <t>Waistband turning awl</t>
  </si>
  <si>
    <t>Ironing Table Veit 126470</t>
  </si>
  <si>
    <t>1-needle lockstitch machine JUKI DDL 8700-7</t>
  </si>
  <si>
    <t>Awl Micro Top SM-201L</t>
  </si>
  <si>
    <t xml:space="preserve">Coverstitch Machine Juki MF-7723 </t>
  </si>
  <si>
    <t>RTP0001 Automatic Elastic Tensioner for Closed Loops</t>
  </si>
  <si>
    <t>Two-Needle, 5-Thread Overlock Machine JUKI MO-6716S</t>
  </si>
  <si>
    <t>Automatic Strip Cutting Machine  Orbit</t>
  </si>
  <si>
    <t>Disc shears Dayang DYDB-1</t>
  </si>
  <si>
    <t>Thread Winding Machine</t>
  </si>
  <si>
    <t xml:space="preserve">Two-Needle, 5-Thread Overlock Machine JUKI MO-6816S </t>
  </si>
  <si>
    <t>1-Needle 3-Thread Overlock Machine JUKI MO-6700</t>
  </si>
  <si>
    <t>1-Needle 3-Thread Overlock Machine JUKI MO-6704S</t>
  </si>
  <si>
    <t>Zig-Zag Sewing Machine Brother Z-8560A-431</t>
  </si>
  <si>
    <t>Layering table for cutting Kuris</t>
  </si>
  <si>
    <t>Straight Knife Cutting Machine Dayang</t>
  </si>
  <si>
    <t>Hook-and-Eye Attaching Machine / Press</t>
  </si>
  <si>
    <t>Vacuum pump Piller VHRG 0442</t>
  </si>
  <si>
    <t>Two-Needle, 5-Thread Overlock Machine MO3600</t>
  </si>
  <si>
    <t>1-needle lockstitch machine JUKI DDL 8700B-7</t>
  </si>
  <si>
    <t>Transport band feeding Fusing press VEIT BRISAY KANNEGIESSER XT1000 with inventory number 402</t>
  </si>
  <si>
    <t>Single blindstitch machine Strobel KL45-223</t>
  </si>
  <si>
    <t>Single blindstitch machine Strobel 103-180</t>
  </si>
  <si>
    <t>Electric Slitting Machine for Tape/Binding CuTex</t>
  </si>
  <si>
    <t>Vertical Sleeve Finish Pressing Machine for Jackets/Coats Veit BRI-890/111</t>
  </si>
  <si>
    <t>Armhole Pressing Machine for Jackets Veit BRI-2065/201</t>
  </si>
  <si>
    <t>Finish Pressing Machine for Elbow Seams Veit BRI-860/101</t>
  </si>
  <si>
    <t>1-needle lockstitch machineJUKI DDL 8700B-7</t>
  </si>
  <si>
    <t>Air pressure tank 500 l.</t>
  </si>
  <si>
    <t>Air pressure tank 1000 l.</t>
  </si>
  <si>
    <t>Vaccuum pump 6697</t>
  </si>
  <si>
    <t>2-Needle 5-Thread Safety Stitch Machine JUKI MO-3600</t>
  </si>
  <si>
    <t>Coverstitch Machine Kansai</t>
  </si>
  <si>
    <t>Thread Winding Machine KaiXuan-KX05</t>
  </si>
  <si>
    <t>Disc shears Robo Technology RT108</t>
  </si>
  <si>
    <t>Ironing table Veit</t>
  </si>
  <si>
    <t> Indupress IPN-TOP-B 03</t>
  </si>
  <si>
    <t>1-needle lockstitch machine Brother S-7200C</t>
  </si>
  <si>
    <t>1-needle lockstitch machineJUKI DDL5550N-7</t>
  </si>
  <si>
    <t>Light box Termal B11660</t>
  </si>
  <si>
    <t>Light box Veri Vide CAC 60</t>
  </si>
  <si>
    <t>Testex TF178 ISO 3759 shrinkage test kit</t>
  </si>
  <si>
    <t>shrinkage test kit</t>
  </si>
  <si>
    <t>Karl Schroder KG D6940 punch and scale set</t>
  </si>
  <si>
    <t>Zipper slider setting device</t>
  </si>
  <si>
    <t>High-speed Single-needle Lockstitch Machine with Electronic Feed  Brother S7200/403/PFL/F43</t>
  </si>
  <si>
    <t>High-speed Single-needle Lockstitch Machine with Electronic Feed  Brother S7200/403/PFL/F44</t>
  </si>
  <si>
    <t>High-speed, 2-Needle, 5-Thread Safety Stitch Machine JUKI MO 6716S</t>
  </si>
  <si>
    <t>Industrial Ironing Table INDUPRESS</t>
  </si>
  <si>
    <t>High-speed, 1-Needle, 3-Thread Overlock Machine JUKI MO3604</t>
  </si>
  <si>
    <t>2-Needle, 5-Thread Safety Stitch Machine GN716-D53-MOOP</t>
  </si>
  <si>
    <t>High-speed Single-needle Lockstitch Machine with Direct Drive and Auto-trimmer Shanggong GC8880 -5-5D</t>
  </si>
  <si>
    <t>Ironing Table (Skirt, Dress, Trousers) Veit 124184</t>
  </si>
  <si>
    <t>Industrial Ironing Table Veit 126470</t>
  </si>
  <si>
    <t>Automatic Bagging/Packaging Machine Polypack</t>
  </si>
  <si>
    <t>Sleeve Setting Machine JUKI DP-2100</t>
  </si>
  <si>
    <t>Button sewing machine Juki МВ-377</t>
  </si>
  <si>
    <t>3-Needle, 6-Thread Overlock / Safety Stitch Machine JUKI MO6743S</t>
  </si>
  <si>
    <t>Automatic Belt-Loop Attaching Machine JUKI AB-1351N</t>
  </si>
  <si>
    <t>Bartack machine Juki LK-1900ASS</t>
  </si>
  <si>
    <t>Bartack machine  Juki LK-1900ASS</t>
  </si>
  <si>
    <t>JUKI DLN-9010A-SS Single-Needle, Direct-Drive, High-Speed, Needle-Feed Lockstitch Machine</t>
  </si>
  <si>
    <t>JUKI DLN-6390 Single-Needle, Cylinder-Bed, Needle-Feed Lockstitch Machine for Bottom Hemming</t>
  </si>
  <si>
    <t>JUKI MF-7523 High-speed, Flat-bed, Top and Bottom Coverstitch Machine</t>
  </si>
  <si>
    <t>BROTHER DA-9280-7 Three-Needle, Feed-Off-The-Arm, Double Chainstitch Machine (for extra heavy materials)</t>
  </si>
  <si>
    <t>Conveyor Belt EN063.00BO8 for Fusing Press (Inv. No. 538)</t>
  </si>
  <si>
    <t>500-Liter Piston Air Compressor</t>
  </si>
  <si>
    <t>Hand stitch sewing machine  Sanggong</t>
  </si>
  <si>
    <t>Pneumatic Hook-and-Eye (Wire Button) Attaching Machine, Model JLQ01-TH</t>
  </si>
  <si>
    <t>JUKI MO-6714S High-speed, 2-Needle, 4-Thread Overlock/Safety Stitch Machine</t>
  </si>
  <si>
    <t>2-Needle 5-Thread Overlock/Safety Stitch Machine JUKI MO-6716S</t>
  </si>
  <si>
    <t>Programmable Pattern Sewer JUKI AMS-210EN</t>
  </si>
  <si>
    <t>1 - needle lockstitch machine  Durkopp 281</t>
  </si>
  <si>
    <t>1 - needle lockstitch machine  Durkopp 272</t>
  </si>
  <si>
    <t>1 - needle lockstitch machine  Durkopp 275</t>
  </si>
  <si>
    <t>Ironing table Veit Uniset S 126449</t>
  </si>
  <si>
    <t>Ironing table Veit S126449</t>
  </si>
  <si>
    <t>Ironing tableVeit S126449</t>
  </si>
  <si>
    <t>Ironing table Veit S124856</t>
  </si>
  <si>
    <t>Ironing tableVeit 126461</t>
  </si>
  <si>
    <t>Ironing table Veit Uniset S+B</t>
  </si>
  <si>
    <t>Ironing table Veit S126442</t>
  </si>
  <si>
    <t>Single-needle blindstitch machine Strobel KL45-223</t>
  </si>
  <si>
    <t>Single-needle blindstitch machine Strobel VEB103-191</t>
  </si>
  <si>
    <t>Multiform Finisher / Steam Mannequin VEIT 8363</t>
  </si>
  <si>
    <t>High-speed, 2-Needle, 4-Thread Overlock/Safety Stitch Machine JUKI MO-6714S</t>
  </si>
  <si>
    <t>2-Needle 5-Thread Overlock/Safety Stitch Machine JUKI MO-6916R</t>
  </si>
  <si>
    <t>Chainstitch sewing machine Durkopp 173</t>
  </si>
  <si>
    <t>1-Needle Lockstitch Machine Dürkopp Adler 281</t>
  </si>
  <si>
    <t>Blindstitch Machine Strobel VEB100-2</t>
  </si>
  <si>
    <t>Industrial Ironing Table Veit S126449</t>
  </si>
  <si>
    <t>Industrial Ironing Table Veit 126461</t>
  </si>
  <si>
    <t>Industrial Ironing Table Veit S124856</t>
  </si>
  <si>
    <t>1-Needle, Double Chainstitch  JUKI MH481-54U</t>
  </si>
  <si>
    <t>Single-Needle Double Chainstitch Machine Dürkopp Adler 171</t>
  </si>
  <si>
    <t>Single-Needle Lockstitch Machine Dürkopp Adler 281</t>
  </si>
  <si>
    <t>Ironing Table Veit S124856</t>
  </si>
  <si>
    <t>Ironing Table Veit S126442</t>
  </si>
  <si>
    <t>Ironing Table Veit Uniset S+B (Suction and Blowing)</t>
  </si>
  <si>
    <t>Single-Needle Lockstitch Machine with Bottom/Needle Feed Durkopp DA 275-140342</t>
  </si>
  <si>
    <t>1-needle lockstitch machine Dürkopp 273</t>
  </si>
  <si>
    <t>Band Knife Cutting Machine Kuris TexKnite 492KR</t>
  </si>
  <si>
    <t>Double Face Slitting / Separating / Splitting Machine Tecmic MR10</t>
  </si>
  <si>
    <t>Pneumatic Hook-and-Eye Attaching Machine, Model JLQ01-TH</t>
  </si>
  <si>
    <t>Compressor+cooler+reciver</t>
  </si>
  <si>
    <t>Machine for recutting of textile</t>
  </si>
  <si>
    <t>Machine for removing threads</t>
  </si>
  <si>
    <t>Awls with heating</t>
  </si>
  <si>
    <t>Centering/notching device</t>
  </si>
  <si>
    <t>Moisture meter</t>
  </si>
  <si>
    <t>press for heat transfer</t>
  </si>
  <si>
    <t>Leg Creasing Press BRI222SH</t>
  </si>
  <si>
    <t>Hip-area ironing press for trousers BRI231/101</t>
  </si>
  <si>
    <t>VEIT Varioset Ironing Table, Trouser Seam Opening Buck factory No. 700054051</t>
  </si>
  <si>
    <t>Front Finish Pressing Machine BRI 1005/101</t>
  </si>
  <si>
    <t>Shoulder Finish Pressing Machine BRI 1920E/201</t>
  </si>
  <si>
    <t>Small Universal Ironing Press BRI2068/101</t>
  </si>
  <si>
    <t>Collar and Lapel Finish Pressing Machine BRI 950 VC</t>
  </si>
  <si>
    <t>Trouser topper pressing machine BRI 231/101</t>
  </si>
  <si>
    <t>(Automatic) Packaging Machine TLS1 Brisay</t>
  </si>
  <si>
    <t>Sleeve setting machine DURKOPP DA 550</t>
  </si>
  <si>
    <t>Single Needle Lockstitch Machine Dürkopp 275</t>
  </si>
  <si>
    <t>Buttonhole Machine Dürkopp 559-151</t>
  </si>
  <si>
    <t>Bartacking Machine Dürkopp Adler 510-211</t>
  </si>
  <si>
    <t>1-needle lockstitch machine JUKI DDL-9000SS</t>
  </si>
  <si>
    <t>1-needle lockstitch machine JUKI DLN-5410</t>
  </si>
  <si>
    <t>Button Sewing Machine Juki MB-1373</t>
  </si>
  <si>
    <t>Two Needle, 5-Thread Overlock Machine JUKI MO 6716S</t>
  </si>
  <si>
    <t>Single Needle Lockstitch Machine Juki DLM 5400</t>
  </si>
  <si>
    <t>Su Lee Round Knife Cutter Model ZER.360-70-499</t>
  </si>
  <si>
    <t>Infeed Conveyor Belt for Fusing Press with inventory number 403</t>
  </si>
  <si>
    <t>Ironing Table Veit uniset S</t>
  </si>
  <si>
    <t>Ironing Table</t>
  </si>
  <si>
    <t>Single Needle Lockstitch Machine JUKI DDL 9000 SS</t>
  </si>
  <si>
    <t>Bartack machine Durkopp Adler 511-211</t>
  </si>
  <si>
    <t>Trouser Leg Ironing Table</t>
  </si>
  <si>
    <t>Steam generator VEIT 2365/2-4.4kW</t>
  </si>
  <si>
    <t>Button Sewing Machine  Durkopp 531</t>
  </si>
  <si>
    <t>Ironing Table VEIT 126470</t>
  </si>
  <si>
    <t>Ironing Table Veit for slit</t>
  </si>
  <si>
    <t>Vacuum cutting table  Kuris3070</t>
  </si>
  <si>
    <t>1-needle lockstitch machine  Durkopp 281</t>
  </si>
  <si>
    <t>Ironing table VEIT UNISET S model 4435</t>
  </si>
  <si>
    <t>Ironing table Veit 126461</t>
  </si>
  <si>
    <t>Ironing table VEIT UNISET S model.4435 - underpressing</t>
  </si>
  <si>
    <t xml:space="preserve">Ironing table VEIT UNISET S+B </t>
  </si>
  <si>
    <t>Buttonhole machine  Durkopp 580</t>
  </si>
  <si>
    <t>Chainstitch Machine Durkopp 173</t>
  </si>
  <si>
    <t>Steam Generator VEIT 2366/2.2 kW</t>
  </si>
  <si>
    <t>Steam Generator VEIT 2365/2-4.4kW</t>
  </si>
  <si>
    <t>Steam Generator JUMAG</t>
  </si>
  <si>
    <t>Ironing table VEIT S126449</t>
  </si>
  <si>
    <t>Automated CNC cutting system KURIS 3030</t>
  </si>
  <si>
    <t>Fusing press Veit Brisay Kannegiesser ЕХ1400 Multistar FE/CR/B soft</t>
  </si>
  <si>
    <t>Automatic Small Parts Sewing Unit  PFAFF3511-2/1</t>
  </si>
  <si>
    <t>Automatic Short Seamer for Darts and Waistband Pleats  3586-12/02</t>
  </si>
  <si>
    <t>Heat transfer press  GRUNDLER GTK</t>
  </si>
  <si>
    <t>Chainstitch Machine Kansai  FBX1104PA</t>
  </si>
  <si>
    <t>1-needle lockstitch machine  Brother S7200</t>
  </si>
  <si>
    <t>1-needle lockstitch machine JUKI DDL 8300N</t>
  </si>
  <si>
    <t>1-needle lockstitch machine JUKI DDL 8500 -7</t>
  </si>
  <si>
    <t>Union Special Coverstitch Machine -  FS332401-3B56</t>
  </si>
  <si>
    <t>Bartack machine  Durkopp 510-211</t>
  </si>
  <si>
    <t>Ironing Table (Suction + Blowing) Indupress IPN 1260 DOB S+B</t>
  </si>
  <si>
    <t>1-needle lockstitch machine JUKI DDL 9000 SS</t>
  </si>
  <si>
    <t>Hand Stitch Sewing Machine Japsew-781</t>
  </si>
  <si>
    <t>1-needle lockstitch machineJUKI DDL 9000 SS</t>
  </si>
  <si>
    <t>Heat transfer press  SESTO DNT6350PPV</t>
  </si>
  <si>
    <t>1-needle lockstitch machine JUKI DDL 9010SS</t>
  </si>
  <si>
    <t>Ironing Table Indupress IPN1260 DOB FH 551864 - (Finish Ironing)</t>
  </si>
  <si>
    <t>Flat Top Ironing Table (Suction + Blowing) IPN 1250 flat S+B</t>
  </si>
  <si>
    <t>Straight Knife Cloth Cutting Machine KM-KS-FX</t>
  </si>
  <si>
    <t>Universal Automatic Welt Pocket Unit BASS3200-SA</t>
  </si>
  <si>
    <t>1-needle lockstitch machine Brother S7200</t>
  </si>
  <si>
    <t>Ironing table VEIT 070316205</t>
  </si>
  <si>
    <t>Blindstitch machine MAYER 40464</t>
  </si>
  <si>
    <t xml:space="preserve">Two-Needle 5-Thread Overlock (or Serger) Machine JUKI MO 3616: JUKI MO 3616 </t>
  </si>
  <si>
    <t>High-speed, Single-needle, Lockstitch Buttonholing Machine Juki MB-373</t>
  </si>
  <si>
    <t>Hoffman Shrinking Control Press</t>
  </si>
  <si>
    <t>Band Knife Cutting Machine Wastema STV492</t>
  </si>
  <si>
    <t xml:space="preserve">Round Knife Cutter Kuris </t>
  </si>
  <si>
    <t>Straight Knife Cutting Machine SBS-B-97</t>
  </si>
  <si>
    <t>Button Shank Wrapping Machine  "ASCOLITE Mk 6"</t>
  </si>
  <si>
    <t>1-needle lockstitch machine JUKI DDL-8500</t>
  </si>
  <si>
    <t>Seam Strength Testing Machine Zwick Z25/TN1S</t>
  </si>
  <si>
    <t>Abrasion Testing Machine Nu-Martindale</t>
  </si>
  <si>
    <t>Two-Needle 4-Thread Overlock (or Serger) Machine</t>
  </si>
  <si>
    <t>JUKI MO-6700 Two-Needle 5-Thread Safety Stitch Machine</t>
  </si>
  <si>
    <t>Hook and Eye Attaching Press Gutos 5036</t>
  </si>
  <si>
    <t>1-needle lockstitch machine JUKI DDL-8500 -7</t>
  </si>
  <si>
    <t>Two-Needle 5-Thread Safety Stitch Machine JUKI MO 6716S</t>
  </si>
  <si>
    <t xml:space="preserve"> Single-Needle 3-Thread Overlock Machine JUKI MO 6704S</t>
  </si>
  <si>
    <t xml:space="preserve">Ironing Table INDUPRESS IPN-1260-DOB S+B </t>
  </si>
  <si>
    <t xml:space="preserve">Ironing TableINDUPRESS IPN-1260-DOB S+B </t>
  </si>
  <si>
    <t>Steam Generator VEIT 2365/4.4kW-1236510000 400V</t>
  </si>
  <si>
    <t>Ironing Table VEIT UNISET DOB S+B</t>
  </si>
  <si>
    <t>Ironing Table VEIT UNISET S</t>
  </si>
  <si>
    <t>Blindstitch Machine Strobel 103-180</t>
  </si>
  <si>
    <t>Single Needle Lockstitch Machine Pfaff 1183</t>
  </si>
  <si>
    <t>Hand Stitch Sewing Machine Japsew 781E</t>
  </si>
  <si>
    <t>Ironing Table Veit 144.721.000.0</t>
  </si>
  <si>
    <t>Button Sewing Machine JUKI MB1800B</t>
  </si>
  <si>
    <t>Two Needle Lockstitch Machine JUKI LH 3568S-7</t>
  </si>
  <si>
    <t>Bartacking Machine Duerkopp Adler 510-211</t>
  </si>
  <si>
    <t>Cutting System Bullmer Compact E 600</t>
  </si>
  <si>
    <t>Pin Table for Laying Up and Cutting Veith</t>
  </si>
  <si>
    <t>Stain Removal Cabinet SOSTAR-TL 7</t>
  </si>
  <si>
    <t>Veit uniset-mod 4235 ironing table with lifter, illumination, and blowing for final ironing</t>
  </si>
  <si>
    <t>Ironing table INDUPRESS IPN1260</t>
  </si>
  <si>
    <t>Ironing table INDUPRESS IPN1260 DOB S+B</t>
  </si>
  <si>
    <t xml:space="preserve">Manual Crockmeter ATLAS CM1 </t>
  </si>
  <si>
    <t>Ironing Table Veit UNISET S+B 4455S1445520030</t>
  </si>
  <si>
    <t>Steam Generator VEIT 2365/4,4 kW1236510000</t>
  </si>
  <si>
    <t>Ironing table  Veit 4443420040</t>
  </si>
  <si>
    <t>Blindstitch Machine Strobel -KL45-223</t>
  </si>
  <si>
    <t>Bartack machine JUKI LK-1900ASS</t>
  </si>
  <si>
    <t>Automated CNC cutting system KURIS 3060 factory №361987</t>
  </si>
  <si>
    <t>Laying-up and Cutting Table Kuris</t>
  </si>
  <si>
    <t>Fusing press VEIT BRISAY KANNEGIESSER XT1000</t>
  </si>
  <si>
    <t>Name</t>
  </si>
  <si>
    <t>описание</t>
  </si>
  <si>
    <t>характеристики</t>
  </si>
  <si>
    <t>реално местонахождение</t>
  </si>
  <si>
    <t>M100</t>
  </si>
  <si>
    <t>M1110</t>
  </si>
  <si>
    <t>M12354</t>
  </si>
  <si>
    <t>M12355</t>
  </si>
  <si>
    <t>M1275</t>
  </si>
  <si>
    <t>M1290</t>
  </si>
  <si>
    <t>M1300</t>
  </si>
  <si>
    <t>M1630</t>
  </si>
  <si>
    <t>M1634</t>
  </si>
  <si>
    <t>M1669</t>
  </si>
  <si>
    <t>M1687</t>
  </si>
  <si>
    <t>M200202</t>
  </si>
  <si>
    <t>M2039</t>
  </si>
  <si>
    <t>M2047</t>
  </si>
  <si>
    <t>M38651</t>
  </si>
  <si>
    <t>M3957</t>
  </si>
  <si>
    <t>M4731</t>
  </si>
  <si>
    <t>M4733</t>
  </si>
  <si>
    <t>M5535</t>
  </si>
  <si>
    <t>M6617</t>
  </si>
  <si>
    <t>M6628</t>
  </si>
  <si>
    <t>M8005</t>
  </si>
  <si>
    <t>M8791</t>
  </si>
  <si>
    <t>M9974</t>
  </si>
  <si>
    <t>M00002</t>
  </si>
  <si>
    <t>M00175</t>
  </si>
  <si>
    <t>M00319</t>
  </si>
  <si>
    <t>Участък</t>
  </si>
  <si>
    <t>наименование на групата</t>
  </si>
  <si>
    <t>за подгъв</t>
  </si>
  <si>
    <t>цилиндрична</t>
  </si>
  <si>
    <t>горен диф. транспорт</t>
  </si>
  <si>
    <t>иглен транспорт</t>
  </si>
  <si>
    <t>горен диф. транспорт-изрязване резерва</t>
  </si>
  <si>
    <t>мострена бригада</t>
  </si>
  <si>
    <t>Шевен 1бр.</t>
  </si>
  <si>
    <t>Компресор + охладител+ ресивер</t>
  </si>
  <si>
    <t>Вид машини</t>
  </si>
  <si>
    <t>Кроялен участък</t>
  </si>
  <si>
    <t>Мострена бригада</t>
  </si>
  <si>
    <t>Техническа подготовка</t>
  </si>
  <si>
    <t>Асортиментни машини</t>
  </si>
  <si>
    <t>Склад машини</t>
  </si>
  <si>
    <t>правоъгълна</t>
  </si>
  <si>
    <t>Шевен 3бр.</t>
  </si>
  <si>
    <t>открит</t>
  </si>
  <si>
    <t>Руйно-1 ет.</t>
  </si>
  <si>
    <t>илик - око</t>
  </si>
  <si>
    <t>3 конечна</t>
  </si>
  <si>
    <t>Руйно- 2 ет.</t>
  </si>
  <si>
    <t>Шевен 2бр.</t>
  </si>
  <si>
    <t>електронна</t>
  </si>
  <si>
    <t>Шевен СМ</t>
  </si>
  <si>
    <t>за етикети</t>
  </si>
  <si>
    <t>настилъчна количка</t>
  </si>
  <si>
    <t>горен диф. транспорт-  8 сектора-изрязване резерва</t>
  </si>
  <si>
    <t>5 конечен</t>
  </si>
  <si>
    <t>ел.нож</t>
  </si>
  <si>
    <t>иглена маса</t>
  </si>
  <si>
    <t>крайно гладене</t>
  </si>
  <si>
    <t xml:space="preserve">Довършителен участък </t>
  </si>
  <si>
    <t>скрит</t>
  </si>
  <si>
    <t>7см. настил</t>
  </si>
  <si>
    <t>ханш панталон</t>
  </si>
  <si>
    <t>разглаждане шев на крачоли</t>
  </si>
  <si>
    <t>с изкл. на иглите</t>
  </si>
  <si>
    <t>пневматичен нож</t>
  </si>
  <si>
    <t>изрязване резерва</t>
  </si>
  <si>
    <t>2 конечена</t>
  </si>
  <si>
    <t>шлиц</t>
  </si>
  <si>
    <t>едноиглова</t>
  </si>
  <si>
    <t xml:space="preserve"> пулер</t>
  </si>
  <si>
    <t>Руйно-котелно</t>
  </si>
  <si>
    <t>3см. настил</t>
  </si>
  <si>
    <t>горен диф. транспорт-  8 сектора</t>
  </si>
  <si>
    <t xml:space="preserve"> обрезвачка</t>
  </si>
  <si>
    <t>долен и горен диф. транспорт-изрязване резерва-8сектора</t>
  </si>
  <si>
    <t>четрииглова</t>
  </si>
  <si>
    <t>3 игли-6,4</t>
  </si>
  <si>
    <t>без нож</t>
  </si>
  <si>
    <t>пулер</t>
  </si>
  <si>
    <t>пневматичен нож и повдигане на крачето</t>
  </si>
  <si>
    <t>Контрол платове</t>
  </si>
  <si>
    <t>4 конечен</t>
  </si>
  <si>
    <t>пневматична</t>
  </si>
  <si>
    <t>3 конечен</t>
  </si>
  <si>
    <t>лакътен и вътрешен шев</t>
  </si>
  <si>
    <t>ЦОЕ</t>
  </si>
  <si>
    <t>6 конечен</t>
  </si>
  <si>
    <t>иглен транспорт-пулер</t>
  </si>
  <si>
    <t>тежък клас</t>
  </si>
  <si>
    <t>горна и долна оплетка, с рязане</t>
  </si>
  <si>
    <t>трииглова П образна</t>
  </si>
  <si>
    <t>Руйно-компресорно</t>
  </si>
  <si>
    <t>открит пикир за колани и подгъви</t>
  </si>
  <si>
    <t>Руйно- 1ет.</t>
  </si>
  <si>
    <t>5 конечен-горен транспорт</t>
  </si>
  <si>
    <t>открит пикир- лек клас</t>
  </si>
  <si>
    <t>рязане, заячка</t>
  </si>
  <si>
    <t>Приемателен контрол</t>
  </si>
  <si>
    <t>обрезвачка -3мм</t>
  </si>
  <si>
    <t>Склад Тъкани</t>
  </si>
  <si>
    <t>прав илик</t>
  </si>
  <si>
    <t>прав илик/въртяща глава</t>
  </si>
  <si>
    <t>програмируема за набор и устройство за подаване на лизираща лента</t>
  </si>
  <si>
    <t>Шевен участък</t>
  </si>
  <si>
    <t>за похлюпване на колани</t>
  </si>
  <si>
    <t>60 см.</t>
  </si>
  <si>
    <t>Административна сграда</t>
  </si>
  <si>
    <t>лазерно рязане</t>
  </si>
  <si>
    <t>ел. програмируема</t>
  </si>
  <si>
    <t>трииглова-седемконечна</t>
  </si>
  <si>
    <t>45 см.</t>
  </si>
  <si>
    <t>двуиглова-двойноверижен зиг-заг</t>
  </si>
  <si>
    <t>разглаждане шев на ръкави</t>
  </si>
  <si>
    <t>Шевен 2бр</t>
  </si>
  <si>
    <t xml:space="preserve">трииглова  </t>
  </si>
  <si>
    <t>без изкл. на иглите</t>
  </si>
  <si>
    <t>рамо и страничен шев</t>
  </si>
  <si>
    <t>подгрев</t>
  </si>
  <si>
    <t>долен диф. транспорт-изрязване на резерва</t>
  </si>
  <si>
    <t>иглен транспорт-изрязване на резерва</t>
  </si>
  <si>
    <t>4,5см. настил</t>
  </si>
  <si>
    <t>открит пикир, тежък клас</t>
  </si>
  <si>
    <t>горна покривна и долна верижна оплетка</t>
  </si>
  <si>
    <t>горна и долна оплетка</t>
  </si>
  <si>
    <t>точков пикир</t>
  </si>
  <si>
    <t>за гайки и ласета</t>
  </si>
  <si>
    <t>студен/горещ нож</t>
  </si>
  <si>
    <t>студен нож</t>
  </si>
  <si>
    <t>Топер</t>
  </si>
  <si>
    <t>КРОЯЛЕН УЧАСТЪК</t>
  </si>
  <si>
    <t>ПРОИЗВОДСТВО РУЙНО</t>
  </si>
  <si>
    <t>ПРОИЗВОДСТВО РУСЕ</t>
  </si>
  <si>
    <t>Специални машини</t>
  </si>
  <si>
    <t>Друго оборудване</t>
  </si>
  <si>
    <t>МОСТРЕНА БРИГАДА</t>
  </si>
  <si>
    <t>ТЕХНИЧЕСКА ПОДГОТОВКА</t>
  </si>
  <si>
    <t>ВХОДЯЩ КОНТРОЛ ТЪКАНИ</t>
  </si>
  <si>
    <t>Парогенератор под специален контрол</t>
  </si>
  <si>
    <t>Парогенератор</t>
  </si>
  <si>
    <t>Съоръжения под налягане и вакуум помпи</t>
  </si>
  <si>
    <t>Брой от име</t>
  </si>
  <si>
    <t>о</t>
  </si>
  <si>
    <t>а</t>
  </si>
  <si>
    <t>с</t>
  </si>
  <si>
    <t>Стандартни машини</t>
  </si>
  <si>
    <t>№ Вид машини</t>
  </si>
  <si>
    <t>Парогенератор VEIT 2365/2-4.4kW</t>
  </si>
  <si>
    <t>Парогенератор VEIT 2366/2.2 kW</t>
  </si>
  <si>
    <t>за една ютия</t>
  </si>
  <si>
    <t>за две ютии</t>
  </si>
  <si>
    <t>Гладачна маса INDUPRESS IPN 1260 DOB FH</t>
  </si>
  <si>
    <t>Гладачна маса INDUPRESS IPN 1250 flat S+B</t>
  </si>
  <si>
    <t>универсална</t>
  </si>
  <si>
    <t>Гладачна маса VEIT uniset S</t>
  </si>
  <si>
    <t>Гладачна маса VEIT S124856</t>
  </si>
  <si>
    <t>Гладачна маса VEIT Uniset S</t>
  </si>
  <si>
    <t>Гладачна маса VEIT S 80065307</t>
  </si>
  <si>
    <t>междинно гладене</t>
  </si>
  <si>
    <t>Гладачна маса VEIT S 126449</t>
  </si>
  <si>
    <t>Гладачна маса VEIT S 126461</t>
  </si>
  <si>
    <t>Гладачна маса  VEIT S 144.721.000.0</t>
  </si>
  <si>
    <t>Гладачна маса VEIT S 4443420040</t>
  </si>
  <si>
    <t>Гладачна маса VEIT S 124856</t>
  </si>
  <si>
    <t>Гладачна маса VEIT UNISET S 4435</t>
  </si>
  <si>
    <t xml:space="preserve">Гладачна маса  VEIT UNISET S </t>
  </si>
  <si>
    <t>Гладачна маса VEIT UNISET S+B 4455S1445520030</t>
  </si>
  <si>
    <t xml:space="preserve">Гладачна маса VEIT UNISET DOB S+B </t>
  </si>
  <si>
    <t>Гладачна маса VEIT UNISET DOB S+B 126442</t>
  </si>
  <si>
    <t>Гладачна маса DOB-VEIT UNISET-mod4235</t>
  </si>
  <si>
    <t>Гладачна маса VEIT S126442</t>
  </si>
  <si>
    <t>Гладачна маса VEIT S1425520030</t>
  </si>
  <si>
    <t>Гладачна маса VEIT 144.721.000.0</t>
  </si>
  <si>
    <t>Гладачна маса заостр.л.страна VEIT 126442</t>
  </si>
  <si>
    <t>универсална - лява страна</t>
  </si>
  <si>
    <t>Гладачна маса гл.поли,рокли,пант.VEIT 124184</t>
  </si>
  <si>
    <t>крайно гладене/ панталони</t>
  </si>
  <si>
    <t>хастари сака</t>
  </si>
  <si>
    <t>подгрев/ междинно гладене</t>
  </si>
  <si>
    <t>подгрев/ крайно гладене</t>
  </si>
  <si>
    <t>Гладачна маса за ръкавни шевове VEIT BRI 170/101</t>
  </si>
  <si>
    <t>Гладачна маса разгл.шев.крачолите VEIT 126459</t>
  </si>
  <si>
    <t xml:space="preserve">Гладачна маса за разгл.шевове на крачоли VEIT UNISET CN </t>
  </si>
  <si>
    <t>Гладачна маса VEIT за шлиц</t>
  </si>
  <si>
    <t>Гладачна маса VEIT Uniset S 126449</t>
  </si>
  <si>
    <t xml:space="preserve">Гладачна маса VEIT Uniset Turbo </t>
  </si>
  <si>
    <t>Маса за разглаждане страничен,среден шев и рамо VEIT UNISET Turbo S</t>
  </si>
  <si>
    <t>Гладачна маса INDUPRESS IPN-ZBT-ARN-0751</t>
  </si>
  <si>
    <t>Гладачна маса за разглаждане на шев.на пант VEIT unisetS 126461</t>
  </si>
  <si>
    <t>Гладачна маса  за разглаждане на шев.на пант VEIT Varioset</t>
  </si>
  <si>
    <t>тънки презрамки с вътрешен шев (гайки)</t>
  </si>
  <si>
    <t>програмиране на три различни гъстоти на бода</t>
  </si>
  <si>
    <t>5 конечен/ горен монтаж</t>
  </si>
  <si>
    <t>4 конечен/ горен монтаж</t>
  </si>
  <si>
    <t>без нож/ пико</t>
  </si>
  <si>
    <t>5 конечен - полуавтомат</t>
  </si>
  <si>
    <t>5 конечен за обточване</t>
  </si>
  <si>
    <t>4 конечен за обточване</t>
  </si>
  <si>
    <t>за навиване на копчета</t>
  </si>
  <si>
    <t>1 конечна</t>
  </si>
  <si>
    <t>2 конечна</t>
  </si>
  <si>
    <t>Понт машина Durkopp Adler 510-211</t>
  </si>
  <si>
    <t>Понт машина Juki LK-1900ASS</t>
  </si>
  <si>
    <t>Понт машина Durkopp Adler 511-211</t>
  </si>
  <si>
    <t>Понт машина Durkopp Adler 512-211</t>
  </si>
  <si>
    <t>Понт машина Brother KE-430D-01</t>
  </si>
  <si>
    <t>долна оплетка - за гайки</t>
  </si>
  <si>
    <t>12 игли-4,8</t>
  </si>
  <si>
    <t>верижен бод + ластик</t>
  </si>
  <si>
    <t>горна и долна оплетка - за гайки</t>
  </si>
  <si>
    <t>2 игли-6,4</t>
  </si>
  <si>
    <t>пулер, рязане</t>
  </si>
  <si>
    <t>за колани тип дънки</t>
  </si>
  <si>
    <t>за седалищен шев</t>
  </si>
  <si>
    <t>двуиглова</t>
  </si>
  <si>
    <t>рязане</t>
  </si>
  <si>
    <t>открит, домашен</t>
  </si>
  <si>
    <t>открит, за подгъв</t>
  </si>
  <si>
    <t>без рязане</t>
  </si>
  <si>
    <t>открит, станция за гладене</t>
  </si>
  <si>
    <t>ролков, с рязане</t>
  </si>
  <si>
    <t>с рязане</t>
  </si>
  <si>
    <t>Шевна машина за ръчен бод Robotechnology-RT 783F</t>
  </si>
  <si>
    <t>за външни кантове, за процепени платове</t>
  </si>
  <si>
    <t>верижен ръчен бод</t>
  </si>
  <si>
    <t>Едноиглова права машина Общо</t>
  </si>
  <si>
    <t>Oверлог Общо</t>
  </si>
  <si>
    <t>Гладачна маса Общо</t>
  </si>
  <si>
    <t>Парогенератор Общо</t>
  </si>
  <si>
    <t>Дискова ножица Общо</t>
  </si>
  <si>
    <t>Шила за обръщане на колани и яки Общо</t>
  </si>
  <si>
    <t>Двуиглова права машина Общо</t>
  </si>
  <si>
    <t>Зиг-заг машина Общо</t>
  </si>
  <si>
    <t>Покривна машина Общо</t>
  </si>
  <si>
    <t>Шевна машина за ръчен бод Общо</t>
  </si>
  <si>
    <t>Станция за почистване на петна Общо</t>
  </si>
  <si>
    <t>Преса Общо</t>
  </si>
  <si>
    <t>Автомат за дребни детайли Общо</t>
  </si>
  <si>
    <t>Машина за процепване Общо</t>
  </si>
  <si>
    <t>Машина за рязане на зиг-заг Общо</t>
  </si>
  <si>
    <t>Устройство за опъване на затворен ластик Общо</t>
  </si>
  <si>
    <t>Машина за пренавиване на конци Общо</t>
  </si>
  <si>
    <t>Преса за трансферен печат Общо</t>
  </si>
  <si>
    <t>Копчешиещa машинa  Общо</t>
  </si>
  <si>
    <t>Понт машина Общо</t>
  </si>
  <si>
    <t>Верижна машина Общо</t>
  </si>
  <si>
    <t>Пикир машина Общо</t>
  </si>
  <si>
    <t>Илична машина Общо</t>
  </si>
  <si>
    <t>Филет автомат Общо</t>
  </si>
  <si>
    <t>Машина за прикачане на подплънки Общо</t>
  </si>
  <si>
    <t>Гладачна преса Общо</t>
  </si>
  <si>
    <t>Ръкавна машина  Общо</t>
  </si>
  <si>
    <t>Автомат-Juki AMS Общо</t>
  </si>
  <si>
    <t>Шевни машини с дълго рамо Общо</t>
  </si>
  <si>
    <t>Машина за почистване на конци Общо</t>
  </si>
  <si>
    <t>Опаковъчни машини Общо</t>
  </si>
  <si>
    <t>Машина за разкрояване на текстил Общо</t>
  </si>
  <si>
    <t>Влагомер Общо</t>
  </si>
  <si>
    <t>Компресор + охладител+ ресивер Общо</t>
  </si>
  <si>
    <t>Вакуум помпа Общо</t>
  </si>
  <si>
    <t>Парогенератор под специален контрол Общо</t>
  </si>
  <si>
    <t>ръкави сака</t>
  </si>
  <si>
    <t>лакътен шев</t>
  </si>
  <si>
    <t>подмишница сако</t>
  </si>
  <si>
    <t>рамо-вертикално</t>
  </si>
  <si>
    <t>яка и ревер</t>
  </si>
  <si>
    <t>яки</t>
  </si>
  <si>
    <t>пароманекен</t>
  </si>
  <si>
    <t>крачоли на панталон</t>
  </si>
  <si>
    <t>100 см.</t>
  </si>
  <si>
    <t>140 см.</t>
  </si>
  <si>
    <t>1,2 м</t>
  </si>
  <si>
    <t>28 м</t>
  </si>
  <si>
    <t>3,8 м</t>
  </si>
  <si>
    <t>4,5 м</t>
  </si>
  <si>
    <t>4 м</t>
  </si>
  <si>
    <t>Гладачна маса VEIT S+B</t>
  </si>
  <si>
    <t>настилъчна маса</t>
  </si>
  <si>
    <t>Ръкавна машина Durkopp Adler 650-16</t>
  </si>
  <si>
    <t>Ръкавна машина Durkopp Adler 550-16-23</t>
  </si>
  <si>
    <t>Ръкавна машина JUKI DP-2100</t>
  </si>
  <si>
    <t>Пневматична преса за агрифки Gutos 5036</t>
  </si>
  <si>
    <t>агрифки</t>
  </si>
  <si>
    <t>капси</t>
  </si>
  <si>
    <t>Пневматична преса за капси JLQ03-80</t>
  </si>
  <si>
    <t>Пневматична преса за капси JLQ01-TH</t>
  </si>
  <si>
    <t>Пневматична преса за капси Sakura</t>
  </si>
  <si>
    <t>Ръчна преса за капси</t>
  </si>
  <si>
    <t>Машина за процепване на двулицев плат модел БТБ</t>
  </si>
  <si>
    <t>Double Face Slitting / Separating / Splitting Machine BTB</t>
  </si>
  <si>
    <t>Hand Press Machine for Attaching Buttons and Eyelets</t>
  </si>
  <si>
    <t>производство БТБ</t>
  </si>
  <si>
    <t>Винтов компресор Almig Belt 37-8</t>
  </si>
  <si>
    <t>компресор</t>
  </si>
  <si>
    <t>бутален</t>
  </si>
  <si>
    <t>винтов</t>
  </si>
  <si>
    <t>Винтов компресор Cube10SD</t>
  </si>
  <si>
    <t>Винтов компресор Cube10</t>
  </si>
  <si>
    <t>Резервоар напорен</t>
  </si>
  <si>
    <t>500 л</t>
  </si>
  <si>
    <t>1000 л</t>
  </si>
  <si>
    <t>Хладилен изсушител</t>
  </si>
  <si>
    <t>за настил</t>
  </si>
  <si>
    <t>колани</t>
  </si>
  <si>
    <t>ръчно</t>
  </si>
  <si>
    <t>работно поле 900 м х 1300 мм</t>
  </si>
  <si>
    <t>Общ брой</t>
  </si>
  <si>
    <t>предни части</t>
  </si>
  <si>
    <t>работно поле 110-230 мм.</t>
  </si>
  <si>
    <t>Подлепваща преса Общо</t>
  </si>
  <si>
    <t>Лайтбокс</t>
  </si>
  <si>
    <t>Машина за контрол и навиване на платове</t>
  </si>
  <si>
    <t>Ръчен крокметър</t>
  </si>
  <si>
    <t>Преса за контрол на свиваемост "Хофман"</t>
  </si>
  <si>
    <t>Преса за контрол на свиваемост</t>
  </si>
  <si>
    <t>Машина за контрол здравината на шевовете</t>
  </si>
  <si>
    <t>Машина за контрол износването на плата</t>
  </si>
  <si>
    <t>Комплект щанца и везна</t>
  </si>
  <si>
    <t>Гатер ножица  Общо</t>
  </si>
  <si>
    <t>Банциг Общо</t>
  </si>
  <si>
    <t>Кроялни маси и транспортьори Общо</t>
  </si>
  <si>
    <t>Шила с нагряване Общо</t>
  </si>
  <si>
    <t>Машина за рязане на ласе Общо</t>
  </si>
  <si>
    <t>Устройство за центроване Общо</t>
  </si>
  <si>
    <t>CNC Cutter автоматизирана с-ма за кроене KURIS Общо</t>
  </si>
  <si>
    <t>Кроялна система Bullmer Общо</t>
  </si>
  <si>
    <t>настилъчна маса с конвейрна лента</t>
  </si>
  <si>
    <t>транспортна лента</t>
  </si>
  <si>
    <t>пневматична, единична</t>
  </si>
  <si>
    <t>пневматична, тройна</t>
  </si>
  <si>
    <t>ръчна, единична</t>
  </si>
  <si>
    <t>Понтавтомат за укрепване на гайки Общо</t>
  </si>
  <si>
    <t>Автомат за свивки Общо</t>
  </si>
  <si>
    <t>Устройство за поставяне на плъзгач Общо</t>
  </si>
  <si>
    <t>Лазерни машини Общо</t>
  </si>
  <si>
    <t>Гладачна техника</t>
  </si>
  <si>
    <t>оборудване Входящ контрол</t>
  </si>
  <si>
    <t>оборудване Входящ контрол Общо</t>
  </si>
  <si>
    <t>наименование</t>
  </si>
  <si>
    <t>количество</t>
  </si>
  <si>
    <t>Ironing table VEIT UNISET DOB S+B</t>
  </si>
  <si>
    <t>Ironing table VEIT 126470</t>
  </si>
  <si>
    <t xml:space="preserve">МОСТРЕНА БРИГАДА </t>
  </si>
  <si>
    <t>Strobel 103-258 Blindstitch Belt-Loop Attaching Machine.</t>
  </si>
  <si>
    <t>Pneumatic Grommet/Eyelet Press, 420 kg Force, Model JLQ03-80.</t>
  </si>
  <si>
    <t xml:space="preserve">сака </t>
  </si>
  <si>
    <t>50 работника</t>
  </si>
  <si>
    <t xml:space="preserve">45 работника </t>
  </si>
  <si>
    <t>панталони</t>
  </si>
  <si>
    <t>рокли,блузи</t>
  </si>
  <si>
    <t xml:space="preserve">една лин. </t>
  </si>
  <si>
    <t>Свободни машини</t>
  </si>
  <si>
    <t>бр.</t>
  </si>
  <si>
    <t>за 2 линии</t>
  </si>
  <si>
    <t>за 3 линии</t>
  </si>
  <si>
    <t>за 3 лини</t>
  </si>
  <si>
    <t>описание + характеристики</t>
  </si>
  <si>
    <t xml:space="preserve"> обрезвачка; долен и горен диф. транспорт-изрязване резерва-8сектора</t>
  </si>
  <si>
    <t>за подгъв; горен диф. транспорт</t>
  </si>
  <si>
    <t>за похлюпване на колани; иглен транспорт</t>
  </si>
  <si>
    <t>обрезвачка; горен диф. транспорт-  8 сектора-изрязване резерва</t>
  </si>
  <si>
    <t>обрезвачка; горен диф. транспорт-изрязване резерва</t>
  </si>
  <si>
    <t>обрезвачка; долен диф. транспорт-изрязване на резерва</t>
  </si>
  <si>
    <t>обрезвачка; иглен транспорт-изрязване на резерва</t>
  </si>
  <si>
    <t>обрезвачка; изрязване резерва</t>
  </si>
  <si>
    <t>обрезвачка -3мм; горен диф. транспорт-изрязване резерва</t>
  </si>
  <si>
    <t>тежък клас; иглен транспорт-пулер</t>
  </si>
  <si>
    <t>програмиране на три различни гъстоти на бода; иглен транспорт</t>
  </si>
  <si>
    <t>3 конечен; ел.нож</t>
  </si>
  <si>
    <t>3 конечен; пневматичен нож</t>
  </si>
  <si>
    <t>3 конечен; без нож/ пико</t>
  </si>
  <si>
    <t>4 конечен; ел.нож</t>
  </si>
  <si>
    <t>4 конечен; пневматичен нож</t>
  </si>
  <si>
    <t>5 конечен; без нож</t>
  </si>
  <si>
    <t>5 конечен; ел.нож</t>
  </si>
  <si>
    <t>5 конечен; пневматичен нож</t>
  </si>
  <si>
    <t>5 конечен-горен транспорт; без нож</t>
  </si>
  <si>
    <t>5 конечен-горен транспорт; ел.нож</t>
  </si>
  <si>
    <t>6 конечен; ел.нож</t>
  </si>
  <si>
    <t>6 конечен; пневматичен нож</t>
  </si>
  <si>
    <t>5 конечен/ горен монтаж; без нож</t>
  </si>
  <si>
    <t>5 конечен за обточване; без нож</t>
  </si>
  <si>
    <t>4 конечен за обточване; без нож</t>
  </si>
  <si>
    <t>4 конечен/ горен монтаж; пневматичен нож</t>
  </si>
  <si>
    <t>5 конечен - полуавтомат; пневматичен нож и повдигане на крачето</t>
  </si>
  <si>
    <t>настилъчна маса; 28 м</t>
  </si>
  <si>
    <t>транспортна лента; 3,8 м</t>
  </si>
  <si>
    <t>транспортна лента; 4,5 м</t>
  </si>
  <si>
    <t>транспортна лента; 1,2 м</t>
  </si>
  <si>
    <t>настилъчна маса с конвейрна лента; 4 м</t>
  </si>
  <si>
    <t>яки; пневматична</t>
  </si>
  <si>
    <t>колани; ръчно</t>
  </si>
  <si>
    <t>1 конечна; електронна</t>
  </si>
  <si>
    <t>2 конечна; електронна</t>
  </si>
  <si>
    <t>едноиглова; рязане, заячка</t>
  </si>
  <si>
    <t>едноиглова; пулер, рязане</t>
  </si>
  <si>
    <t>едноиглова; рязане</t>
  </si>
  <si>
    <t>програмируема за набор и устройство за подаване на лизираща лента; рязане, заячка</t>
  </si>
  <si>
    <t>трииглова  ;  пулер</t>
  </si>
  <si>
    <t>четрииглова; за колани тип дънки</t>
  </si>
  <si>
    <t>двуиглова; за седалищен шев</t>
  </si>
  <si>
    <t>открит; без рязане</t>
  </si>
  <si>
    <t>открит; с рязане</t>
  </si>
  <si>
    <t>открит пикир за колани и подгъви; ролков, с рязане</t>
  </si>
  <si>
    <t>открит пикир- лек клас; с рязане</t>
  </si>
  <si>
    <t>открит пикир, тежък клас; с рязане</t>
  </si>
  <si>
    <t>скрит; без рязане</t>
  </si>
  <si>
    <t>скрит; с рязане</t>
  </si>
  <si>
    <t>точков пикир; с рязане</t>
  </si>
  <si>
    <t>открит, станция за гладене; без рязане</t>
  </si>
  <si>
    <t>открит, за подгъв; без рязане</t>
  </si>
  <si>
    <t>открит, домашен; без рязане</t>
  </si>
  <si>
    <t>илик - око; 2 конечена</t>
  </si>
  <si>
    <t>илик - око; 3 конечна</t>
  </si>
  <si>
    <t>прав илик; 2 конечена</t>
  </si>
  <si>
    <t>прав илик/въртяща глава; 2 конечена</t>
  </si>
  <si>
    <t>работно поле 900 м х 1300 мм; лазерно рязане</t>
  </si>
  <si>
    <t>работно поле 900 м х 1300 мм; без рязане</t>
  </si>
  <si>
    <t>горна и долна оплетка; 3 игли-6,4</t>
  </si>
  <si>
    <t>горна и долна оплетка, с рязане; 3 игли-6,4</t>
  </si>
  <si>
    <t>горна покривна и долна верижна оплетка; 2 игли-6,4</t>
  </si>
  <si>
    <t>верижен бод + ластик; 12 игли-4,8</t>
  </si>
  <si>
    <t>долна оплетка - за гайки; 2 игли-6,4</t>
  </si>
  <si>
    <t>горна и долна оплетка - за гайки; 2 игли-6,4</t>
  </si>
  <si>
    <t>пневматична, тройна; капси</t>
  </si>
  <si>
    <t>пневматична, единична; капси</t>
  </si>
  <si>
    <t>пневматична, единична; агрифки</t>
  </si>
  <si>
    <t>ръчна, единична; капси</t>
  </si>
  <si>
    <t>лакътен и вътрешен шев; подгрев</t>
  </si>
  <si>
    <t>правоъгълна; междинно гладене</t>
  </si>
  <si>
    <t>правоъгълна; подгрев/ междинно гладене</t>
  </si>
  <si>
    <t>универсална; крайно гладене</t>
  </si>
  <si>
    <t>универсална; междинно гладене</t>
  </si>
  <si>
    <t>универсална; подгрев/ междинно гладене</t>
  </si>
  <si>
    <t>универсална; подгрев/ крайно гладене</t>
  </si>
  <si>
    <t>универсална - лява страна; крайно гладене</t>
  </si>
  <si>
    <t>Комплект за измерване на свиваемост ; за 3 размера</t>
  </si>
  <si>
    <t>Комплект за измерване на свиваемост ; за 1 размер</t>
  </si>
  <si>
    <t>компресор; бутален</t>
  </si>
  <si>
    <t>компресор; винтов</t>
  </si>
  <si>
    <t>Резервоар напорен; 500 л</t>
  </si>
  <si>
    <t>Резервоар напорен; 1000 л</t>
  </si>
  <si>
    <t>Стойности</t>
  </si>
  <si>
    <t>Сума от Първоначална стойност</t>
  </si>
  <si>
    <t>Справка машинен парк - България Общо</t>
  </si>
  <si>
    <t>Ед. цена/
лв.</t>
  </si>
  <si>
    <t>Ст-т оборудване 1 линия/ лв.</t>
  </si>
  <si>
    <t>за 3 линни</t>
  </si>
  <si>
    <t>TOTAL:</t>
  </si>
  <si>
    <t>Subtotal Linie</t>
  </si>
  <si>
    <t>Subtotal WEK</t>
  </si>
  <si>
    <t>Subtotal Zuschnitt</t>
  </si>
  <si>
    <t>Subtotal Templates</t>
  </si>
  <si>
    <t>Blazer</t>
  </si>
  <si>
    <t>Trousers</t>
  </si>
  <si>
    <t>Dresses</t>
  </si>
  <si>
    <t>Subtotal Wagen</t>
  </si>
  <si>
    <t>Subtotal Kitts</t>
  </si>
  <si>
    <t>Subtotal Linie:</t>
  </si>
  <si>
    <t>SUBTOTAL Wagen + Aufsaetze</t>
  </si>
  <si>
    <t>SUBTOTAL 3 Linien:</t>
  </si>
  <si>
    <t>SUBTOTAL Zuschnitt+ WEK+ Template:</t>
  </si>
  <si>
    <t>ОБЩО:</t>
  </si>
  <si>
    <t>Ст-т/ лв.</t>
  </si>
  <si>
    <t>Единична оферта</t>
  </si>
  <si>
    <t>Продадена машина</t>
  </si>
  <si>
    <t>Първоначална стойност в евро</t>
  </si>
  <si>
    <t>M0009</t>
  </si>
  <si>
    <t>M0010</t>
  </si>
  <si>
    <t>M028</t>
  </si>
  <si>
    <t>M0804</t>
  </si>
  <si>
    <t>M1008</t>
  </si>
  <si>
    <t>M101</t>
  </si>
  <si>
    <t>M1100057</t>
  </si>
  <si>
    <t>M1100066</t>
  </si>
  <si>
    <t>M1190</t>
  </si>
  <si>
    <t>M12419</t>
  </si>
  <si>
    <t>M14521</t>
  </si>
  <si>
    <t>M21563</t>
  </si>
  <si>
    <t>M21576</t>
  </si>
  <si>
    <t>M2545</t>
  </si>
  <si>
    <t>M27055</t>
  </si>
  <si>
    <t>M28</t>
  </si>
  <si>
    <t>M30884</t>
  </si>
  <si>
    <t>M30891</t>
  </si>
  <si>
    <t>M31012</t>
  </si>
  <si>
    <t>M3204</t>
  </si>
  <si>
    <t>M402</t>
  </si>
  <si>
    <t>M4312</t>
  </si>
  <si>
    <t>M50063</t>
  </si>
  <si>
    <t>M50117</t>
  </si>
  <si>
    <t>M50367</t>
  </si>
  <si>
    <t>M50377</t>
  </si>
  <si>
    <t>M51043</t>
  </si>
  <si>
    <t>M51053</t>
  </si>
  <si>
    <t>M56904</t>
  </si>
  <si>
    <t>M601135</t>
  </si>
  <si>
    <t>M601136</t>
  </si>
  <si>
    <t>M601137</t>
  </si>
  <si>
    <t>M6697</t>
  </si>
  <si>
    <t>M70</t>
  </si>
  <si>
    <t>M70696</t>
  </si>
  <si>
    <t>M7629</t>
  </si>
  <si>
    <t>M7705</t>
  </si>
  <si>
    <t>M8095</t>
  </si>
  <si>
    <t>M83505</t>
  </si>
  <si>
    <t>M8353</t>
  </si>
  <si>
    <t>M91</t>
  </si>
  <si>
    <t>Име Ед. оферта</t>
  </si>
  <si>
    <t>Илична машина Durkopp 589-212</t>
  </si>
  <si>
    <t>Buttonhole machine Durkopp 589-212</t>
  </si>
  <si>
    <t>Деница Януарова</t>
  </si>
  <si>
    <t>Елена Фешън</t>
  </si>
  <si>
    <t>Иво - Престиж</t>
  </si>
  <si>
    <t>М0009</t>
  </si>
  <si>
    <t>М0010</t>
  </si>
  <si>
    <t>М028</t>
  </si>
  <si>
    <t>М0804</t>
  </si>
  <si>
    <t>М10</t>
  </si>
  <si>
    <t>М1008</t>
  </si>
  <si>
    <t>М101</t>
  </si>
  <si>
    <t>М1100057</t>
  </si>
  <si>
    <t>М1100066</t>
  </si>
  <si>
    <t>М1190</t>
  </si>
  <si>
    <t>М12142</t>
  </si>
  <si>
    <t>М12419</t>
  </si>
  <si>
    <t>М14521</t>
  </si>
  <si>
    <t>М21563</t>
  </si>
  <si>
    <t>М21576</t>
  </si>
  <si>
    <t>М27055</t>
  </si>
  <si>
    <t>М28</t>
  </si>
  <si>
    <t>М30884</t>
  </si>
  <si>
    <t>М30891</t>
  </si>
  <si>
    <t>М31012</t>
  </si>
  <si>
    <t>М3204</t>
  </si>
  <si>
    <t>М402</t>
  </si>
  <si>
    <t>М50063</t>
  </si>
  <si>
    <t>М50117</t>
  </si>
  <si>
    <t>М50367</t>
  </si>
  <si>
    <t>М50377</t>
  </si>
  <si>
    <t>М51043</t>
  </si>
  <si>
    <t>М51053</t>
  </si>
  <si>
    <t>М56904</t>
  </si>
  <si>
    <t>М601135</t>
  </si>
  <si>
    <t>М601136</t>
  </si>
  <si>
    <t>М601137</t>
  </si>
  <si>
    <t>М6565</t>
  </si>
  <si>
    <t>М6697</t>
  </si>
  <si>
    <t>М70</t>
  </si>
  <si>
    <t>М70696</t>
  </si>
  <si>
    <t>М7629</t>
  </si>
  <si>
    <t>М7705</t>
  </si>
  <si>
    <t>М8095</t>
  </si>
  <si>
    <t>М83505</t>
  </si>
  <si>
    <t>М8353</t>
  </si>
  <si>
    <t>М86538</t>
  </si>
  <si>
    <t>М91</t>
  </si>
  <si>
    <t>Първоначална стойност</t>
  </si>
  <si>
    <t>edge trimmer, featuring top and bottom differential feed for precise seam allowance trimming in the 8 sector</t>
  </si>
  <si>
    <t>Hemming machine, Top differential feed</t>
  </si>
  <si>
    <t xml:space="preserve">Waistband folder,Needle feed </t>
  </si>
  <si>
    <t>edge trimmer, featuring top differential feed for precise seam allowance trimming in the 8 sector</t>
  </si>
  <si>
    <t>needle feed</t>
  </si>
  <si>
    <t>100 cm</t>
  </si>
  <si>
    <t>140 cm</t>
  </si>
  <si>
    <t>45 cm</t>
  </si>
  <si>
    <t>Overlock machine</t>
  </si>
  <si>
    <t>Straight knife cutter</t>
  </si>
  <si>
    <t>Band saw cutter</t>
  </si>
  <si>
    <t>Round knife cutter</t>
  </si>
  <si>
    <t>Turning awl for belts and collars</t>
  </si>
  <si>
    <t>Hot Cloth Drills</t>
  </si>
  <si>
    <t>for labels</t>
  </si>
  <si>
    <t>Dart sewing automatic</t>
  </si>
  <si>
    <t>Shoulder pad attachment machine</t>
  </si>
  <si>
    <t>CNC Cutter automated cutting system KURIS</t>
  </si>
  <si>
    <t>Sleeve attaching machine</t>
  </si>
  <si>
    <t>Long arm sewing machines</t>
  </si>
  <si>
    <t>puller</t>
  </si>
  <si>
    <t>Spot cleaning station</t>
  </si>
  <si>
    <t>Small parts automatic workstation</t>
  </si>
  <si>
    <t>Zig-zag cutting machine</t>
  </si>
  <si>
    <t>BTB production</t>
  </si>
  <si>
    <t>Zipper slider mounting device</t>
  </si>
  <si>
    <t>Heat transfer press</t>
  </si>
  <si>
    <t>Universal</t>
  </si>
  <si>
    <t>collar and lapel</t>
  </si>
  <si>
    <t>collars</t>
  </si>
  <si>
    <t>front parts</t>
  </si>
  <si>
    <t>elbow seam</t>
  </si>
  <si>
    <t>Fabric cutting machine</t>
  </si>
  <si>
    <t xml:space="preserve">Compressor+ coller +receiver </t>
  </si>
  <si>
    <t>Assortment machines</t>
  </si>
  <si>
    <t>Ironing equipment</t>
  </si>
  <si>
    <t>Other equipment</t>
  </si>
  <si>
    <t>Special machines</t>
  </si>
  <si>
    <t>Standard machines</t>
  </si>
  <si>
    <t>Pressure and vacuum equipment</t>
  </si>
  <si>
    <t>Computer-controlled cycle machine for bar-tacking and label sewing JUKI AMS-210EN.</t>
  </si>
  <si>
    <t>Computer-controlled cycle machine Juki AMS</t>
  </si>
  <si>
    <t>Sewing area 110-230 mm</t>
  </si>
  <si>
    <t>Band saw cutter Kuris TexKnite 492KR</t>
  </si>
  <si>
    <t>Band saw cutter Safak120</t>
  </si>
  <si>
    <t>Band saw cutter  Kuris 492 KR</t>
  </si>
  <si>
    <t>Vacuum pump  Piller VHRG 0442</t>
  </si>
  <si>
    <t>Vacuum pump  6697</t>
  </si>
  <si>
    <t>Chainstitch machine Durkopp 173</t>
  </si>
  <si>
    <t>Chainstitch machine</t>
  </si>
  <si>
    <t xml:space="preserve">
Twin needle lockstitch machine</t>
  </si>
  <si>
    <t>Single needle lockstitch machine</t>
  </si>
  <si>
    <t>Zig-zag sewing machine</t>
  </si>
  <si>
    <t>Grand Total</t>
  </si>
  <si>
    <t>Cutting tables and conveyors</t>
  </si>
  <si>
    <t>Thread rewinding machine</t>
  </si>
  <si>
    <t>Thread rewinding machine KaiXuan-KX05</t>
  </si>
  <si>
    <t>Slitting machine</t>
  </si>
  <si>
    <t>Reinforcement tape cutting machine</t>
  </si>
  <si>
    <t>Incoming quality control equipment</t>
  </si>
  <si>
    <t>Packaging machines</t>
  </si>
  <si>
    <t xml:space="preserve">
Steam generator</t>
  </si>
  <si>
    <t>High-pressure steam generator</t>
  </si>
  <si>
    <t>(blank)</t>
  </si>
  <si>
    <t>Понтавтомат за укрепване на гайки Total</t>
  </si>
  <si>
    <t>Automatic bar tacking machine for belt loops</t>
  </si>
  <si>
    <t>Pneumatic press</t>
  </si>
  <si>
    <t>Elastic tensioning device for closed loops</t>
  </si>
  <si>
    <t>Gemini каза
Notching device</t>
  </si>
  <si>
    <t>Automatic welt pocket  machine</t>
  </si>
  <si>
    <t>Hand-stitch machine</t>
  </si>
  <si>
    <t>Long-arm sewing machines</t>
  </si>
  <si>
    <t>Hot Cloth Drill Micro Top SM-201L</t>
  </si>
  <si>
    <t>CNC Cutter automated cutting system KURIS C3030S</t>
  </si>
  <si>
    <t>ironing table  Indupress IPN-TOP-B 03</t>
  </si>
  <si>
    <t>Spotting Table VEIT 7406</t>
  </si>
  <si>
    <t>Small Parts Sewing Automat PFAFF 3511-2/1</t>
  </si>
  <si>
    <t>Multi-needle cylinder-bed double chainstitch machine Siruba VC008-12064P/VSC</t>
  </si>
  <si>
    <t>Vacuum pump  DB675</t>
  </si>
  <si>
    <t xml:space="preserve">Chainstitch machine Dürkopp Adler 171-131110S </t>
  </si>
  <si>
    <t>Chainstitch machine Durkopp 175-141621</t>
  </si>
  <si>
    <t>Chainstitch machine JUKI MH481-5</t>
  </si>
  <si>
    <t>Chainstitch machine JUKI MH481-54U</t>
  </si>
  <si>
    <t>Chainstitch machine Kansai  FBX1104PA</t>
  </si>
  <si>
    <t>Chainstitch machine Kansai LX-5803PHD</t>
  </si>
  <si>
    <t>Chainstitch machine Kansai NW8842-1G/SERVO/IPG</t>
  </si>
  <si>
    <t>Belt-driven screw compressor Almig Belt 30-8</t>
  </si>
  <si>
    <t xml:space="preserve">Industrial Belt-driven screw compressor ALMiG BELT 37-8 </t>
  </si>
  <si>
    <t>Tank-mounted Screw Compressor with Dryer Ceccato CSM 7.5 DXM 200L</t>
  </si>
  <si>
    <t>Tank-mounted Screw Compressor with Refrigerant Dryer Fini CUBE 10 SD</t>
  </si>
  <si>
    <t>Straight Knife Cloth Cutter Dayang CZD 103</t>
  </si>
  <si>
    <t>Straight knife cutter KM-JNR</t>
  </si>
  <si>
    <t>Straight knife cutter  KM-KS-FX</t>
  </si>
  <si>
    <t xml:space="preserve">Vertical Sleeve Finishing Press VEIT BRISAY BRI-890/111 </t>
  </si>
  <si>
    <t xml:space="preserve"> Vacuum Ironing Table VEIT S-Series</t>
  </si>
  <si>
    <t>Seam Opening Table for Trousers VEIT Varioset S+B</t>
  </si>
  <si>
    <t>Vacuum Ironing Table VEIT UNISET Model 4235</t>
  </si>
  <si>
    <t>Flat Vacuum and Blowing Ironing Table INDUPRESS IPN 1250</t>
  </si>
  <si>
    <t xml:space="preserve"> Vacuum Ironing Station with Integrated Steam INDUPRESS IPN 1260 DOB FH</t>
  </si>
  <si>
    <t>Vacuum and Blowing Ironing Table INDUPRESS IPN-1260-DOB</t>
  </si>
  <si>
    <t>Industrial Ironing Table Configuration VEIT 070316205</t>
  </si>
  <si>
    <t xml:space="preserve"> Vacuum Ironing Table VEIT S-Series  (144.721.000.0)</t>
  </si>
  <si>
    <t>Vacuum Ironing Table VEIT S-Series (126449)</t>
  </si>
  <si>
    <t xml:space="preserve"> Ironing Table VEIT S ( 4443420040)</t>
  </si>
  <si>
    <t>Ironing table VEIT S 80065307</t>
  </si>
  <si>
    <t>Ironing table VEIT S+B</t>
  </si>
  <si>
    <t>Ironing table VEIT S1425520030</t>
  </si>
  <si>
    <t xml:space="preserve"> Ironing Table VEIT UNISET DOB S+B</t>
  </si>
  <si>
    <t>Ironing table VEIT UNISET DOB S+B 126442</t>
  </si>
  <si>
    <t>Ironing table  VEIT UNISET S</t>
  </si>
  <si>
    <t>Ironing Table VEIT Uniset S 126449</t>
  </si>
  <si>
    <t xml:space="preserve">Ironing Table VEIT Uniset S  4433 </t>
  </si>
  <si>
    <t>Ironing table VEIT UNISET S 4435</t>
  </si>
  <si>
    <t>Ironing Table VEIT UNISET S TURBO S1443520030</t>
  </si>
  <si>
    <t>Ironing table VEIT UNISET S+B</t>
  </si>
  <si>
    <t>Ironing table VEIT UNISET S+B 4455S1445520030</t>
  </si>
  <si>
    <t xml:space="preserve">Ironing table  VEIT Uniset Turbo </t>
  </si>
  <si>
    <t>Ironing Table VEIT for slit</t>
  </si>
  <si>
    <t>Ironing Table for Skirts, Dresses, Trousers VEIT 124184</t>
  </si>
  <si>
    <t>Ironing Table for Seam Opening of Trouser Legs VEIT UNISET CN</t>
  </si>
  <si>
    <t>Ironing Table for Seam Opening of Trousers VEIT unisetS 126461</t>
  </si>
  <si>
    <t>Ironing Table for Sleeve Seams VEIT BRI 170/101</t>
  </si>
  <si>
    <t>Ironing Table Pointed Left Side VEIT 126442</t>
  </si>
  <si>
    <t>Ironing Table for Seam Opening of Trouser Legs VEIT 126459</t>
  </si>
  <si>
    <t>Press for Final Finishing of Elbow Seams, Veit BRI-860/101</t>
  </si>
  <si>
    <t>Ironing Press for Final Finishing of Elbow Seams, Veit BRI-860/111</t>
  </si>
  <si>
    <t>Ironing Press for Trouser Legs BRI-2220/411</t>
  </si>
  <si>
    <t>Ironing Press for Trouser Legs BRI222SH</t>
  </si>
  <si>
    <t>Ironing Press for Front Parts (L+R) BRI1005/101</t>
  </si>
  <si>
    <t>Ironing Press for Front Parts (L+R) Veit BRI1005/101</t>
  </si>
  <si>
    <t>Ironing Press Small Universal Veit Brisay 2068/101</t>
  </si>
  <si>
    <t>Ironing Press Vertical Shoulder Veit BRI 1920E/201</t>
  </si>
  <si>
    <t>Ironing Press Collar and Lapel Veit BRI 950</t>
  </si>
  <si>
    <t>Ironing Press Collar and Lapel Veit BRI-950E/101</t>
  </si>
  <si>
    <t>Ironing Press for Trouser Hips BRI231/101</t>
  </si>
  <si>
    <t xml:space="preserve">
Ironing Press for Trouser Hips BRI2390/201</t>
  </si>
  <si>
    <t>2-Needle 4-Thread Overlock Juki MO 6713DA</t>
  </si>
  <si>
    <t>2-Needle 4-Thread Overlock JUKI MO 6714S</t>
  </si>
  <si>
    <t>2-Needle 4-Thread Overlock SIRUBA 747L-514M-3-24</t>
  </si>
  <si>
    <t>2-Needle 5-Thread Overlock JACK 788-02X 250</t>
  </si>
  <si>
    <t>2-Needle 5-Thread Overlock JUKI MO 6716S</t>
  </si>
  <si>
    <t>2-Needle 5-Thread Overlock  MO 3616</t>
  </si>
  <si>
    <t>2-Needle 5-Thread Overlock JUKI MO-6700</t>
  </si>
  <si>
    <t>2-Needle 5-Thread Overlock Shanggong GN716-D53-MOOP</t>
  </si>
  <si>
    <t>2-Needle 5-Thread Overlock  JUKI MO 6716S</t>
  </si>
  <si>
    <t>2-Needle 5-Thread Overlock  JUKI MO6916R</t>
  </si>
  <si>
    <t>2-Needle 5-Thread Overlock  Robotechnology RT-65-TAD/EUT</t>
  </si>
  <si>
    <t>2-Needle 5-Thread Overlock Siruba 757KT-516M-3-55</t>
  </si>
  <si>
    <t>2-Needle 5-Thread Overlock  Juki MO3600</t>
  </si>
  <si>
    <t xml:space="preserve">
2-Needle Lockstitch Machine Brother T8452C-403</t>
  </si>
  <si>
    <t>Twin needle lockstitch machine JUKI LH 3568S-7</t>
  </si>
  <si>
    <t>Round Knife Cutter Dayang DYDB-1</t>
  </si>
  <si>
    <t>Round knife cutter  Kuris</t>
  </si>
  <si>
    <t>Round knife cutter Robo Technology RT100</t>
  </si>
  <si>
    <t>Round knife cutter  Robo Technology RT108</t>
  </si>
  <si>
    <t>Round knife cutter  Su Lee 3ER.70497</t>
  </si>
  <si>
    <t>Round knife cutter Su Lee ЗЕR.360-70-499</t>
  </si>
  <si>
    <t>Domestic Blindstitch Machine (Single Thread) Robo Technology RT-500D-1</t>
  </si>
  <si>
    <t>1-Needle 3-Thread Overlock JUKI MO 6704S</t>
  </si>
  <si>
    <t>1-Needle 3-Thread Overlock JUKI MO-3604</t>
  </si>
  <si>
    <t>1-Needle 3-Thread Overlock Juki MO6700</t>
  </si>
  <si>
    <t>1-Needle 3-Thread Overlock PEGASUS 0271 360</t>
  </si>
  <si>
    <t xml:space="preserve">
Single Needle Lockstitch Machine  Durkopp 272</t>
  </si>
  <si>
    <t>Single Needle Lockstitch Machine  Durkopp 272</t>
  </si>
  <si>
    <t>Single Needle Lockstitch Machine  Durkopp 271</t>
  </si>
  <si>
    <t>Single needle lockstitch machine Durkopp 274</t>
  </si>
  <si>
    <t>Single needle lockstitch machine Durkopp 275</t>
  </si>
  <si>
    <t>Single needle lockstitch machine  Durkopp 275-140342</t>
  </si>
  <si>
    <t>Single needle lockstitch machine Durkopp 281</t>
  </si>
  <si>
    <t>Single needle lockstitch machine Juki DLM 5400</t>
  </si>
  <si>
    <t>Single needle lockstitch machine Brother S7200</t>
  </si>
  <si>
    <t>Single needle lockstitch machine Brother S7200/403/PFL/F40</t>
  </si>
  <si>
    <t>Single needle lockstitch machine Brother S7200B</t>
  </si>
  <si>
    <t>Single needle lockstitch machine  Brother S-7200C</t>
  </si>
  <si>
    <t>Single needle lockstitch machine Durkopp  550-5-5-2</t>
  </si>
  <si>
    <t>Single needle lockstitch machine JUKI DDL 5550N-7</t>
  </si>
  <si>
    <t>Single needle lockstitch machine  JUKI DDL 8300N</t>
  </si>
  <si>
    <t>Single needle lockstitch machine JUKI DDL 8700-7</t>
  </si>
  <si>
    <t>Single needle lockstitch machine JUKI DDL 8700B-7</t>
  </si>
  <si>
    <t>Single needle lockstitch machine  JUKI DDL 9000 SS</t>
  </si>
  <si>
    <t>Single needle lockstitch machine JUKI DDL 9010SS</t>
  </si>
  <si>
    <t>Single needle lockstitch machine  JUKI DDL-8500</t>
  </si>
  <si>
    <t xml:space="preserve">Single needle lockstitch machine JUKI DLN 9010A-SS </t>
  </si>
  <si>
    <t>Single needle lockstitch machine Juki DLN5410</t>
  </si>
  <si>
    <t>Single needle lockstitch machine  Pfaff 1183</t>
  </si>
  <si>
    <t>Electric Tape Cutting Machine CuTex</t>
  </si>
  <si>
    <t xml:space="preserve">
Zig-Zag Sewing Machine Brother Z-8560A-431</t>
  </si>
  <si>
    <t>Pin Table for Spreading and Manual Cutting Veith</t>
  </si>
  <si>
    <t>Buttonhole Machine Dürkopp Adler 540-500-01</t>
  </si>
  <si>
    <t>Buttonhole machine Durkopp 559-151</t>
  </si>
  <si>
    <t>Buttonhole machine Durkopp 580-112</t>
  </si>
  <si>
    <t>Buttonhole machine Durkopp Multiflex 580-312</t>
  </si>
  <si>
    <t>Buttonhole machine Juki LBH-1790</t>
  </si>
  <si>
    <t>Buttonhole machine Juki MEB 3200S</t>
  </si>
  <si>
    <t>Spot Cleaning Booth with Vacuum System SOSTAR-TL 7</t>
  </si>
  <si>
    <t>Shrinkage Testing Kit</t>
  </si>
  <si>
    <t xml:space="preserve">
GSM Circular Sample Cutter and Electronic Balance Kit Karl Schröder KG D-6940</t>
  </si>
  <si>
    <t>Button sewing machine Durkopp 531</t>
  </si>
  <si>
    <t>Button sewing machine Brother BE-438D</t>
  </si>
  <si>
    <t>Button sewing machine Juki MB-1373</t>
  </si>
  <si>
    <t>1-Thread</t>
  </si>
  <si>
    <t>Button sewing machine JUKI MB1800B</t>
  </si>
  <si>
    <t>Button sewing machine  Juki MB-373</t>
  </si>
  <si>
    <t>Button sewing machine  Nanbang NB-1373D</t>
  </si>
  <si>
    <t>Button sewing machine  Siruba RT-468G</t>
  </si>
  <si>
    <t>Cutting system Bullmer Compact E 600 Spreading Machine (Spreader)</t>
  </si>
  <si>
    <t>Light Box</t>
  </si>
  <si>
    <t>Color Assessment Cabinet VeriVide CAC 60</t>
  </si>
  <si>
    <t xml:space="preserve">Color Assessment Cabinet (Light Box) Tilo M60 </t>
  </si>
  <si>
    <t>Color Assessment Cabinet (Light Box)Termal B11660</t>
  </si>
  <si>
    <t>Dürkopp Adler 610 Fullness Control / Pre-Gathering Workstation</t>
  </si>
  <si>
    <t>Programmable  for gathering with Integrated Tape Feeder</t>
  </si>
  <si>
    <t>Ironing table for side seams, center back seams, and shoulders – VEIT UNISET Turbo S</t>
  </si>
  <si>
    <t>Machine for Seam Strength Control</t>
  </si>
  <si>
    <t>Fabric Inspection and Rolling Machine CANKUR MAKİNA ESK6-E</t>
  </si>
  <si>
    <t xml:space="preserve">Fabric Inspection and Rolling Machine </t>
  </si>
  <si>
    <t>Fabric Inspection and Rolling Machine Guven CelikКМ7-2005 B</t>
  </si>
  <si>
    <t>Nu-Martindale Abrasion and Pilling Tester</t>
  </si>
  <si>
    <t>Martindale Abrasion and Pilling Tester</t>
  </si>
  <si>
    <t>Button Shank Wrapping</t>
  </si>
  <si>
    <t>Button Shank Wrapping Machine Ascolite BSS Mk13</t>
  </si>
  <si>
    <t>Button Shank Wrapping Machine "ASCOLITE Mk 6"</t>
  </si>
  <si>
    <t>Automatic Bagging Machine Brisay TLS 1</t>
  </si>
  <si>
    <t>Thread Trimming and Suction Machine GT22-12</t>
  </si>
  <si>
    <t>Shoulder Pad Sewing Machine Dürkopp Adler 697-15155</t>
  </si>
  <si>
    <t xml:space="preserve">Double-Face Fabric Slitting Machine Tecmic MR10 </t>
  </si>
  <si>
    <t>Double-Face Fabric Slitting Machine BTB</t>
  </si>
  <si>
    <t>Fabric Slitting and Cutting Machine Rexel P-3S/R</t>
  </si>
  <si>
    <t>Vertical Strip Cutting Machine Rexel PP-2/B</t>
  </si>
  <si>
    <t>Fabric Spreading Table</t>
  </si>
  <si>
    <t>Spreading Table for cutting Kuris</t>
  </si>
  <si>
    <t>Automatic Poly-Bagging Machine Polypack 126494</t>
  </si>
  <si>
    <t>High-Pressure Steam Generator  VEIT 2365/2-4.4kW</t>
  </si>
  <si>
    <t xml:space="preserve"> Steam Generator VEIT 2366/2.2 kW</t>
  </si>
  <si>
    <t>High-Pressure Steam Generator  JUMAG DG 460</t>
  </si>
  <si>
    <t xml:space="preserve">Electric Steam Generator Indupress Maxi 24/24 </t>
  </si>
  <si>
    <t>High-Pressure Steam Generator  JUMAG DG 560</t>
  </si>
  <si>
    <t>Two-Iron Connection</t>
  </si>
  <si>
    <t>Single-Iron Connection</t>
  </si>
  <si>
    <t>Blind-Stitch Sewing Machine MAYER 40464</t>
  </si>
  <si>
    <t>Double Blind-Stitch</t>
  </si>
  <si>
    <t>Blind-Stitch Sewing Machine MAYER UNITAS 352-12</t>
  </si>
  <si>
    <t>Blind-Stitch Sewing Machine  BRODERI BD-101</t>
  </si>
  <si>
    <t>single blindstitch, heavy - duty with edge cutter</t>
  </si>
  <si>
    <t xml:space="preserve">Blind-Stitch Sewing Machine Strobel  100-4 </t>
  </si>
  <si>
    <t>Blind stitch machine  Strobel 103-180</t>
  </si>
  <si>
    <t>single blindstitch, with edge cutter</t>
  </si>
  <si>
    <t>Blind stitch machine  Strobel 103-258</t>
  </si>
  <si>
    <t>single blindstitch, without edge cutter, ironing statiom</t>
  </si>
  <si>
    <t>double blindstitch, with edge cutter</t>
  </si>
  <si>
    <t>Blind stitch machine Strobel KL45-223</t>
  </si>
  <si>
    <t>pintack  with edge trimmer</t>
  </si>
  <si>
    <t>Blind stitch machine Strobel VEB 100-2</t>
  </si>
  <si>
    <t>single blindstitch, light - duty with edge cutter</t>
  </si>
  <si>
    <t>single blindstitch,  with edge cutter</t>
  </si>
  <si>
    <t>Blind stitch machine Strobel VEB103-191</t>
  </si>
  <si>
    <t>single blindstitch for waistbands and hem, Roller-feed with Edge Trimmer</t>
  </si>
  <si>
    <t>Pneumatic Snap Fastener Press  (for hook and eyes)</t>
  </si>
  <si>
    <t xml:space="preserve">Pneumatic Eyelet Pressing Machine JLQ01-TH </t>
  </si>
  <si>
    <t>single, eyelet</t>
  </si>
  <si>
    <t>Pneumatic Eyelet Pressing Machine   JLQ03-80</t>
  </si>
  <si>
    <t>triple, eyelet</t>
  </si>
  <si>
    <t>Pneumatic Eyelet Pressing Machine JLQ03-80</t>
  </si>
  <si>
    <t>Pneumatic Eyelet Pressing Machine JLQ01-TH</t>
  </si>
  <si>
    <t>Pneumatic press for fasteners eyelet</t>
  </si>
  <si>
    <t>Pneumatic press for fasteners Gutos 5036 hook and eye</t>
  </si>
  <si>
    <t>Fusing press MESERMAK MSR-600</t>
  </si>
  <si>
    <t>60cm</t>
  </si>
  <si>
    <t>Fusing press Veit Brisay Kannegiesser ХТ1000</t>
  </si>
  <si>
    <t>Fusing press Veit Brisay Kannegiesser ХТ1400</t>
  </si>
  <si>
    <t>Belt Loop Machine with Top and Bottom Cover Kansai NW2202GPC</t>
  </si>
  <si>
    <t xml:space="preserve">High-Speed Flatbed Cover-Stitch Machine Juki MF-7523 </t>
  </si>
  <si>
    <t>Top and Bottom Cover stitch with cutter, 3-Needle, 6.4 mm Gauge</t>
  </si>
  <si>
    <t xml:space="preserve">High-Speed 3-Needle Flatbed Cover-Stitch Machine Juki MF-7523 </t>
  </si>
  <si>
    <t>Top and Bottom Cover stitch with cutter,  3-Needle, 6.4 mm Gauge</t>
  </si>
  <si>
    <t>Top and Bottom Cover-Stitch, 2-Needle, 6.4 mm Gauge</t>
  </si>
  <si>
    <t>High-Speed Belt Loop Machine Kansai Special BLX-2202CW-1/4</t>
  </si>
  <si>
    <t>Bottom cover stitch, 2-Needle, 6.4 mm Gauge</t>
  </si>
  <si>
    <t xml:space="preserve">High-Speed Flatbed Cover-Stitch Machine Kansai Special WX-8842-1 </t>
  </si>
  <si>
    <t>Top and Bottom Cover stitch , 3-Needle, 6.4 mm Gauge</t>
  </si>
  <si>
    <t xml:space="preserve"> Semi-Automatic Joiner  Pegasus EX-1280-5-1</t>
  </si>
  <si>
    <t>5-Thread Semi-Automatic, Pneumatic Thread Trimmer and Foot Lifter</t>
  </si>
  <si>
    <t>Bar Tacking Machine  Brother KE-430D-01</t>
  </si>
  <si>
    <t>light-duty</t>
  </si>
  <si>
    <t>Bartack machine  Durkopp Adler 510-211</t>
  </si>
  <si>
    <t>Automatic Belt Loop Attaching Machine JUKI AB-1351N</t>
  </si>
  <si>
    <t>Small Cylinder-Bed Lockstitch Sewing Machine RT 6090B-TL</t>
  </si>
  <si>
    <t xml:space="preserve">Collar Pressing and Shaping Machine Ozer Makina OM-202 </t>
  </si>
  <si>
    <t>Heat Transfer Press  GRUNDLER GTK</t>
  </si>
  <si>
    <t>Heat transfer press SESTO DNT6350PPV</t>
  </si>
  <si>
    <t xml:space="preserve"> Shrinkage Control Press Hoffman</t>
  </si>
  <si>
    <t>Heat transfer press  OZER OM-1001</t>
  </si>
  <si>
    <t>Compressed Air Receiver Tank (Pressure Vessel) 1,000-Liter</t>
  </si>
  <si>
    <t>Compressed Air Receiver Tank</t>
  </si>
  <si>
    <t>Sleeve attaching machine Durkopp Adler 550-16-23</t>
  </si>
  <si>
    <t>Sleeve attaching machine  JUKI DP-2100</t>
  </si>
  <si>
    <t>Sleeve attaching machine   Durkopp Adler 6279-170067</t>
  </si>
  <si>
    <t>Sleeve attaching machine   Durkopp Adler Adler 650-16</t>
  </si>
  <si>
    <t xml:space="preserve">Manual Crockmeter (Rubbing Fastness Tester) Atlas CM-1 </t>
  </si>
  <si>
    <t>Manual Crockmeter</t>
  </si>
  <si>
    <t>Feeding Conveyor Belt for Fusing Press (Inv. No. 403)</t>
  </si>
  <si>
    <t>Feeding Conveyor Belt for Fusing Press (Inv. No. 538)</t>
  </si>
  <si>
    <t>Feeding Conveyor Belt for Fusing Press (Inv. No. 402)</t>
  </si>
  <si>
    <t>Conveyor Belt</t>
  </si>
  <si>
    <t>6-Thread, electric cutter</t>
  </si>
  <si>
    <t xml:space="preserve"> High-Speed, 3-Needle, Feed-off-the-Arm Double Chainstitch Machine Brother DA-9280-7</t>
  </si>
  <si>
    <t>3-Needleр П-shaped</t>
  </si>
  <si>
    <t>Steam Form Finisher</t>
  </si>
  <si>
    <t>RTP0001 Tensioning Device for Closed Elastic Loops (Elastic Tensioner) RTP0001</t>
  </si>
  <si>
    <t xml:space="preserve"> Automatic Pocket Welt Machine Dürkopp-Adler  100-68</t>
  </si>
  <si>
    <t>Refrigerated Compressed Air Dryer</t>
  </si>
  <si>
    <t>Refrigerated Compressed Air Dryer Almig ALM RD 110</t>
  </si>
  <si>
    <t>Hand-stitch machine Japsew 781E</t>
  </si>
  <si>
    <t>Hand-stitch machine SLDE360</t>
  </si>
  <si>
    <t>External Edges and Slitted fabrics</t>
  </si>
  <si>
    <t>Long-arm sewing machines ZJ-M5-S900H-SF</t>
  </si>
  <si>
    <t>hand-chainstitch</t>
  </si>
  <si>
    <t>Hand-stitch machine Robotechnology-RT 783F</t>
  </si>
  <si>
    <t>Hand-stitch machine Japsew 785-D</t>
  </si>
  <si>
    <t>Hand-stitch machine Japsew 785-XT</t>
  </si>
  <si>
    <t>Working Area 900 mm x 1,300 mm without cut</t>
  </si>
  <si>
    <t xml:space="preserve">Working Area 900 mm x 1,300 mm with laser cut </t>
  </si>
  <si>
    <t xml:space="preserve">Electronically Programmable </t>
  </si>
  <si>
    <t>2- thread</t>
  </si>
  <si>
    <t>3 thread, Pneumatic Cutter</t>
  </si>
  <si>
    <t>3 cm Fabric Ply</t>
  </si>
  <si>
    <t>4-Thread with Pneumatic Cutter</t>
  </si>
  <si>
    <t>4-Thread with Electric Cutter</t>
  </si>
  <si>
    <t>2-Needle 4-Thread SIRUBA 757 Q516M2-55</t>
  </si>
  <si>
    <t>4-Thread Overlock for piping without cutter</t>
  </si>
  <si>
    <t>4-Thread, Top-Mounted, Pneumatic  Cutter</t>
  </si>
  <si>
    <t>4.5 cm Fabric Ply</t>
  </si>
  <si>
    <t>5- thread electric cutter</t>
  </si>
  <si>
    <t>5- thread pneumatic cutter</t>
  </si>
  <si>
    <t>5- thread without cutter</t>
  </si>
  <si>
    <t>5- thread with cutter</t>
  </si>
  <si>
    <t>5-Thread, Top Feed, without cutter</t>
  </si>
  <si>
    <t>5-Thread, Top Feed, with electric cutter</t>
  </si>
  <si>
    <t>7 cm Fabric Ply</t>
  </si>
  <si>
    <t>1-needle</t>
  </si>
  <si>
    <t>1-needle, puller, cutting</t>
  </si>
  <si>
    <t xml:space="preserve">Top and Bottom Cover stitch, 3-Needle, 6.4 mm Gauge </t>
  </si>
  <si>
    <t>1-needle, bar tack, cutting</t>
  </si>
  <si>
    <t>1-needle,  cutting</t>
  </si>
  <si>
    <t>1-needle, puller,  cutting</t>
  </si>
  <si>
    <t>2- needle, for the croth seam</t>
  </si>
  <si>
    <t>1-needle,  cutting, bartack</t>
  </si>
  <si>
    <t>Electronic</t>
  </si>
  <si>
    <t xml:space="preserve"> belt-loops and renforcement tapes</t>
  </si>
  <si>
    <t xml:space="preserve">Pin Table </t>
  </si>
  <si>
    <t xml:space="preserve">Spread </t>
  </si>
  <si>
    <t>Eyelet Buttonholeр 3- thread</t>
  </si>
  <si>
    <t>Eyelet Buttonholeр 2- thread</t>
  </si>
  <si>
    <t xml:space="preserve"> trousers legs</t>
  </si>
  <si>
    <t>Belt-driven screw compressor</t>
  </si>
  <si>
    <t>Piston Air  Compressor 500L</t>
  </si>
  <si>
    <t xml:space="preserve">Piston Air  Compressor </t>
  </si>
  <si>
    <t>Shrinkage Testing Kit Test ex TF178 (ISO 3759)</t>
  </si>
  <si>
    <t>Shrinkage Testing Kit Test for 3 sizes</t>
  </si>
  <si>
    <t>Shrinkage Testing Kit Test for 1 size</t>
  </si>
  <si>
    <t>GSM Circular Sample Cutter and Electronic Balance Kit</t>
  </si>
  <si>
    <t>Elbow Seam, Inseam</t>
  </si>
  <si>
    <t>Spreading Machine</t>
  </si>
  <si>
    <t>Spreading Table, 28m</t>
  </si>
  <si>
    <t xml:space="preserve">edge trimmer, featuring top differential feed for precise seam allowance trimming </t>
  </si>
  <si>
    <t xml:space="preserve">edge trimmer, featuring bottom differential feed for precise seam allowance trimming </t>
  </si>
  <si>
    <t>edge cutter, seam allowance trimming</t>
  </si>
  <si>
    <t>Universal, Final Pressing</t>
  </si>
  <si>
    <t>rectangular, heated, in - process ironing</t>
  </si>
  <si>
    <t>Universa, In- process ironing</t>
  </si>
  <si>
    <t>1 - thread,electronic</t>
  </si>
  <si>
    <t>Universa, Final Pressing</t>
  </si>
  <si>
    <t>Final Pressing</t>
  </si>
  <si>
    <t>rectangular, in-process ironing</t>
  </si>
  <si>
    <t>Spaghetti straps with inseam (belt loops)</t>
  </si>
  <si>
    <t>double blindstitch, with  cutter</t>
  </si>
  <si>
    <t>Seam Opening for  trousers legs</t>
  </si>
  <si>
    <t>trouser hips</t>
  </si>
  <si>
    <t>Vertical arm</t>
  </si>
  <si>
    <t>Hip trousers</t>
  </si>
  <si>
    <t>Automatic Pocket Welt Machine Dürkopp-Adler  100-68</t>
  </si>
  <si>
    <t>Seam Opening of Trousers Legs</t>
  </si>
  <si>
    <t>Eyelet Buttonhole, 2- thread</t>
  </si>
  <si>
    <t>4 - needle</t>
  </si>
  <si>
    <t>Needle feed</t>
  </si>
  <si>
    <t>3-Thread without cutter/ Baby lock stitich</t>
  </si>
  <si>
    <t>5- thread with electric cutter</t>
  </si>
  <si>
    <t>Final Pressing, trousers</t>
  </si>
  <si>
    <t>jkt lining</t>
  </si>
  <si>
    <t>3-Thread pneumatic cutter</t>
  </si>
  <si>
    <t>Needle feed with puller</t>
  </si>
  <si>
    <t>Piston Air  Compressor</t>
  </si>
  <si>
    <t>Universal, Heated, In-process ironing</t>
  </si>
  <si>
    <t>3-Thread, Pneumatic cutter</t>
  </si>
  <si>
    <t>Universal,  In-process ironing</t>
  </si>
  <si>
    <t>Universal, heated, In-process ironing</t>
  </si>
  <si>
    <t>edge cutter 3mm, Top differential feed, seam allowance trimming</t>
  </si>
  <si>
    <t>single blindstitch, for hem without edge cutter</t>
  </si>
  <si>
    <t>5- thread for piping without cutter</t>
  </si>
  <si>
    <t>2- thread, buttonhole</t>
  </si>
  <si>
    <t>Buttonhole, Rotating head, 2 thread</t>
  </si>
  <si>
    <t>Programmable  for gathering with Integrated Tape Feeder, bartack cutting</t>
  </si>
  <si>
    <t xml:space="preserve">Air Pressure Tank / Receiver Tank 500L </t>
  </si>
  <si>
    <t>Air Pressure Tank 500L</t>
  </si>
  <si>
    <t>Working area 900 mm x 1300 mm, laser cutting</t>
  </si>
  <si>
    <t>Buttonhole, 2 thread</t>
  </si>
  <si>
    <t>Three-needle seven-thread coverstitch machine</t>
  </si>
  <si>
    <t>Sleeve seam opening</t>
  </si>
  <si>
    <t>3-Needle, puller</t>
  </si>
  <si>
    <t>5-Thread Semi-Automatic, Pneumatic Trimmer and Foot Lifter</t>
  </si>
  <si>
    <t>Top differential feed</t>
  </si>
  <si>
    <t>with non-split needle bar</t>
  </si>
  <si>
    <t>table configuration veit</t>
  </si>
  <si>
    <t>welt</t>
  </si>
  <si>
    <t>sewing</t>
  </si>
  <si>
    <t>cloth</t>
  </si>
  <si>
    <t>adler 510</t>
  </si>
  <si>
    <t>jackets sleeves</t>
  </si>
  <si>
    <t>jackets armhole</t>
  </si>
  <si>
    <t>seam opening of legs</t>
  </si>
  <si>
    <t>Universal, In-process Ironing</t>
  </si>
  <si>
    <t>Needle feed- puller</t>
  </si>
  <si>
    <t>Programming of three different stitch densities, needle feed</t>
  </si>
  <si>
    <t>Jkts lining</t>
  </si>
  <si>
    <t>edge cutter, needle feed, seam allowance trimming</t>
  </si>
  <si>
    <t>Jacket armhole</t>
  </si>
  <si>
    <t>Elbow Seam, Inseam, heated</t>
  </si>
  <si>
    <t>Domestic Blindstitch Machine (Single Thread)</t>
  </si>
  <si>
    <t>machine (single thread) without cutter</t>
  </si>
  <si>
    <t xml:space="preserve"> belts, manually</t>
  </si>
  <si>
    <t>side seams, shoulders seams</t>
  </si>
  <si>
    <t>Cold/hot knife</t>
  </si>
  <si>
    <t>3-Thread, Electric Cutter</t>
  </si>
  <si>
    <t>Pneumatic, hook and eyes, single</t>
  </si>
  <si>
    <t>Cold knife</t>
  </si>
  <si>
    <t>Top and Bottom Cover, 2-Needle, 6.4 mm Gauge</t>
  </si>
  <si>
    <t>topper</t>
  </si>
  <si>
    <t>Compressed Air Receiver Tank, 1000L</t>
  </si>
  <si>
    <t>Едноиглова права машина Total</t>
  </si>
  <si>
    <t>Oверлог Total</t>
  </si>
  <si>
    <t>Покривна машина Total</t>
  </si>
  <si>
    <t>Компресор + охладител+ ресивер Total</t>
  </si>
  <si>
    <t>Гатер ножица  Total</t>
  </si>
  <si>
    <t>Подлепваща преса Total</t>
  </si>
  <si>
    <t>Банциг Total</t>
  </si>
  <si>
    <t>Кроялни маси и транспортьори Total</t>
  </si>
  <si>
    <t>Дискова ножица Total</t>
  </si>
  <si>
    <t>Шила за обръщане на колани и яки Total</t>
  </si>
  <si>
    <t>Шила с нагряване Total</t>
  </si>
  <si>
    <t>Копчешиещa машинa  Total</t>
  </si>
  <si>
    <t>Понт машина Total</t>
  </si>
  <si>
    <t>Верижна машина Total</t>
  </si>
  <si>
    <t>Пикир машина Total</t>
  </si>
  <si>
    <t>Илична машина Total</t>
  </si>
  <si>
    <t>Филет автомат Total</t>
  </si>
  <si>
    <t>Автомат за свивки Total</t>
  </si>
  <si>
    <t>Машина за прикачане на подплънки Total</t>
  </si>
  <si>
    <t>CNC Cutter автоматизирана с-ма за кроене KURIS Total</t>
  </si>
  <si>
    <t>Кроялна система Bullmer Total</t>
  </si>
  <si>
    <t>Ръкавна машина  Total</t>
  </si>
  <si>
    <t>Автомат-Juki AMS Total</t>
  </si>
  <si>
    <t>Шевни машини с дълго рамо Total</t>
  </si>
  <si>
    <t>Машина за почистване на конци Total</t>
  </si>
  <si>
    <t>Двуиглова права машина Total</t>
  </si>
  <si>
    <t>Зиг-заг машина Total</t>
  </si>
  <si>
    <t>Шевна машина за ръчен бод Total</t>
  </si>
  <si>
    <t>Станция за почистване на петна Total</t>
  </si>
  <si>
    <t>Преса Total</t>
  </si>
  <si>
    <t>Автомат за дребни детайли Total</t>
  </si>
  <si>
    <t>Машина за процепване Total</t>
  </si>
  <si>
    <t>Машина за рязане на зиг-заг Total</t>
  </si>
  <si>
    <t>Устройство за опъване на затворен ластик Total</t>
  </si>
  <si>
    <t>Машина за рязане на ласе Total</t>
  </si>
  <si>
    <t>Машина за пренавиване на конци Total</t>
  </si>
  <si>
    <t>Устройство за поставяне на плъзгач Total</t>
  </si>
  <si>
    <t>Устройство за центроване Total</t>
  </si>
  <si>
    <t>Преса за трансферен печат Total</t>
  </si>
  <si>
    <t>Гладачна маса Total</t>
  </si>
  <si>
    <t>Гладачна преса Total</t>
  </si>
  <si>
    <t>Парогенератор Total</t>
  </si>
  <si>
    <t>оборудване Входящ контрол Total</t>
  </si>
  <si>
    <t>Опаковъчни машини Total</t>
  </si>
  <si>
    <t>Лазерни машини Total</t>
  </si>
  <si>
    <t>Машина за разкрояване на текстил Total</t>
  </si>
  <si>
    <t>Влагомер Total</t>
  </si>
  <si>
    <t>Вакуум помпа Total</t>
  </si>
  <si>
    <t>Парогенератор под специален контрол Total</t>
  </si>
  <si>
    <t>Category name</t>
  </si>
  <si>
    <t>Machine Name / Equipment Name</t>
  </si>
  <si>
    <t>Specifications</t>
  </si>
  <si>
    <t>Pneumatic, single, hook and eye</t>
  </si>
  <si>
    <t>Eyelet Buttonhole, 3- thread</t>
  </si>
  <si>
    <t xml:space="preserve"> with split needle bar</t>
  </si>
  <si>
    <t>Vacuum Ironing Table VEIT S-Series (144.701.000.0)</t>
  </si>
  <si>
    <t>Steam Generator VEIT 2365/4.4kW</t>
  </si>
  <si>
    <t>Rectangular, Heated, In - process ironing</t>
  </si>
  <si>
    <t>Single blindstitch, without edge cutter</t>
  </si>
  <si>
    <t>Vacuum Ironing Table VEIT S-Series  (144.721.000.0)</t>
  </si>
  <si>
    <t>Vacuum Ironing Table VEIT S-Series 126461</t>
  </si>
  <si>
    <t>Universal, heated, Final Pressing</t>
  </si>
  <si>
    <t>High-Pressure  Steam Generator VEIT 2366/2.2 kW</t>
  </si>
  <si>
    <t>Small Parts Sewing Automat PFAFF 3511-2/2</t>
  </si>
  <si>
    <t>Automatic Dart Sewing Unit PFAFF 3586-12/02</t>
  </si>
  <si>
    <t>Union Special Coverstitch Machine -  FS332401-3B57</t>
  </si>
  <si>
    <t>Hand Stitch Sewing Machine Japsew-782</t>
  </si>
  <si>
    <t>with needle split</t>
  </si>
  <si>
    <t>Automatic Pocket Welt Sewing Unit with Needle Split  BASS3200-SA</t>
  </si>
  <si>
    <t>Ironing Table VEIT 070316205</t>
  </si>
  <si>
    <t>Double Blind-Stitch, Cutting</t>
  </si>
  <si>
    <t>2-Needle 5-Thread Overlock JUKI MO 3616</t>
  </si>
  <si>
    <t>5- thread, pneumatic cutter</t>
  </si>
  <si>
    <t xml:space="preserve">Shrinkage Control Press </t>
  </si>
  <si>
    <t>Ironing table Veit VEIT S+B</t>
  </si>
  <si>
    <t>Machine for Seam Strength Control Zwick Z2.5/TN1S Tensile Testing</t>
  </si>
  <si>
    <t>2-Needle, 5-Thread Safety Stitch Machine JUKI MO 6716S</t>
  </si>
  <si>
    <t>Ironing Table INDUPRESS</t>
  </si>
  <si>
    <t>3 - thread, without cuuter, baby lockstitch</t>
  </si>
  <si>
    <t>1-Needle, 3-Thread Overlock Machine JUKI MO3604</t>
  </si>
  <si>
    <t>Final Pressing, Trousers</t>
  </si>
  <si>
    <t xml:space="preserve"> Ironing Table Veit 126470</t>
  </si>
  <si>
    <t>Blind stitch machine Strobel KL45-224</t>
  </si>
  <si>
    <t>Blind stitch machine Strobel KL45-225</t>
  </si>
  <si>
    <t>Blind stitch machine Strobel KL45-226</t>
  </si>
  <si>
    <t xml:space="preserve"> 3-Needle, 6-Thread Overlock Machine JUKI MO6743S</t>
  </si>
  <si>
    <t>3-Needle, 6-Thread Overlock Machine JUKI MO6743S</t>
  </si>
  <si>
    <t>6-Thread, Pneumatic cutter</t>
  </si>
  <si>
    <t xml:space="preserve">Single-Needle, Cylinder-Bed, Needle-Feed Lockstitch Machine for Bottom Hemming JUKI DLN-6390 </t>
  </si>
  <si>
    <t>Light-DutyNeedle feed with puller</t>
  </si>
  <si>
    <t>Single-Needle, Cylinder-Bed, Needle-Feed Lockstitch Machine for Bottom Hemming JUKI DLN-6390</t>
  </si>
  <si>
    <t>Conveyor Belt, 4,5 m</t>
  </si>
  <si>
    <t>Blindstitch machine Strobel KL45-223</t>
  </si>
  <si>
    <t>Ironing Table Veit S126449</t>
  </si>
  <si>
    <t>Ironing Table Veit S126450</t>
  </si>
  <si>
    <t xml:space="preserve"> Ironing Table Veit 126461</t>
  </si>
  <si>
    <t>Ironing Table Veit 126461</t>
  </si>
  <si>
    <t>Spreading Table, Conveyor Belt 4 m</t>
  </si>
  <si>
    <t>Zig-Zag Cutting Machine SIDECUT 11</t>
  </si>
  <si>
    <t>Ironing Table VEIT UNISET DOB S+B 4255-S126442</t>
  </si>
  <si>
    <t>Heating Alignment/Centering Device (Spot Press) Hashima HN-1</t>
  </si>
  <si>
    <t xml:space="preserve">3-Needle Flatbed Cover-Stitch Machine Juki MF-7523 </t>
  </si>
  <si>
    <t>Refrigerated Air Dryer</t>
  </si>
  <si>
    <t>Pneumatic press for fasteners eyelet Sakura</t>
  </si>
  <si>
    <t>chainstitch + elastic, 12-Needle 4.8 mm Needle Gauge</t>
  </si>
  <si>
    <t>Sewing Machine (Long Arm) ZJ-M5-S900H-SF-LK2</t>
  </si>
  <si>
    <t>straight buttonhome, 2 -thread</t>
  </si>
  <si>
    <t>Automatic Coverstitch Machine Siruba FOO7KD-W122-356/FHA/UTG/DFKH1</t>
  </si>
  <si>
    <t>Automatic Coverstitch Machine Siruba FOO7KD-W122-356/FHA/UTG/DFKH2</t>
  </si>
  <si>
    <t>Automatic Coverstitch Machine Siruba FOO7KD-W122-356/FHA/UTG/DFKH3</t>
  </si>
  <si>
    <t>Long-arm sewing machines ZJ-M6-S900-SF-LK2-V2</t>
  </si>
  <si>
    <t>Collar Turning and Trimming Machine  OM102</t>
  </si>
  <si>
    <t xml:space="preserve">Collar Turning and Trimming Machine OM102 </t>
  </si>
  <si>
    <t>Collars, Pneumatic</t>
  </si>
  <si>
    <t>Multi-Needle Double Chainstitch Machine Kansai Special NW8842-1G/SERVO/IPG</t>
  </si>
  <si>
    <t>Moisture Meter Mahlo DMB-15</t>
  </si>
  <si>
    <t>Semi-Automatic Joiner  Pegasus EX-1280-5-1</t>
  </si>
  <si>
    <t>Small Universal Pressing Machine Veit Brisay 2068/101</t>
  </si>
  <si>
    <t>Ironing Table VEIT S-Series (126449)</t>
  </si>
  <si>
    <t>unversal, Final pressing</t>
  </si>
  <si>
    <t>Left side pointed, Final Pressing</t>
  </si>
  <si>
    <t>Universal, Final pressing</t>
  </si>
  <si>
    <t xml:space="preserve">side seams and shoulders </t>
  </si>
  <si>
    <t>Elbow Seam, Inseam, Heated</t>
  </si>
  <si>
    <t>3-thread without cutter/baby lockstitch</t>
  </si>
  <si>
    <t>Automatic Pocket Welt Machine Dürkopp-Adler  100-68/1</t>
  </si>
  <si>
    <t xml:space="preserve">with split needle </t>
  </si>
  <si>
    <t>Ironing Table Configuration VEIT 070316205</t>
  </si>
  <si>
    <t>2- thread, Electronic</t>
  </si>
  <si>
    <t>5-Thread, top mounted, without cutter</t>
  </si>
  <si>
    <t>No.</t>
  </si>
  <si>
    <t>Inventory number</t>
  </si>
  <si>
    <t>Group</t>
  </si>
  <si>
    <t>Machine Type No.</t>
  </si>
  <si>
    <t>Machine type</t>
  </si>
  <si>
    <t>Acquisition date</t>
  </si>
  <si>
    <t>Име</t>
  </si>
  <si>
    <t>Type of attachment or device</t>
  </si>
  <si>
    <t>Вид машина</t>
  </si>
  <si>
    <t>Звено</t>
  </si>
  <si>
    <t>Окомплектовано в:</t>
  </si>
  <si>
    <t>Съхранява се в:</t>
  </si>
  <si>
    <t>Предназначение</t>
  </si>
  <si>
    <t>Purpose/ Used for</t>
  </si>
  <si>
    <t>Описание</t>
  </si>
  <si>
    <t>Description</t>
  </si>
  <si>
    <t>Апарат води лента 15 мм</t>
  </si>
  <si>
    <t>Tape Guide 15 mm</t>
  </si>
  <si>
    <t>Оверлог</t>
  </si>
  <si>
    <t>Шевен - Механици</t>
  </si>
  <si>
    <t>Кашон 1</t>
  </si>
  <si>
    <t>Адм. сграда, ет.3/ Контролинг</t>
  </si>
  <si>
    <t>За укрепваща лента</t>
  </si>
  <si>
    <t>For reinforcing tape</t>
  </si>
  <si>
    <t>Гарантиране на детайли под форма / ръкавна, вратна и др. извивки/</t>
  </si>
  <si>
    <t>Ensuring shaped pieces (armhole, neckline, etc. curves)</t>
  </si>
  <si>
    <t>Апарат води лента 34 мм</t>
  </si>
  <si>
    <t>Tape Guide 34 mm</t>
  </si>
  <si>
    <t>Гарантиране равна ширина на ленти</t>
  </si>
  <si>
    <t>Ensuring equal width of tapes</t>
  </si>
  <si>
    <t>Апарат двоен подгъв 1/16</t>
  </si>
  <si>
    <t>Double Hemmer / Clean Finish Folder 1/16</t>
  </si>
  <si>
    <t>Права машина</t>
  </si>
  <si>
    <t>Lockstitch machine</t>
  </si>
  <si>
    <t>Гарантиране уплътняване резерви и еднаква ширина на детайла</t>
  </si>
  <si>
    <t>Ensuring compressed seam allowances and uniform piece width</t>
  </si>
  <si>
    <t>Апарат двоен подгъв 1/8</t>
  </si>
  <si>
    <t>Double Hemmer / Clean Finish Folder 1/8</t>
  </si>
  <si>
    <t>Апарат двоен подгъв 10+20 мм</t>
  </si>
  <si>
    <t>Double Folder 10+20 mm</t>
  </si>
  <si>
    <t>Апарат двоен подгъв 10+40 мм</t>
  </si>
  <si>
    <t>Double Folder 10+40 mm</t>
  </si>
  <si>
    <t>Апарат двоен подгъв 3/16</t>
  </si>
  <si>
    <t>Double Hemmer 3/16</t>
  </si>
  <si>
    <t>Апарат двоен подгъв 3/8</t>
  </si>
  <si>
    <t>Double Hemmer 3/8</t>
  </si>
  <si>
    <t>Апарат двоен подгъв 30 мм</t>
  </si>
  <si>
    <t>Double Hemmer 30 mm</t>
  </si>
  <si>
    <t>Апарат двоен подгъв 5/32</t>
  </si>
  <si>
    <t>Double Hemmer 5/32</t>
  </si>
  <si>
    <t>Апарат двоен подгъв 6 мм</t>
  </si>
  <si>
    <t>Double Hemmer 6 mm</t>
  </si>
  <si>
    <t>Апарат двоен подгъв 7 мм</t>
  </si>
  <si>
    <t>Double Hemmer 7 mm</t>
  </si>
  <si>
    <t>Апарат двоен подгъв 8 мм</t>
  </si>
  <si>
    <t>Double Hemmer 8 mm</t>
  </si>
  <si>
    <t>Апарат единичен обратен подгъв 1/4</t>
  </si>
  <si>
    <t>Single Reverse Folder 1/4</t>
  </si>
  <si>
    <t>За лицев подгъв тип маншет</t>
  </si>
  <si>
    <t>For cuff-style topstitched hem</t>
  </si>
  <si>
    <t>Гарантира еднакво отстояние на шева от ръба на резерва</t>
  </si>
  <si>
    <t>Ensures equal seam distance from the edge of the allowance</t>
  </si>
  <si>
    <t>Апарат единичен обратен подгъв 20 мм</t>
  </si>
  <si>
    <t>Single Reverse Folder 20 mm</t>
  </si>
  <si>
    <t>Апарат единичен подгъв 1/4</t>
  </si>
  <si>
    <t>Single Hemmer 1/4</t>
  </si>
  <si>
    <t>Гарантира равна ширина подгъв, канон и др.</t>
  </si>
  <si>
    <t>Ensures equal width of hem, placket, etc</t>
  </si>
  <si>
    <t>Single Hemmer 1/4"</t>
  </si>
  <si>
    <t>Апарат единичен подгъв 3/8</t>
  </si>
  <si>
    <t>Single Hemmer 3/8</t>
  </si>
  <si>
    <t>Апарат единичен подгъв 6 мм</t>
  </si>
  <si>
    <t>Single Hemmer 6 mm</t>
  </si>
  <si>
    <t>Апарат за гайки 10 мм</t>
  </si>
  <si>
    <t>Belt Loop Folder 10 mm</t>
  </si>
  <si>
    <t>Гарантира еднаква ширина на гайки</t>
  </si>
  <si>
    <t>Ensures equal width of belt loops</t>
  </si>
  <si>
    <t>STROBEL Открит пикир</t>
  </si>
  <si>
    <t>STROBEL Blindstitch (single)</t>
  </si>
  <si>
    <t>За гайки без видим лицев шев</t>
  </si>
  <si>
    <t>For belt loops without visible topstitching</t>
  </si>
  <si>
    <t>Апарат за гайки 12 мм</t>
  </si>
  <si>
    <t>Belt Loop Folder 12 mm</t>
  </si>
  <si>
    <t>Апарат за гайки 17 мм</t>
  </si>
  <si>
    <t>Belt Loop Folder 17 mm</t>
  </si>
  <si>
    <t>Gathering Attachment / Shirring Attachment</t>
  </si>
  <si>
    <t>Горен диференциал</t>
  </si>
  <si>
    <t>Top feed differential</t>
  </si>
  <si>
    <t>Едновременно съединяванена детайли и набор на единия от тях</t>
  </si>
  <si>
    <t>Simultaneous joining of pieces and gathering of one of them</t>
  </si>
  <si>
    <t>Апарат за обточване 28 мм</t>
  </si>
  <si>
    <t>Binder 28 mm</t>
  </si>
  <si>
    <t>Гарантира гладкост без посукване на лента</t>
  </si>
  <si>
    <t>Ensures smoothness without tape twisting</t>
  </si>
  <si>
    <t>Апарат за обточване 30 мм</t>
  </si>
  <si>
    <t>Binder 30 mm</t>
  </si>
  <si>
    <t>Апарат за обточване 36 мм</t>
  </si>
  <si>
    <t>Binder 36 mm</t>
  </si>
  <si>
    <t>Апарат за паспел 1'</t>
  </si>
  <si>
    <t>Piping Attachment 1`</t>
  </si>
  <si>
    <t>Гарантира еднаква, равна видима част на гарнитура и едновременно съединяване на двата детайла</t>
  </si>
  <si>
    <t>Ensures equal width of the visible part of the trim and simultaneous joining of both pieces</t>
  </si>
  <si>
    <t>Апарат за паспел 1 1/4</t>
  </si>
  <si>
    <t>Piping Attachment 1 1/4</t>
  </si>
  <si>
    <t>Апарат за паспел 1 1/8</t>
  </si>
  <si>
    <t>Piping Attachment 1 1/8</t>
  </si>
  <si>
    <t>Апарат за паспел 14 мм</t>
  </si>
  <si>
    <t>Piping Attachment 14 mm</t>
  </si>
  <si>
    <t>Апарат за паспел 16 мм</t>
  </si>
  <si>
    <t>Piping Attachment 16 mm</t>
  </si>
  <si>
    <t>Апарат за паспел 28 мм</t>
  </si>
  <si>
    <t>Piping Attachment 28 mm</t>
  </si>
  <si>
    <t>Апарат за паспел 7/8</t>
  </si>
  <si>
    <t>Piping Attachment 7/8</t>
  </si>
  <si>
    <t>Апарат за подгъване лента 1 1/4</t>
  </si>
  <si>
    <t>Tape Hemming Folder 1 1/4</t>
  </si>
  <si>
    <t>Апликиране на сгъната лента върху детайл</t>
  </si>
  <si>
    <t>Applying folded tape onto a piece</t>
  </si>
  <si>
    <t>Гарантира еднаква, равна видима част</t>
  </si>
  <si>
    <t>Ensures equal and even visible part</t>
  </si>
  <si>
    <t>Апарат за подгъване лента 100 мм</t>
  </si>
  <si>
    <t>Tape Hemming Folder 100 mm</t>
  </si>
  <si>
    <t>Апарат за подгъване лента 10-7</t>
  </si>
  <si>
    <t>Tape Hemming Folder 10-7</t>
  </si>
  <si>
    <t>Апарат за подгъване лента 50 мм</t>
  </si>
  <si>
    <t>Tape Hemming Folder 50 mm</t>
  </si>
  <si>
    <t>Апарат за подгъване лента 7/8</t>
  </si>
  <si>
    <t>Tape Hemming Folder 7/8</t>
  </si>
  <si>
    <t>Апарат за подгъване лента 80 мм</t>
  </si>
  <si>
    <t>Tape Hemming Folder 80 mm</t>
  </si>
  <si>
    <t>Апарат за подгъване лента 90 мм</t>
  </si>
  <si>
    <t>Tape Hemming Folder 90 mm</t>
  </si>
  <si>
    <t>Апарат за френски шев 1 1/4</t>
  </si>
  <si>
    <t>Felled Seam Folder 1 1/4</t>
  </si>
  <si>
    <t>Оптимизира време за изработка на фр. Шев чрез съкращаване на една операция</t>
  </si>
  <si>
    <t>Optimizes French seam lead time by eliminating one operation</t>
  </si>
  <si>
    <t>Апарат за френски шев 1/4</t>
  </si>
  <si>
    <t>Felled Seam Folder 1/4</t>
  </si>
  <si>
    <t>Апарат за френски шев 10 мм</t>
  </si>
  <si>
    <t>Felled Seam Folder 10 mm</t>
  </si>
  <si>
    <t>Апарат за челни шевове</t>
  </si>
  <si>
    <t>Butt Seam Guide</t>
  </si>
  <si>
    <t>Гарантира еднаква резерва на видимата и вътр. Страна</t>
  </si>
  <si>
    <t>Ensures equal seam allowance on the visible and inner sides</t>
  </si>
  <si>
    <t>Апарат обточване 1 3/4</t>
  </si>
  <si>
    <t>Binder 1 3/4</t>
  </si>
  <si>
    <t>Апарат обточване 20 мм</t>
  </si>
  <si>
    <t>Binder 20 mm</t>
  </si>
  <si>
    <t>Апарат обточване 22 мм</t>
  </si>
  <si>
    <t>Binder 22 mm</t>
  </si>
  <si>
    <t>Апарат обточване 24 мм</t>
  </si>
  <si>
    <t>Binder 24 mm</t>
  </si>
  <si>
    <t>Апарат обточване 26 мм</t>
  </si>
  <si>
    <t>Binder 26 mm</t>
  </si>
  <si>
    <t>Апарат обточване 28 мм</t>
  </si>
  <si>
    <t>Апарат обточване 30 мм</t>
  </si>
  <si>
    <t>Апарат обточване 30 мм - тежък клас</t>
  </si>
  <si>
    <t>Binder 30 mm - Heavy Duty</t>
  </si>
  <si>
    <t>Апарат обточване 32 мм</t>
  </si>
  <si>
    <t>Binder 32 mm</t>
  </si>
  <si>
    <t>Апарат обточване 34 мм</t>
  </si>
  <si>
    <t>Binder 34 mm</t>
  </si>
  <si>
    <t>Апарат обточване 36 мм</t>
  </si>
  <si>
    <t>Апарат обточване 38 мм - в кутийка</t>
  </si>
  <si>
    <t>Binder 38 mm - Box Type</t>
  </si>
  <si>
    <t>Апарат обточване 40 мм</t>
  </si>
  <si>
    <t>Binder 40 mm</t>
  </si>
  <si>
    <t>Апарат обточване 44 мм</t>
  </si>
  <si>
    <t>Binder 44 mm</t>
  </si>
  <si>
    <t>Апарат обточване 45 мм - в кутийка</t>
  </si>
  <si>
    <t>Binder 45 mm - Box Type</t>
  </si>
  <si>
    <t>Апарат обточване 46 мм</t>
  </si>
  <si>
    <t>Binder 46 mm</t>
  </si>
  <si>
    <t>Апарат обточване лента 10 мм</t>
  </si>
  <si>
    <t>Tape Binder 10 mm</t>
  </si>
  <si>
    <t>Апарат обточване хоризонтална лента 32 мм</t>
  </si>
  <si>
    <t>Horizontal Tape Binder 32 mm</t>
  </si>
  <si>
    <t>За неверевно скроени ленти</t>
  </si>
  <si>
    <t>For straight-cut tapes</t>
  </si>
  <si>
    <t>Позволява използване под различен наклон в зависимост от еластичността на материала- Гарантира гладкост и добра визия на лентата</t>
  </si>
  <si>
    <t>Allows use at different angles depending on material elasticity—Ensures smoothness and good tape appearance</t>
  </si>
  <si>
    <t>Апарат пречупва ластик 20 мм</t>
  </si>
  <si>
    <t>Elastic Tape Folder 20 mm</t>
  </si>
  <si>
    <t>За обточване на детайли с прегънат ластик</t>
  </si>
  <si>
    <t>For binding pieces with folded elastic</t>
  </si>
  <si>
    <t>Апарат пречупва лента 1 1/4</t>
  </si>
  <si>
    <t>Tape Folder 1 1/4</t>
  </si>
  <si>
    <t>За обточване на детайли с двойно прегънат лента</t>
  </si>
  <si>
    <t>For binding pieces with double-fold tape</t>
  </si>
  <si>
    <t>Апарат пречупва лента 11/16</t>
  </si>
  <si>
    <t>Tape Folder 11/16</t>
  </si>
  <si>
    <t>Апарат пречупва лента 36 мм</t>
  </si>
  <si>
    <t>Tape Folder 36 mm</t>
  </si>
  <si>
    <t>Апарат пречупва лента 44 мм</t>
  </si>
  <si>
    <t>Tape Folder 44 mm</t>
  </si>
  <si>
    <t>Апарат пречупва лента 7/8</t>
  </si>
  <si>
    <t>Tape Folder 7/8</t>
  </si>
  <si>
    <t>Апарат пречупва лента 70 мм</t>
  </si>
  <si>
    <t>Tape Folder 70 mm</t>
  </si>
  <si>
    <t>Водач съединителен шев</t>
  </si>
  <si>
    <t>Connecting Seam Guide</t>
  </si>
  <si>
    <t>Гарантира равни резерви</t>
  </si>
  <si>
    <t>Ensures equal seam allowances</t>
  </si>
  <si>
    <t>Зъби за обточване</t>
  </si>
  <si>
    <t>Feed Dog for Binding</t>
  </si>
  <si>
    <t>Крак за лента</t>
  </si>
  <si>
    <t>Tape Foot</t>
  </si>
  <si>
    <t>Крак за обточване 1'</t>
  </si>
  <si>
    <t>Binding Foot 1</t>
  </si>
  <si>
    <t>Крак за обточване 1 1/4</t>
  </si>
  <si>
    <t>Binding Foot 1 1/4</t>
  </si>
  <si>
    <t>Крак за обточване 1 1/8</t>
  </si>
  <si>
    <t>Binding Foot 1 1/8</t>
  </si>
  <si>
    <t>Крак за обточване 1 3/8</t>
  </si>
  <si>
    <t>Binding Foot 1 3/8</t>
  </si>
  <si>
    <t>Крак за обточване 3/4</t>
  </si>
  <si>
    <t>Binding Foot 3/4</t>
  </si>
  <si>
    <t>Крак за обточване 7/8</t>
  </si>
  <si>
    <t>Binding Foot 7/8</t>
  </si>
  <si>
    <t>Приспособление за пришиване на ленти</t>
  </si>
  <si>
    <t>Tape Sewing Attachment</t>
  </si>
  <si>
    <t>Двуигловка</t>
  </si>
  <si>
    <t>2 needle lockstitch machine</t>
  </si>
  <si>
    <t>За три ленти: 24 мм + 24 мм + 32 мм</t>
  </si>
  <si>
    <t>For three tapes: 24 mm + 24 mm + 32 mm</t>
  </si>
  <si>
    <t>Оптимизира време при прикачане ленти и гарантира избягване на посукване</t>
  </si>
  <si>
    <t>Optimizes lead time for tape attachment and prevents twisting</t>
  </si>
  <si>
    <t>Апарат за подгъване на лента 80 мм</t>
  </si>
  <si>
    <t>Апарат за подгъване на лента 64 мм</t>
  </si>
  <si>
    <t>Tape Hemming Folder 64 mm</t>
  </si>
  <si>
    <t>Приспособление за разделяне на резерви</t>
  </si>
  <si>
    <t>Seam Buster / Seam Opening Attachment</t>
  </si>
  <si>
    <t>Оптимизира време при операция, изискваща шев само върху едната резерва т.е. различна обработка резерви</t>
  </si>
  <si>
    <t>Optimizes lead time for operations requiring stitching on only one seam allowance, i.e., differential allowance processing</t>
  </si>
  <si>
    <t>Апарат обточване 35-10 мм</t>
  </si>
  <si>
    <t>Binder 35-10 mm</t>
  </si>
  <si>
    <t>Краче за обточване 1 1/4</t>
  </si>
  <si>
    <t>Краче за обточване 1 3/4</t>
  </si>
  <si>
    <t>Binding Foot 1 3/4</t>
  </si>
  <si>
    <t>Краче за обточване 7/8</t>
  </si>
  <si>
    <t>Апарат обточване 26 мм - в кутийка</t>
  </si>
  <si>
    <t>Binder 26 mm - Box Type</t>
  </si>
  <si>
    <t>Кашон 2</t>
  </si>
  <si>
    <t>Апарат обточване 28 мм - в кутийка</t>
  </si>
  <si>
    <t>Binder 28 mm - Box Type</t>
  </si>
  <si>
    <t>Single Folder 1/4</t>
  </si>
  <si>
    <t>Кашон 3</t>
  </si>
  <si>
    <t>Апарат обточване 16 мм - в кутийка х 2 броя</t>
  </si>
  <si>
    <t>Binder 16 mm - Box Type x 2</t>
  </si>
  <si>
    <t>Апарат обточване 30 мм - в кутийка</t>
  </si>
  <si>
    <t>Binder 30 mm - Box Type</t>
  </si>
  <si>
    <t>Кашон 4</t>
  </si>
  <si>
    <t>Апарат за пришиване на ластик</t>
  </si>
  <si>
    <t>Elastic Sewing Attachment</t>
  </si>
  <si>
    <t>SIRUBA Оверлог</t>
  </si>
  <si>
    <t>SIRUBA Overlock</t>
  </si>
  <si>
    <t>Апарат обточване 34 мм - тежък клас</t>
  </si>
  <si>
    <t>Binder 34 mm - Heavy Duty</t>
  </si>
  <si>
    <t>Обдухващ апарат</t>
  </si>
  <si>
    <t>Air Blowing Device</t>
  </si>
  <si>
    <t>SIRUBA Покривна</t>
  </si>
  <si>
    <t>С въздух</t>
  </si>
  <si>
    <t>by air</t>
  </si>
  <si>
    <t>Улеснява подаване лента</t>
  </si>
  <si>
    <t>Facilitates tape feeding</t>
  </si>
  <si>
    <t>Апарат за шнур 60 мм х 22 мм</t>
  </si>
  <si>
    <t>Cording Attachment 60 x 22 mm</t>
  </si>
  <si>
    <t>Кашон R1</t>
  </si>
  <si>
    <t>Апарат за гайки 20 х 10</t>
  </si>
  <si>
    <t>Belt Loop Folder 20 x 10</t>
  </si>
  <si>
    <t>Апарат за гайки 40 х 20</t>
  </si>
  <si>
    <t>Belt Loop Folder 40 x 20</t>
  </si>
  <si>
    <t>Ограничители за подгъв</t>
  </si>
  <si>
    <t>Hemming Edge Guides</t>
  </si>
  <si>
    <t>Single Folder 3/8</t>
  </si>
  <si>
    <t>Gathering Attachment</t>
  </si>
  <si>
    <t>Апарат за пришиване на колани 66 х 42</t>
  </si>
  <si>
    <t>Waistband Attachment 66 x 42</t>
  </si>
  <si>
    <t>Боксер машина</t>
  </si>
  <si>
    <t>Multi-needle chainstitch machine (Boxer)</t>
  </si>
  <si>
    <t>Апарат за обточване 1 1/4 х 5/8 тежък клас</t>
  </si>
  <si>
    <t>Binder 1 1/4 x 5/8 Heavy Duty</t>
  </si>
  <si>
    <t>Апарат за гайки 25 х 12</t>
  </si>
  <si>
    <t>Belt Loop Folder 25 x 12</t>
  </si>
  <si>
    <t>Апарат за гайки 30 х 15</t>
  </si>
  <si>
    <t>Belt Loop Folder 30 x 15</t>
  </si>
  <si>
    <t>Апарат за гайки 9 мм</t>
  </si>
  <si>
    <t>Belt Loop Folder 9 mm</t>
  </si>
  <si>
    <t>Апарат за двоен подгъв 15 мм</t>
  </si>
  <si>
    <t>Double Hemmer 15 mm</t>
  </si>
  <si>
    <t>Апарат за двоен подгъв 16 мм</t>
  </si>
  <si>
    <t>Double Hemmer 16 mm</t>
  </si>
  <si>
    <t>Апарат за френски шев 1/4 тежък клас</t>
  </si>
  <si>
    <t>Felled Seam Folder 1/4 Heavy Duty</t>
  </si>
  <si>
    <t>Апарат за обточване с ограничител 1 3/16</t>
  </si>
  <si>
    <t>Binder with Guide 1 3/16</t>
  </si>
  <si>
    <t>Апарат за обточване с ограничител 1 1/8</t>
  </si>
  <si>
    <t>Binder with Guide 1 1/8</t>
  </si>
  <si>
    <t>Апарат за обточване UMA 28 мм</t>
  </si>
  <si>
    <t>Binder UMA 28 mm</t>
  </si>
  <si>
    <t>Апарат за паспел 1″</t>
  </si>
  <si>
    <t>Piping Attachment 1``</t>
  </si>
  <si>
    <t>Фуния за шнур 10 мм</t>
  </si>
  <si>
    <t>Cording Folder 10 mm</t>
  </si>
  <si>
    <t>Фуния за шнур 8 мм</t>
  </si>
  <si>
    <t>Cording Folder 8 mm</t>
  </si>
  <si>
    <t>Апарат за обточване 24 мм</t>
  </si>
  <si>
    <t>Апарат за обточване 1 1/2</t>
  </si>
  <si>
    <t>Binder 1 1/2</t>
  </si>
  <si>
    <t>Апарат за обточване 1 1/8</t>
  </si>
  <si>
    <t>Binder 1 1/8</t>
  </si>
  <si>
    <t>Апарат за обточване 21 мм</t>
  </si>
  <si>
    <t>Binder 21 mm</t>
  </si>
  <si>
    <t>Апарат за обточване 32 мм</t>
  </si>
  <si>
    <t>Апарат за шнур 12 мм</t>
  </si>
  <si>
    <t>Cording Attachment 12 mm</t>
  </si>
  <si>
    <t>Апарат за двустранно подгъване на права лента 120 х 100 мм</t>
  </si>
  <si>
    <t>Double Side Hemming Folder for Straight Tape 120 x 100 mm</t>
  </si>
  <si>
    <t>Апарат за шнур 18 х 5 мм</t>
  </si>
  <si>
    <t>Cording Attachment 18 x 5 mm</t>
  </si>
  <si>
    <t>Апарат за шнур 32 х 10 мм</t>
  </si>
  <si>
    <t>Cording Attachment 32 x 10 mm</t>
  </si>
  <si>
    <t>Кашон R2</t>
  </si>
  <si>
    <t>Апарат за прегъване и пришиване на лента 3/4</t>
  </si>
  <si>
    <t>Tape Folding and Sewing Attachment 3/4</t>
  </si>
  <si>
    <t>Апарат за прегъване и пришиване на лента 7/8</t>
  </si>
  <si>
    <t>Tape Folding and Sewing Attachment 7/8</t>
  </si>
  <si>
    <t>Апарат за пречупване и пришиване на лента 34 мм</t>
  </si>
  <si>
    <t>Tape Folding and Sewing Attachment 34 mm</t>
  </si>
  <si>
    <t>Апарат за обточване на права лента 24 мм</t>
  </si>
  <si>
    <t>Straight Tape Binder 24 mm</t>
  </si>
  <si>
    <t>Апарат за обточване на права лента 26 мм</t>
  </si>
  <si>
    <t>Straight Tape Binder 26 mm</t>
  </si>
  <si>
    <t>Крак с апарат за шнур 1/8</t>
  </si>
  <si>
    <t>Foot with Cording Attachment 1/8</t>
  </si>
  <si>
    <t>Апарат за пречупване и пришиване на права лента тежък клас 21 х 10 мм</t>
  </si>
  <si>
    <t>Heavy Duty Folding and Sewing Attachment for Straight Tape 21 x 10 mm</t>
  </si>
  <si>
    <t>Апарат за пречупване и пришиване на права лента 3/4</t>
  </si>
  <si>
    <t>Folding and Sewing Attachment for Straight Tape 3/4</t>
  </si>
  <si>
    <t>Апарат за единичен подгъв 3/4</t>
  </si>
  <si>
    <t>Single Folder 3/4</t>
  </si>
  <si>
    <t>Апарат за паспел 1 1/2</t>
  </si>
  <si>
    <t>Piping Attachment 1 1/2</t>
  </si>
  <si>
    <t>Апарат за пришиване на лента 16 мм</t>
  </si>
  <si>
    <t>Tape Sewing Attachment 16 mm</t>
  </si>
  <si>
    <t>Апарат за обратен единичен подгъв 1/4</t>
  </si>
  <si>
    <t>Апарат за обратен единичен подгъв 3/8</t>
  </si>
  <si>
    <t>Single Reverse Folder 3/8</t>
  </si>
  <si>
    <t>Апарат за единичен подгъв 3/8</t>
  </si>
  <si>
    <t>Апарат за единичен подгъв 1/4</t>
  </si>
  <si>
    <t>Апарат за единичен подгъв 5/16</t>
  </si>
  <si>
    <t>Single Folder 5/16</t>
  </si>
  <si>
    <t>Апарат за двоен подгъв тежък клас 10 мм</t>
  </si>
  <si>
    <t>Double Hemmer Heavy Duty 10 mm</t>
  </si>
  <si>
    <t>Апарат за двоен подгъв 7 мм</t>
  </si>
  <si>
    <t>Апарат за двоен подгъв 5 мм</t>
  </si>
  <si>
    <t>Double Hemmer 5 mm</t>
  </si>
  <si>
    <t>Апарат за двоен подгъв 1/16</t>
  </si>
  <si>
    <t>Double Hemmer 1/16</t>
  </si>
  <si>
    <t>Апарат за двоен подгъв 1/4</t>
  </si>
  <si>
    <t>Double Hemmer 1/4</t>
  </si>
  <si>
    <t>Апарат за двоен подгъв 3/16</t>
  </si>
  <si>
    <t>Апарат за двоен подгъв 1/8</t>
  </si>
  <si>
    <t>Double Hemmer 1/8</t>
  </si>
  <si>
    <t>Апарат за изработване на паспел с шнур</t>
  </si>
  <si>
    <t>Piping with Cord Attachment</t>
  </si>
  <si>
    <t>Апарат за пришиване на лента 65 мм</t>
  </si>
  <si>
    <t>Tape Sewing Attachment 65 mm</t>
  </si>
  <si>
    <t>Апарат за спагети 1 1/8 х 5/16</t>
  </si>
  <si>
    <t>Spaghetti Folder 1 1/8 x 5/16</t>
  </si>
  <si>
    <t>Апарат/ Гарнитура за спагети 3/16</t>
  </si>
  <si>
    <t>Spaghetti Attachment 3/16</t>
  </si>
  <si>
    <t>Апарат/ Гарнитура за спагети 5/16</t>
  </si>
  <si>
    <t>Spaghetti Attachment 5/16</t>
  </si>
  <si>
    <t>Апарат/ Гарнитура за спагети 3/8</t>
  </si>
  <si>
    <t>Spaghetti Attachment 3/8</t>
  </si>
  <si>
    <t>Апарат за обточване 34 мм</t>
  </si>
  <si>
    <t>Апарат за обточване 26 мм</t>
  </si>
  <si>
    <t>Апарат за обточване 38 мм</t>
  </si>
  <si>
    <t>Binder 38 mm</t>
  </si>
  <si>
    <t>Апарат за обточване 20 мм</t>
  </si>
  <si>
    <t>Апарат за обточване 22 мм</t>
  </si>
  <si>
    <t>Апарат за обточване 16 мм</t>
  </si>
  <si>
    <t>Binder 16 mm</t>
  </si>
  <si>
    <t>Апарат за обточване 18 мм</t>
  </si>
  <si>
    <t>Binder 18 mm</t>
  </si>
  <si>
    <t>Апарат за двоен подгъв 8 мм</t>
  </si>
  <si>
    <t>Кашон R3</t>
  </si>
  <si>
    <t>Апарат за двоен подгъв 10 мм</t>
  </si>
  <si>
    <t>Double Hemmer 10 mm</t>
  </si>
  <si>
    <t>Апарат за двоен подгъв 6 мм</t>
  </si>
  <si>
    <t>Апарат за двоен подгъв 3/8</t>
  </si>
  <si>
    <t>Апарат за дълги шевове</t>
  </si>
  <si>
    <t>Long Seam Guide</t>
  </si>
  <si>
    <t>Апарат за спагети 1/4</t>
  </si>
  <si>
    <t>Spaghetti Folder 1/4</t>
  </si>
  <si>
    <t>Крак за обточване 1"</t>
  </si>
  <si>
    <t>Крак за обточване 1/8</t>
  </si>
  <si>
    <t>Binding Foot 1/8</t>
  </si>
  <si>
    <t>Крак за обточване SA 65</t>
  </si>
  <si>
    <t>Binding Foot SA 65</t>
  </si>
  <si>
    <t>Крак за обточване SA 55</t>
  </si>
  <si>
    <t>Binding Foot SA 55</t>
  </si>
  <si>
    <t>Гарнитури за точков пикир</t>
  </si>
  <si>
    <t>Point Tack Gauge Set</t>
  </si>
  <si>
    <t>STROBEL Пикир</t>
  </si>
  <si>
    <t>Органайзер - резервни части/ чекмедже 34</t>
  </si>
  <si>
    <t>Шевно производство</t>
  </si>
  <si>
    <t>Шевен - производство, Работилница</t>
  </si>
  <si>
    <t>Гарнитури верижна</t>
  </si>
  <si>
    <t>Chainstitch Gauge Set</t>
  </si>
  <si>
    <t>Durkopp Adler 610 Верижна</t>
  </si>
  <si>
    <t>Органайзер - резервни части/ чекмедже 42</t>
  </si>
  <si>
    <t>Durkopp Adler 610 Chainstitch machine</t>
  </si>
  <si>
    <t>Гарнитура филет автомат 25 мм</t>
  </si>
  <si>
    <t>Pocket Welting Gauge Set 25 mm</t>
  </si>
  <si>
    <t>Durkopp Adler Филет автомат</t>
  </si>
  <si>
    <t>*на бюрото</t>
  </si>
  <si>
    <t>Durkopp Adler automatic pocket welting machine</t>
  </si>
  <si>
    <t>Гарнитура филет автомат 10 мм</t>
  </si>
  <si>
    <t>Pocket Welting Gauge Set 10 mm</t>
  </si>
  <si>
    <t>Гарнитура филет автомат 20 мм</t>
  </si>
  <si>
    <t>Pocket Welting Gauge Set 20 mm</t>
  </si>
  <si>
    <t>Гарнитура филет автомат 12 мм</t>
  </si>
  <si>
    <t>Pocket Welting Gauge Set 12 mm</t>
  </si>
  <si>
    <t>Гарнитура филет автомат 14 мм без ножица за горните конци</t>
  </si>
  <si>
    <t>Pocket Welting Gauge Set 14 mm without Top Corner Trimmer</t>
  </si>
  <si>
    <t>Гарнитура 3/16</t>
  </si>
  <si>
    <t>Gauge set 3/16</t>
  </si>
  <si>
    <t>BROTHER Двуигловка</t>
  </si>
  <si>
    <t>Органайзер за гарнитури за двуигловки/ чекмедже 87</t>
  </si>
  <si>
    <t>BROTHER Twin needle machine</t>
  </si>
  <si>
    <t>Органайзер за гарнитури за двуигловки/ чекмедже 89</t>
  </si>
  <si>
    <t>Органайзер за гарнитури за двуигловки/ чекмедже 90</t>
  </si>
  <si>
    <t>Гарнитура 1/4</t>
  </si>
  <si>
    <t>Gauge set 1/4</t>
  </si>
  <si>
    <t>Органайзер за гарнитури за двуигловки/ чекмедже 94</t>
  </si>
  <si>
    <t>Органайзер за гарнитури за двуигловки/ чекмедже 95</t>
  </si>
  <si>
    <t>Гарнитура 3/8</t>
  </si>
  <si>
    <t>Gauge set 3/8</t>
  </si>
  <si>
    <t>Органайзер за гарнитури за двуигловки/ чекмедже 101</t>
  </si>
  <si>
    <t>Органайзер за гарнитури за двуигловки/ чекмедже 102</t>
  </si>
  <si>
    <t>Органайзер за гарнитури за двуигловки/ чекмедже 103</t>
  </si>
  <si>
    <t>Органайзер за гарнитури за двуигловки/ чекмедже 104</t>
  </si>
  <si>
    <t>Гарнитура 1/2</t>
  </si>
  <si>
    <t>Gauge set 1/2</t>
  </si>
  <si>
    <t>Органайзер за гарнитури за двуигловки/ чекмедже 108</t>
  </si>
  <si>
    <t>Гарнитура 5/8</t>
  </si>
  <si>
    <t>Gauge set 5/8</t>
  </si>
  <si>
    <t>Органайзер за гарнитури за двуигловки/ чекмедже 110</t>
  </si>
  <si>
    <t>Гарнитура 3/4</t>
  </si>
  <si>
    <t>Gauge set 3/4</t>
  </si>
  <si>
    <t>Органайзер за гарнитури за двуигловки/ чекмедже 111</t>
  </si>
  <si>
    <t>Гарнитура 7/8</t>
  </si>
  <si>
    <t>Gauge set 7/8</t>
  </si>
  <si>
    <t>Органайзер за гарнитури за двуигловки/ чекмедже 113</t>
  </si>
  <si>
    <t>Органайзер за гарнитури за двуигловки/ чекмедже 114</t>
  </si>
  <si>
    <t>JUKI Покривна</t>
  </si>
  <si>
    <t>JUKI Coverstitch machine</t>
  </si>
  <si>
    <t>Гарнитура 10 мм</t>
  </si>
  <si>
    <t>Gauge set 10 mm</t>
  </si>
  <si>
    <t>JUKI 5 конечен оверлог</t>
  </si>
  <si>
    <t>JUKI 5-thread overlock machine</t>
  </si>
  <si>
    <t>Гарнитура 5 мм</t>
  </si>
  <si>
    <t>Gauge set 5 mm</t>
  </si>
  <si>
    <t>Durkopp Adler Обрезвачка</t>
  </si>
  <si>
    <t>Durkopp Adler Edge trimmer machine</t>
  </si>
  <si>
    <t>JUKI 3 конечен оверлог</t>
  </si>
  <si>
    <t>JUKI 3-thread overlock machine</t>
  </si>
  <si>
    <t>SIRUBA 3 конечен оверлог</t>
  </si>
  <si>
    <t>SIRUBA 3-thread overlock machine</t>
  </si>
  <si>
    <t>Гарнитура 5/16</t>
  </si>
  <si>
    <t>Gauge set 5/16</t>
  </si>
  <si>
    <t>Гарнитура 8 мм</t>
  </si>
  <si>
    <t>Gauge set 8 mm</t>
  </si>
  <si>
    <t>Гарнитура пико</t>
  </si>
  <si>
    <t>Picot gauge set</t>
  </si>
  <si>
    <t>JUKI Оверлог</t>
  </si>
  <si>
    <t>JUKI overlock machine</t>
  </si>
  <si>
    <t>Кашон 26</t>
  </si>
  <si>
    <t>Цялостна гарнитура 6,4</t>
  </si>
  <si>
    <t>Complete gauge set 6.4</t>
  </si>
  <si>
    <t>Siruba coverstitch machine</t>
  </si>
  <si>
    <t>Гарнитура 1/8</t>
  </si>
  <si>
    <t>Gauge set 1/8</t>
  </si>
  <si>
    <t>JUKI Двуигловка</t>
  </si>
  <si>
    <t>JUKI 2 needle lockstitch machine</t>
  </si>
  <si>
    <t>Гарнитура + Крак 5/8</t>
  </si>
  <si>
    <t>Gauge set + Foot 5/8</t>
  </si>
  <si>
    <t>Органайзер - резервни части/ чекмедже 219</t>
  </si>
  <si>
    <t>Гарнитура за пико</t>
  </si>
  <si>
    <t>JUKI Оверлог 3 конечен</t>
  </si>
  <si>
    <t>Гарнитура за клап шаблони</t>
  </si>
  <si>
    <t>Gauge set for pocket flap templates</t>
  </si>
  <si>
    <t>Апарат за обточване 60 мм</t>
  </si>
  <si>
    <t>Binder 60 mm</t>
  </si>
  <si>
    <t>МБ</t>
  </si>
  <si>
    <t>Кашон 25</t>
  </si>
  <si>
    <t>Апарат за обточване бие, 36/10/12 мм</t>
  </si>
  <si>
    <t>Binder for Bias Tape 36/10/12 mm</t>
  </si>
  <si>
    <t>Апарат за обточване 40 мм</t>
  </si>
  <si>
    <t>Апарат за обточване 1х12 веревна лента, 24 мм</t>
  </si>
  <si>
    <t>Binder for Bias Tape (1x12) 24 mm</t>
  </si>
  <si>
    <t>Апарат за обточване 90/35 мм</t>
  </si>
  <si>
    <t>Binder 90/35 mm</t>
  </si>
  <si>
    <t>Апарат за обточване веревна лента, готов вид 20/10 (поло бленда), 60 мм</t>
  </si>
  <si>
    <t>Binder for Bias Tape (finished size 20/10) 60 mm</t>
  </si>
  <si>
    <t>Апарат за обточване бие лента, 38 мм</t>
  </si>
  <si>
    <t>Binder for Bias Tape 38 mm</t>
  </si>
  <si>
    <t>Апарат за обточване на оверлог с лента с отворени кантове+краче и плочки, 10 мм</t>
  </si>
  <si>
    <t>Overlock Binder for Tape with Raw Edges (incl. Foot and Plate) 10 mm</t>
  </si>
  <si>
    <t>Апарат за канони 40 мм</t>
  </si>
  <si>
    <t>Hemming Attachment for Pleats 40 mm</t>
  </si>
  <si>
    <t>Апарат за обточване 48 мм</t>
  </si>
  <si>
    <t>Binder 48 mm</t>
  </si>
  <si>
    <t>Апарат за канони, 35 мм</t>
  </si>
  <si>
    <t>Hemming Attachment for Pleats 35 mm</t>
  </si>
  <si>
    <t>Апарат за обточване на оверлог с лента с отворени кантове, 8 мм</t>
  </si>
  <si>
    <t>Overlock Binder for Tape with Raw Edges 8 mm</t>
  </si>
  <si>
    <t>Апарат за обточване веревна лента регулируем, 24 мм</t>
  </si>
  <si>
    <t>Adjustable Binder for Bias Tape 24 mm</t>
  </si>
  <si>
    <t>Апарат за бие 25 мм лента 8/10 готов вид, 25 мм</t>
  </si>
  <si>
    <t>Binder for Bias Tape 25 mm (finished size 8/10) 25 mm</t>
  </si>
  <si>
    <t>Апарат за обточване веревна лента, 80/20 мм</t>
  </si>
  <si>
    <t>Binder for Bias Tape 80/20 mm</t>
  </si>
  <si>
    <t>Апарат за канони (леки материи) 30 мм</t>
  </si>
  <si>
    <t>Hemming Attachment for Pleats (light materials) 30 mm</t>
  </si>
  <si>
    <t>Апарат за обточване 1х12 права лента, 24 мм</t>
  </si>
  <si>
    <t>Binder for Straight Tape (1x12) 24 mm</t>
  </si>
  <si>
    <t>Апарат за канони (полобленда), 30 мм</t>
  </si>
  <si>
    <t>Hemming Attachment for Pleats (half blend) 30 mm</t>
  </si>
  <si>
    <t>Апарат за обточване 50 мм</t>
  </si>
  <si>
    <t>Binder 50 mm</t>
  </si>
  <si>
    <t>Апарат за двойно обточвене 35 мм</t>
  </si>
  <si>
    <t>Double Binder 35 mm</t>
  </si>
  <si>
    <t>Апарат за паспел прегъната лента, 30/16 мм</t>
  </si>
  <si>
    <t>Piping Attachment for Folded Tape 30/16 mm</t>
  </si>
  <si>
    <t>Апарат за двойно подгъване с лицев шев, 10 мм</t>
  </si>
  <si>
    <t>Double Folding Attachment with Top Stitch 10 mm</t>
  </si>
  <si>
    <t>Апарат за подгъви, 2х1,6 мм. 1/16“</t>
  </si>
  <si>
    <t>Hemming Attachment 2x1.6 mm (1/16")</t>
  </si>
  <si>
    <t>Апарат за паспел 39 мм</t>
  </si>
  <si>
    <t>Piping Attachment 39 mm</t>
  </si>
  <si>
    <t>Апарат за паспел с шнур</t>
  </si>
  <si>
    <t>Piping Attachment with Cord</t>
  </si>
  <si>
    <t>Апарат за паспел 26 мм</t>
  </si>
  <si>
    <t>Piping Attachment 26 mm</t>
  </si>
  <si>
    <t>Апарат за гайки 16/8 мм</t>
  </si>
  <si>
    <t>Belt Loop Folder 16/8 mm</t>
  </si>
  <si>
    <t>Апарат за отворени шевове права машина</t>
  </si>
  <si>
    <t>Seam Opening Attachment for Lockstitch Machine</t>
  </si>
  <si>
    <t>Апарат за паспел 30 мм</t>
  </si>
  <si>
    <t>Piping Attachment 30 mm</t>
  </si>
  <si>
    <t>Апарат за челно съеденяванена, горният кат се подгъва на 6 мм,а долният е прав</t>
  </si>
  <si>
    <t>Connecting Seam Guide, Top Layer 6 mm Fold / Bottom Layer Straight</t>
  </si>
  <si>
    <t>Апарат за прикачане на платка към гръб с резерва 10 мм</t>
  </si>
  <si>
    <t>Yoke Attachment with 10 mm Seam Allowance</t>
  </si>
  <si>
    <t>Апарат за нервюри (черчета)</t>
  </si>
  <si>
    <t>Pintuck Attachment</t>
  </si>
  <si>
    <t>Апарат за гайки 40/20 мм</t>
  </si>
  <si>
    <t>Belt Loop Folder 40/20 mm</t>
  </si>
  <si>
    <t>Апарат за пришиване на ръкав на двуигловка 1-процес (английски шев)</t>
  </si>
  <si>
    <t>Sleeve Attachment for Twin Needle Machine (1-Step Felled Seam)</t>
  </si>
  <si>
    <t>Twin needle machine</t>
  </si>
  <si>
    <t>Апарат за пришиване на ръкав на двуигловка 2-процес(английски шев)</t>
  </si>
  <si>
    <t>Sleeve Attachment for Twin Needle Machine (2-Step Felled Seam)</t>
  </si>
  <si>
    <t>Апарат за английски шев на права машина F10R, прикачане на ръкав</t>
  </si>
  <si>
    <t>Felled Seam Attachment for Lockstitch Machine F10R (Sleeve Attachment)</t>
  </si>
  <si>
    <t>Апарат за английски шев на права машина F11, прикачане на ръкав, 10 мм</t>
  </si>
  <si>
    <t>Felled Seam Attachment for Lockstitch Machine F11 (Sleeve Attachment) 10 mm</t>
  </si>
  <si>
    <t>Апарат за пречупване на лента 120 мм/100 мм</t>
  </si>
  <si>
    <t>Tape Folding Attachment 120 mm / 100 mm</t>
  </si>
  <si>
    <t>Ролкова преса</t>
  </si>
  <si>
    <t>Roller Press</t>
  </si>
  <si>
    <t>Безконечно пречупване на лента</t>
  </si>
  <si>
    <t>Continuous Tape Folding</t>
  </si>
  <si>
    <t>Апарат за подгъв с долно подгъване, 2х10</t>
  </si>
  <si>
    <t>Double Folder 2x10 mm</t>
  </si>
  <si>
    <t>Апарат за гайки 30/15 мм</t>
  </si>
  <si>
    <t>Belt Loop Folder 30/15 mm</t>
  </si>
  <si>
    <t>Апарат за гайки 19 мм</t>
  </si>
  <si>
    <t>Belt Loop Folder 19 mm</t>
  </si>
  <si>
    <t>Апарат за гайки 20 мм</t>
  </si>
  <si>
    <t>Belt Loop Folder 20 mm</t>
  </si>
  <si>
    <t>Апарат за единичен подгъв 18 мм</t>
  </si>
  <si>
    <t>Single Hemmer 18 mm</t>
  </si>
  <si>
    <t>Апарат за обточване 44 мм</t>
  </si>
  <si>
    <t>Апарат за паспел 22 мм</t>
  </si>
  <si>
    <t>Piping Attachment 22 mm</t>
  </si>
  <si>
    <t>Апарат за челно съединяване АР 165</t>
  </si>
  <si>
    <t>Butt Seam Guide AP 165</t>
  </si>
  <si>
    <t>French Seam Folder 10 mm</t>
  </si>
  <si>
    <t>Апарат за френски шев 1/4″</t>
  </si>
  <si>
    <t>French Seam Folder 1/4"</t>
  </si>
  <si>
    <t>Апарат за челно съединяване GР 165</t>
  </si>
  <si>
    <t>Butt Seam Guide GP 165</t>
  </si>
  <si>
    <t>Фуния за бизе</t>
  </si>
  <si>
    <t>Bias Tape Folder</t>
  </si>
  <si>
    <t>За фини материи - Гарантира еднаквост на бизе</t>
  </si>
  <si>
    <t>For fine fabrics - Ensures bias uniformity</t>
  </si>
  <si>
    <t xml:space="preserve">List of Attachments and Devices </t>
  </si>
  <si>
    <t>.</t>
  </si>
  <si>
    <t>(All)</t>
  </si>
  <si>
    <t>Quantity/pcs.</t>
  </si>
  <si>
    <t>APPENDIX A to SALE AGREEMENT from the 17th April, 2026</t>
  </si>
  <si>
    <t>Equipment</t>
  </si>
  <si>
    <t>Location</t>
  </si>
  <si>
    <t>Ruse + Ruino</t>
  </si>
  <si>
    <t>Ruse</t>
  </si>
  <si>
    <t>Ruino</t>
  </si>
  <si>
    <t>Qty./ pcs.</t>
  </si>
  <si>
    <t>Trolley system for hanging garments incl. mezzanine</t>
  </si>
  <si>
    <t>Information for this non-standard equipment will be sent in sepate table</t>
  </si>
  <si>
    <t>Racking system for materials</t>
  </si>
  <si>
    <t>Automatic packaging machine</t>
  </si>
  <si>
    <t>Semi-automatic packaging machine</t>
  </si>
  <si>
    <t>Central steam generator</t>
  </si>
  <si>
    <t>Central steam generators</t>
  </si>
  <si>
    <t>Cutters</t>
  </si>
  <si>
    <t>with laser</t>
  </si>
  <si>
    <t>without laser</t>
  </si>
  <si>
    <t>Packing machines</t>
  </si>
  <si>
    <t>Overlock, 5 thread, semi-automatic</t>
  </si>
  <si>
    <t>Tabletes Lenovo Tab 9</t>
  </si>
  <si>
    <t>Lenovo Tab 9 - used / only 2 months/</t>
  </si>
  <si>
    <t>Lenovo Tab 9 - brand new</t>
  </si>
  <si>
    <t>Lenovo Tab 8 - used / only 2 months/</t>
  </si>
  <si>
    <t>No</t>
  </si>
  <si>
    <t>For these cutters we offer an additional head - 5 cm ply height</t>
  </si>
  <si>
    <t>CNC Automatic Cutting Machine - 7 cm ply height</t>
  </si>
  <si>
    <t>CNC Automatic Cutting Machine - 3 cm ply height</t>
  </si>
  <si>
    <t>CNC Automatic Cutting Machine -4,5 cm ply height</t>
  </si>
  <si>
    <t>Note</t>
  </si>
  <si>
    <t>Troley ststem incl. mezzanine &amp; 7 boosters</t>
  </si>
  <si>
    <t>Troley ststem incl. 4  boosters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</si>
</sst>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-* #,##0.00\ &quot;лв.&quot;_-;\-* #,##0.00\ &quot;лв.&quot;_-;_-* &quot;-&quot;??\ &quot;лв.&quot;_-;_-@_-"/>
    <numFmt numFmtId="165" formatCode="mm/d/yyyy&quot; г.&quot;"/>
    <numFmt numFmtId="166" formatCode="d\ mmm"/>
    <numFmt numFmtId="167" formatCode="##&quot;.&quot;##&quot;.&quot;####"/>
    <numFmt numFmtId="168" formatCode="[$-402]General"/>
    <numFmt numFmtId="169" formatCode="[$-402]0.00"/>
    <numFmt numFmtId="170" formatCode="_-* #,##0.0\ &quot;лв.&quot;_-;\-* #,##0.0\ &quot;лв.&quot;_-;_-* &quot;-&quot;?\ &quot;лв.&quot;_-;_-@_-"/>
    <numFmt numFmtId="171" formatCode="#,##0.00\ &quot;лв.&quot;;[Red]#,##0.00\ &quot;лв.&quot;"/>
    <numFmt numFmtId="172" formatCode="#,##0.00\ [$€-1]"/>
    <numFmt numFmtId="173" formatCode="#,##0\ &quot;лв.&quot;;[Red]#,##0\ &quot;лв.&quot;"/>
    <numFmt numFmtId="174" formatCode="#,##0\ &quot;лв.&quot;"/>
    <numFmt numFmtId="175" formatCode="#,##0.00\ [$€-1];[Red]#,##0.00\ [$€-1]"/>
    <numFmt numFmtId="176" formatCode="_-* #,##0.00\ [$€-1]_-;\-* #,##0.00\ [$€-1]_-;_-* &quot;-&quot;??\ [$€-1]_-;_-@_-"/>
  </numFmts>
  <fonts count="45" x14ac:knownFonts="1"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1"/>
      <name val="Calibri"/>
      <family val="2"/>
      <charset val="204"/>
    </font>
    <font>
      <sz val="26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rgb="FF000000"/>
      <name val="Calibri"/>
      <family val="2"/>
      <charset val="204"/>
    </font>
    <font>
      <sz val="18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sz val="11"/>
      <color rgb="FF000000"/>
      <name val="Arial"/>
      <family val="2"/>
      <charset val="204"/>
    </font>
    <font>
      <b/>
      <sz val="11"/>
      <color rgb="FF000000"/>
      <name val="Arial"/>
      <family val="2"/>
      <charset val="204"/>
    </font>
    <font>
      <b/>
      <i/>
      <sz val="14"/>
      <color rgb="FF000000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color rgb="FF00B050"/>
      <name val="Calibri"/>
      <family val="2"/>
      <charset val="204"/>
    </font>
    <font>
      <sz val="11"/>
      <color rgb="FF0070C0"/>
      <name val="Calibri"/>
      <family val="2"/>
      <charset val="204"/>
    </font>
    <font>
      <b/>
      <sz val="11"/>
      <name val="Calibri"/>
      <family val="2"/>
      <charset val="204"/>
    </font>
    <font>
      <b/>
      <sz val="11"/>
      <color theme="1"/>
      <name val="Calibri"/>
      <family val="2"/>
      <charset val="204"/>
    </font>
    <font>
      <b/>
      <sz val="14"/>
      <color theme="8" tint="-0.249977111117893"/>
      <name val="Calibri"/>
      <family val="2"/>
      <charset val="204"/>
    </font>
    <font>
      <b/>
      <i/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b/>
      <sz val="6"/>
      <name val="Calibri"/>
      <family val="2"/>
      <charset val="204"/>
    </font>
    <font>
      <sz val="11"/>
      <name val="Times New Roman"/>
      <family val="1"/>
      <charset val="204"/>
    </font>
    <font>
      <b/>
      <i/>
      <sz val="11"/>
      <name val="Calibri"/>
      <family val="2"/>
      <charset val="204"/>
    </font>
    <font>
      <sz val="11"/>
      <color rgb="FF0000FF"/>
      <name val="Calibri"/>
      <family val="2"/>
      <charset val="204"/>
    </font>
    <font>
      <sz val="11"/>
      <color rgb="FFC00000"/>
      <name val="Calibri"/>
      <family val="2"/>
      <charset val="204"/>
    </font>
    <font>
      <b/>
      <sz val="11"/>
      <name val="Times New Roman"/>
      <family val="1"/>
      <charset val="204"/>
    </font>
    <font>
      <sz val="14"/>
      <name val="Calibri"/>
      <family val="2"/>
      <charset val="204"/>
    </font>
    <font>
      <b/>
      <sz val="9"/>
      <color theme="1"/>
      <name val="Calibri"/>
      <family val="2"/>
      <charset val="204"/>
    </font>
    <font>
      <b/>
      <sz val="11"/>
      <color rgb="FFFF0000"/>
      <name val="Calibri"/>
      <family val="2"/>
      <charset val="204"/>
    </font>
    <font>
      <b/>
      <sz val="11"/>
      <color rgb="FF00B050"/>
      <name val="Calibri"/>
      <family val="2"/>
      <charset val="204"/>
    </font>
    <font>
      <b/>
      <sz val="11"/>
      <color rgb="FF0070C0"/>
      <name val="Calibri"/>
      <family val="2"/>
      <charset val="204"/>
    </font>
    <font>
      <b/>
      <sz val="12"/>
      <name val="Calibri"/>
      <family val="2"/>
      <charset val="204"/>
    </font>
    <font>
      <sz val="11"/>
      <color rgb="FF7030A0"/>
      <name val="Calibri"/>
      <family val="2"/>
      <charset val="204"/>
    </font>
    <font>
      <sz val="11"/>
      <color theme="1"/>
      <name val="Calibri"/>
      <family val="2"/>
      <charset val="204"/>
    </font>
    <font>
      <b/>
      <sz val="14"/>
      <name val="Calibri"/>
      <family val="2"/>
      <charset val="204"/>
    </font>
    <font>
      <sz val="11"/>
      <color indexed="8"/>
      <name val="Calibri"/>
      <family val="2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color rgb="FF1F1F1F"/>
      <name val="Calibri"/>
      <family val="2"/>
      <charset val="204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charset val="204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0000"/>
        <bgColor rgb="FFFF0000"/>
      </patternFill>
    </fill>
    <fill>
      <patternFill patternType="solid">
        <fgColor rgb="FFFFFF66"/>
        <bgColor rgb="FFFFFF66"/>
      </patternFill>
    </fill>
    <fill>
      <patternFill patternType="solid">
        <fgColor rgb="FFCCCCCC"/>
        <bgColor rgb="FFCCCCCC"/>
      </patternFill>
    </fill>
    <fill>
      <patternFill patternType="solid">
        <fgColor rgb="FFBFBFBF"/>
        <bgColor rgb="FFBFBFBF"/>
      </patternFill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6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double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double">
        <color rgb="FF000000"/>
      </right>
      <top/>
      <bottom/>
      <diagonal/>
    </border>
    <border>
      <left style="double">
        <color rgb="FFFFFFFF"/>
      </left>
      <right style="double">
        <color rgb="FFFFFFFF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double">
        <color rgb="FF000000"/>
      </left>
      <right style="double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5" fillId="0" borderId="0" applyBorder="0" applyProtection="0"/>
    <xf numFmtId="0" fontId="8" fillId="0" borderId="0"/>
  </cellStyleXfs>
  <cellXfs count="340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1" xfId="11" applyFont="1" applyBorder="1" applyAlignment="1">
      <alignment horizontal="center" vertical="center" wrapText="1"/>
    </xf>
    <xf numFmtId="0" fontId="0" fillId="0" borderId="1" xfId="22" applyFont="1" applyBorder="1" applyAlignment="1">
      <alignment horizontal="center" vertical="center" wrapText="1"/>
    </xf>
    <xf numFmtId="0" fontId="0" fillId="0" borderId="1" xfId="33" applyFont="1" applyBorder="1" applyAlignment="1">
      <alignment horizontal="center" vertical="center" wrapText="1"/>
    </xf>
    <xf numFmtId="0" fontId="0" fillId="0" borderId="1" xfId="35" applyFont="1" applyBorder="1" applyAlignment="1">
      <alignment horizontal="center" vertical="center" wrapText="1"/>
    </xf>
    <xf numFmtId="0" fontId="0" fillId="0" borderId="1" xfId="36" applyFont="1" applyBorder="1" applyAlignment="1">
      <alignment horizontal="center" vertical="center" wrapText="1"/>
    </xf>
    <xf numFmtId="0" fontId="0" fillId="0" borderId="1" xfId="37" applyFont="1" applyBorder="1" applyAlignment="1">
      <alignment horizontal="center" vertical="center"/>
    </xf>
    <xf numFmtId="0" fontId="0" fillId="0" borderId="1" xfId="38" applyFont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 wrapText="1"/>
    </xf>
    <xf numFmtId="1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6" xfId="0" applyBorder="1"/>
    <xf numFmtId="168" fontId="5" fillId="0" borderId="0" xfId="40"/>
    <xf numFmtId="168" fontId="5" fillId="0" borderId="9" xfId="40" applyBorder="1"/>
    <xf numFmtId="168" fontId="5" fillId="0" borderId="9" xfId="40" applyBorder="1" applyAlignment="1">
      <alignment vertical="center"/>
    </xf>
    <xf numFmtId="168" fontId="7" fillId="0" borderId="0" xfId="40" applyFont="1" applyAlignment="1">
      <alignment vertical="center"/>
    </xf>
    <xf numFmtId="168" fontId="5" fillId="0" borderId="0" xfId="40" applyAlignment="1">
      <alignment horizontal="left" vertical="center"/>
    </xf>
    <xf numFmtId="0" fontId="8" fillId="0" borderId="0" xfId="41"/>
    <xf numFmtId="168" fontId="5" fillId="3" borderId="9" xfId="40" applyFill="1" applyBorder="1"/>
    <xf numFmtId="168" fontId="5" fillId="0" borderId="10" xfId="40" applyBorder="1"/>
    <xf numFmtId="0" fontId="9" fillId="4" borderId="11" xfId="41" applyFont="1" applyFill="1" applyBorder="1" applyAlignment="1">
      <alignment horizontal="center" vertical="center"/>
    </xf>
    <xf numFmtId="0" fontId="8" fillId="0" borderId="12" xfId="41" applyBorder="1"/>
    <xf numFmtId="0" fontId="8" fillId="0" borderId="10" xfId="41" applyBorder="1"/>
    <xf numFmtId="168" fontId="5" fillId="6" borderId="13" xfId="40" applyFill="1" applyBorder="1"/>
    <xf numFmtId="0" fontId="9" fillId="6" borderId="9" xfId="41" applyFont="1" applyFill="1" applyBorder="1" applyAlignment="1">
      <alignment horizontal="center" vertical="center"/>
    </xf>
    <xf numFmtId="168" fontId="5" fillId="0" borderId="14" xfId="40" applyBorder="1"/>
    <xf numFmtId="168" fontId="5" fillId="0" borderId="15" xfId="40" applyBorder="1"/>
    <xf numFmtId="168" fontId="5" fillId="3" borderId="9" xfId="40" applyFill="1" applyBorder="1" applyAlignment="1">
      <alignment horizontal="center"/>
    </xf>
    <xf numFmtId="168" fontId="5" fillId="0" borderId="9" xfId="40" applyBorder="1" applyAlignment="1">
      <alignment horizontal="left" indent="1"/>
    </xf>
    <xf numFmtId="168" fontId="5" fillId="0" borderId="14" xfId="40" applyBorder="1" applyAlignment="1">
      <alignment horizontal="center" vertical="center"/>
    </xf>
    <xf numFmtId="168" fontId="5" fillId="0" borderId="17" xfId="40" applyBorder="1"/>
    <xf numFmtId="168" fontId="5" fillId="0" borderId="14" xfId="40" applyBorder="1" applyAlignment="1">
      <alignment horizontal="center"/>
    </xf>
    <xf numFmtId="168" fontId="5" fillId="0" borderId="0" xfId="40" applyAlignment="1">
      <alignment horizontal="center"/>
    </xf>
    <xf numFmtId="0" fontId="8" fillId="0" borderId="9" xfId="41" applyBorder="1"/>
    <xf numFmtId="0" fontId="8" fillId="0" borderId="14" xfId="41" applyBorder="1"/>
    <xf numFmtId="0" fontId="8" fillId="0" borderId="15" xfId="41" applyBorder="1"/>
    <xf numFmtId="169" fontId="5" fillId="0" borderId="9" xfId="40" applyNumberFormat="1" applyBorder="1" applyAlignment="1">
      <alignment horizontal="center"/>
    </xf>
    <xf numFmtId="168" fontId="5" fillId="0" borderId="9" xfId="40" applyBorder="1" applyAlignment="1">
      <alignment horizontal="center"/>
    </xf>
    <xf numFmtId="168" fontId="5" fillId="0" borderId="9" xfId="40" applyBorder="1" applyAlignment="1">
      <alignment horizontal="left"/>
    </xf>
    <xf numFmtId="168" fontId="5" fillId="0" borderId="9" xfId="40" applyBorder="1" applyAlignment="1">
      <alignment horizontal="left" vertical="top" wrapText="1" indent="1"/>
    </xf>
    <xf numFmtId="168" fontId="5" fillId="0" borderId="9" xfId="40" applyBorder="1" applyAlignment="1">
      <alignment horizontal="center" vertical="center"/>
    </xf>
    <xf numFmtId="168" fontId="5" fillId="0" borderId="14" xfId="40" applyBorder="1" applyAlignment="1">
      <alignment vertical="center"/>
    </xf>
    <xf numFmtId="168" fontId="5" fillId="0" borderId="0" xfId="40" applyAlignment="1">
      <alignment horizontal="center" vertical="center"/>
    </xf>
    <xf numFmtId="168" fontId="5" fillId="0" borderId="18" xfId="40" applyBorder="1"/>
    <xf numFmtId="168" fontId="5" fillId="0" borderId="19" xfId="40" applyBorder="1"/>
    <xf numFmtId="168" fontId="5" fillId="0" borderId="19" xfId="40" applyBorder="1" applyAlignment="1">
      <alignment horizontal="left" indent="1"/>
    </xf>
    <xf numFmtId="168" fontId="5" fillId="0" borderId="20" xfId="40" applyBorder="1"/>
    <xf numFmtId="168" fontId="5" fillId="0" borderId="21" xfId="40" applyBorder="1"/>
    <xf numFmtId="168" fontId="5" fillId="0" borderId="22" xfId="40" applyBorder="1"/>
    <xf numFmtId="0" fontId="0" fillId="0" borderId="2" xfId="36" applyFont="1" applyBorder="1" applyAlignment="1">
      <alignment horizontal="center" vertical="center" wrapText="1"/>
    </xf>
    <xf numFmtId="0" fontId="9" fillId="4" borderId="0" xfId="41" applyFont="1" applyFill="1" applyAlignment="1">
      <alignment horizontal="center" vertical="center"/>
    </xf>
    <xf numFmtId="168" fontId="11" fillId="0" borderId="9" xfId="40" applyFont="1" applyBorder="1" applyAlignment="1">
      <alignment horizontal="left" indent="1"/>
    </xf>
    <xf numFmtId="168" fontId="12" fillId="0" borderId="9" xfId="40" applyFont="1" applyBorder="1" applyAlignment="1">
      <alignment horizontal="left" indent="1"/>
    </xf>
    <xf numFmtId="168" fontId="11" fillId="0" borderId="9" xfId="40" applyFont="1" applyBorder="1" applyAlignment="1">
      <alignment horizontal="justify"/>
    </xf>
    <xf numFmtId="168" fontId="13" fillId="0" borderId="9" xfId="40" applyFont="1" applyBorder="1" applyAlignment="1">
      <alignment horizontal="left" indent="1"/>
    </xf>
    <xf numFmtId="0" fontId="0" fillId="0" borderId="6" xfId="0" applyBorder="1" applyAlignment="1">
      <alignment horizontal="center" vertical="center"/>
    </xf>
    <xf numFmtId="0" fontId="11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2" fillId="0" borderId="6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1" fillId="0" borderId="6" xfId="0" applyFont="1" applyBorder="1" applyAlignment="1">
      <alignment vertical="center" wrapText="1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49" fontId="2" fillId="0" borderId="6" xfId="0" applyNumberFormat="1" applyFont="1" applyBorder="1" applyAlignment="1">
      <alignment vertical="center" wrapText="1"/>
    </xf>
    <xf numFmtId="49" fontId="0" fillId="0" borderId="6" xfId="0" applyNumberForma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1" fillId="0" borderId="23" xfId="0" applyFont="1" applyBorder="1" applyAlignment="1">
      <alignment horizontal="center" vertical="center"/>
    </xf>
    <xf numFmtId="0" fontId="0" fillId="0" borderId="6" xfId="0" pivotButton="1" applyBorder="1" applyAlignment="1">
      <alignment horizontal="center" vertical="center"/>
    </xf>
    <xf numFmtId="0" fontId="0" fillId="0" borderId="6" xfId="0" pivotButton="1" applyBorder="1" applyAlignment="1">
      <alignment vertical="center"/>
    </xf>
    <xf numFmtId="0" fontId="0" fillId="0" borderId="6" xfId="0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8" borderId="6" xfId="0" applyFont="1" applyFill="1" applyBorder="1" applyAlignment="1">
      <alignment vertical="center"/>
    </xf>
    <xf numFmtId="0" fontId="15" fillId="9" borderId="6" xfId="0" applyFont="1" applyFill="1" applyBorder="1" applyAlignment="1">
      <alignment vertical="center"/>
    </xf>
    <xf numFmtId="0" fontId="18" fillId="0" borderId="6" xfId="0" applyFont="1" applyBorder="1" applyAlignment="1">
      <alignment horizontal="center" vertical="center"/>
    </xf>
    <xf numFmtId="0" fontId="14" fillId="8" borderId="6" xfId="0" applyFont="1" applyFill="1" applyBorder="1" applyAlignment="1">
      <alignment vertical="center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/>
    </xf>
    <xf numFmtId="0" fontId="2" fillId="0" borderId="27" xfId="0" applyFont="1" applyBorder="1" applyAlignment="1">
      <alignment vertical="center"/>
    </xf>
    <xf numFmtId="0" fontId="2" fillId="0" borderId="27" xfId="0" applyFont="1" applyBorder="1" applyAlignment="1">
      <alignment horizontal="left" vertical="center"/>
    </xf>
    <xf numFmtId="0" fontId="2" fillId="0" borderId="28" xfId="0" applyFont="1" applyBorder="1" applyAlignment="1">
      <alignment vertical="center"/>
    </xf>
    <xf numFmtId="0" fontId="2" fillId="0" borderId="33" xfId="0" applyFont="1" applyBorder="1" applyAlignment="1">
      <alignment horizontal="left" vertical="center"/>
    </xf>
    <xf numFmtId="0" fontId="2" fillId="0" borderId="25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0" borderId="30" xfId="0" applyFont="1" applyBorder="1" applyAlignment="1">
      <alignment vertical="center"/>
    </xf>
    <xf numFmtId="0" fontId="2" fillId="7" borderId="25" xfId="0" applyFont="1" applyFill="1" applyBorder="1" applyAlignment="1">
      <alignment vertical="center"/>
    </xf>
    <xf numFmtId="0" fontId="2" fillId="7" borderId="29" xfId="0" applyFont="1" applyFill="1" applyBorder="1" applyAlignment="1">
      <alignment vertical="center"/>
    </xf>
    <xf numFmtId="0" fontId="2" fillId="7" borderId="30" xfId="0" applyFont="1" applyFill="1" applyBorder="1" applyAlignment="1">
      <alignment vertical="center"/>
    </xf>
    <xf numFmtId="0" fontId="2" fillId="0" borderId="27" xfId="0" applyFont="1" applyBorder="1" applyAlignment="1">
      <alignment horizontal="center" vertical="center" wrapText="1"/>
    </xf>
    <xf numFmtId="0" fontId="21" fillId="7" borderId="29" xfId="0" applyFont="1" applyFill="1" applyBorder="1" applyAlignment="1">
      <alignment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1" fillId="7" borderId="7" xfId="0" applyFont="1" applyFill="1" applyBorder="1" applyAlignment="1">
      <alignment horizontal="center" vertical="center" wrapText="1"/>
    </xf>
    <xf numFmtId="164" fontId="0" fillId="0" borderId="6" xfId="0" applyNumberFormat="1" applyBorder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6" xfId="0" applyBorder="1" applyAlignment="1">
      <alignment horizontal="left" vertical="center"/>
    </xf>
    <xf numFmtId="0" fontId="0" fillId="0" borderId="0" xfId="0" applyAlignment="1">
      <alignment wrapText="1"/>
    </xf>
    <xf numFmtId="170" fontId="14" fillId="0" borderId="6" xfId="0" applyNumberFormat="1" applyFont="1" applyBorder="1" applyAlignment="1">
      <alignment horizontal="center" vertical="center" wrapText="1"/>
    </xf>
    <xf numFmtId="170" fontId="2" fillId="0" borderId="6" xfId="0" applyNumberFormat="1" applyFont="1" applyBorder="1" applyAlignment="1">
      <alignment vertical="center" wrapText="1"/>
    </xf>
    <xf numFmtId="170" fontId="22" fillId="0" borderId="6" xfId="0" applyNumberFormat="1" applyFont="1" applyBorder="1" applyAlignment="1">
      <alignment vertical="center" wrapText="1"/>
    </xf>
    <xf numFmtId="170" fontId="2" fillId="0" borderId="0" xfId="0" applyNumberFormat="1" applyFont="1" applyAlignment="1">
      <alignment vertical="center" wrapText="1"/>
    </xf>
    <xf numFmtId="0" fontId="14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9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6" xfId="0" applyFont="1" applyBorder="1" applyAlignment="1">
      <alignment vertical="center" wrapText="1"/>
    </xf>
    <xf numFmtId="0" fontId="2" fillId="0" borderId="6" xfId="0" applyFont="1" applyBorder="1" applyAlignment="1">
      <alignment horizontal="left" vertical="center" wrapText="1"/>
    </xf>
    <xf numFmtId="49" fontId="2" fillId="0" borderId="6" xfId="0" applyNumberFormat="1" applyFont="1" applyBorder="1" applyAlignment="1">
      <alignment horizontal="left" vertical="center" wrapText="1"/>
    </xf>
    <xf numFmtId="14" fontId="2" fillId="0" borderId="6" xfId="0" applyNumberFormat="1" applyFont="1" applyBorder="1" applyAlignment="1">
      <alignment horizontal="center" vertical="center" wrapText="1"/>
    </xf>
    <xf numFmtId="165" fontId="2" fillId="0" borderId="6" xfId="0" applyNumberFormat="1" applyFont="1" applyBorder="1" applyAlignment="1">
      <alignment horizontal="center" vertical="center" wrapText="1"/>
    </xf>
    <xf numFmtId="167" fontId="2" fillId="0" borderId="6" xfId="0" applyNumberFormat="1" applyFont="1" applyBorder="1" applyAlignment="1">
      <alignment horizontal="center" vertical="center" wrapText="1"/>
    </xf>
    <xf numFmtId="0" fontId="2" fillId="0" borderId="6" xfId="16" applyFont="1" applyBorder="1" applyAlignment="1">
      <alignment horizontal="left" vertical="center" wrapText="1"/>
    </xf>
    <xf numFmtId="0" fontId="2" fillId="0" borderId="6" xfId="1" applyFont="1" applyBorder="1" applyAlignment="1">
      <alignment horizontal="left" vertical="center" wrapText="1"/>
    </xf>
    <xf numFmtId="0" fontId="2" fillId="0" borderId="6" xfId="29" applyFont="1" applyBorder="1" applyAlignment="1">
      <alignment horizontal="left" vertical="center" wrapText="1"/>
    </xf>
    <xf numFmtId="14" fontId="20" fillId="0" borderId="6" xfId="0" applyNumberFormat="1" applyFont="1" applyBorder="1" applyAlignment="1">
      <alignment horizontal="center" vertical="center"/>
    </xf>
    <xf numFmtId="0" fontId="20" fillId="0" borderId="6" xfId="0" applyFont="1" applyBorder="1" applyAlignment="1">
      <alignment vertical="center" wrapText="1"/>
    </xf>
    <xf numFmtId="17" fontId="2" fillId="0" borderId="6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49" fontId="11" fillId="0" borderId="6" xfId="0" applyNumberFormat="1" applyFont="1" applyBorder="1" applyAlignment="1">
      <alignment horizontal="left" vertical="center" wrapText="1"/>
    </xf>
    <xf numFmtId="1" fontId="14" fillId="0" borderId="6" xfId="0" applyNumberFormat="1" applyFont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/>
    </xf>
    <xf numFmtId="0" fontId="14" fillId="0" borderId="6" xfId="39" applyFont="1" applyBorder="1" applyAlignment="1">
      <alignment horizontal="center" vertical="center"/>
    </xf>
    <xf numFmtId="0" fontId="14" fillId="0" borderId="6" xfId="9" applyFont="1" applyBorder="1" applyAlignment="1">
      <alignment horizontal="center" vertical="center"/>
    </xf>
    <xf numFmtId="0" fontId="14" fillId="0" borderId="6" xfId="15" applyFont="1" applyBorder="1" applyAlignment="1">
      <alignment horizontal="center" vertical="center"/>
    </xf>
    <xf numFmtId="0" fontId="14" fillId="0" borderId="6" xfId="19" applyFont="1" applyBorder="1" applyAlignment="1">
      <alignment horizontal="center" vertical="center"/>
    </xf>
    <xf numFmtId="0" fontId="14" fillId="0" borderId="6" xfId="28" applyFont="1" applyBorder="1" applyAlignment="1">
      <alignment horizontal="center" vertical="center"/>
    </xf>
    <xf numFmtId="0" fontId="24" fillId="0" borderId="6" xfId="0" applyFont="1" applyBorder="1" applyAlignment="1">
      <alignment horizontal="center" vertical="center" wrapText="1"/>
    </xf>
    <xf numFmtId="0" fontId="14" fillId="0" borderId="6" xfId="0" applyFont="1" applyBorder="1" applyAlignment="1" applyProtection="1">
      <alignment horizontal="center" vertical="center" wrapText="1"/>
      <protection locked="0"/>
    </xf>
    <xf numFmtId="170" fontId="15" fillId="8" borderId="6" xfId="0" applyNumberFormat="1" applyFont="1" applyFill="1" applyBorder="1" applyAlignment="1">
      <alignment vertical="center" wrapText="1"/>
    </xf>
    <xf numFmtId="170" fontId="23" fillId="0" borderId="6" xfId="0" applyNumberFormat="1" applyFont="1" applyBorder="1" applyAlignment="1">
      <alignment vertical="center" wrapText="1"/>
    </xf>
    <xf numFmtId="0" fontId="0" fillId="0" borderId="6" xfId="0" pivotButton="1" applyBorder="1" applyAlignment="1">
      <alignment horizontal="center" vertical="center" wrapText="1"/>
    </xf>
    <xf numFmtId="0" fontId="2" fillId="0" borderId="29" xfId="0" applyFont="1" applyBorder="1" applyAlignment="1">
      <alignment vertical="center" wrapText="1"/>
    </xf>
    <xf numFmtId="0" fontId="2" fillId="0" borderId="30" xfId="0" applyFont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0" fontId="2" fillId="0" borderId="35" xfId="0" applyFont="1" applyBorder="1" applyAlignment="1">
      <alignment vertical="center"/>
    </xf>
    <xf numFmtId="0" fontId="2" fillId="0" borderId="24" xfId="0" applyFont="1" applyBorder="1" applyAlignment="1">
      <alignment vertical="center"/>
    </xf>
    <xf numFmtId="0" fontId="2" fillId="7" borderId="24" xfId="0" applyFont="1" applyFill="1" applyBorder="1" applyAlignment="1">
      <alignment vertical="center"/>
    </xf>
    <xf numFmtId="164" fontId="2" fillId="0" borderId="24" xfId="0" applyNumberFormat="1" applyFont="1" applyBorder="1" applyAlignment="1">
      <alignment vertical="center"/>
    </xf>
    <xf numFmtId="164" fontId="2" fillId="7" borderId="24" xfId="0" applyNumberFormat="1" applyFont="1" applyFill="1" applyBorder="1" applyAlignment="1">
      <alignment vertical="center"/>
    </xf>
    <xf numFmtId="164" fontId="2" fillId="11" borderId="24" xfId="0" applyNumberFormat="1" applyFont="1" applyFill="1" applyBorder="1" applyAlignment="1">
      <alignment vertical="center"/>
    </xf>
    <xf numFmtId="0" fontId="11" fillId="0" borderId="7" xfId="0" applyFont="1" applyBorder="1" applyAlignment="1">
      <alignment horizontal="center" vertical="center" wrapText="1"/>
    </xf>
    <xf numFmtId="0" fontId="11" fillId="0" borderId="29" xfId="0" applyFont="1" applyBorder="1" applyAlignment="1">
      <alignment vertical="center"/>
    </xf>
    <xf numFmtId="164" fontId="11" fillId="0" borderId="24" xfId="0" applyNumberFormat="1" applyFont="1" applyBorder="1" applyAlignment="1">
      <alignment vertical="center"/>
    </xf>
    <xf numFmtId="0" fontId="11" fillId="0" borderId="29" xfId="0" applyFont="1" applyBorder="1" applyAlignment="1">
      <alignment horizontal="left" vertical="center" wrapText="1"/>
    </xf>
    <xf numFmtId="0" fontId="2" fillId="7" borderId="0" xfId="0" applyFont="1" applyFill="1" applyAlignment="1">
      <alignment vertical="center"/>
    </xf>
    <xf numFmtId="0" fontId="2" fillId="11" borderId="30" xfId="0" applyFont="1" applyFill="1" applyBorder="1" applyAlignment="1">
      <alignment vertical="center"/>
    </xf>
    <xf numFmtId="164" fontId="2" fillId="0" borderId="30" xfId="0" applyNumberFormat="1" applyFont="1" applyBorder="1" applyAlignment="1">
      <alignment vertical="center"/>
    </xf>
    <xf numFmtId="164" fontId="14" fillId="7" borderId="24" xfId="0" applyNumberFormat="1" applyFont="1" applyFill="1" applyBorder="1" applyAlignment="1">
      <alignment vertical="center"/>
    </xf>
    <xf numFmtId="164" fontId="27" fillId="7" borderId="24" xfId="0" applyNumberFormat="1" applyFont="1" applyFill="1" applyBorder="1" applyAlignment="1">
      <alignment vertical="center"/>
    </xf>
    <xf numFmtId="164" fontId="14" fillId="7" borderId="30" xfId="0" applyNumberFormat="1" applyFont="1" applyFill="1" applyBorder="1" applyAlignment="1">
      <alignment vertical="center"/>
    </xf>
    <xf numFmtId="164" fontId="14" fillId="0" borderId="24" xfId="0" applyNumberFormat="1" applyFont="1" applyBorder="1" applyAlignment="1">
      <alignment vertical="center"/>
    </xf>
    <xf numFmtId="0" fontId="12" fillId="0" borderId="7" xfId="0" applyFont="1" applyBorder="1" applyAlignment="1">
      <alignment horizontal="center" vertical="center" wrapText="1"/>
    </xf>
    <xf numFmtId="0" fontId="12" fillId="0" borderId="29" xfId="0" applyFont="1" applyBorder="1" applyAlignment="1">
      <alignment vertical="center"/>
    </xf>
    <xf numFmtId="164" fontId="12" fillId="0" borderId="24" xfId="0" applyNumberFormat="1" applyFont="1" applyBorder="1" applyAlignment="1">
      <alignment vertical="center"/>
    </xf>
    <xf numFmtId="164" fontId="28" fillId="7" borderId="24" xfId="0" applyNumberFormat="1" applyFont="1" applyFill="1" applyBorder="1" applyAlignment="1">
      <alignment vertical="center"/>
    </xf>
    <xf numFmtId="0" fontId="13" fillId="0" borderId="29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29" xfId="0" applyFont="1" applyBorder="1" applyAlignment="1">
      <alignment vertical="center"/>
    </xf>
    <xf numFmtId="164" fontId="13" fillId="0" borderId="24" xfId="0" applyNumberFormat="1" applyFont="1" applyBorder="1" applyAlignment="1">
      <alignment vertical="center"/>
    </xf>
    <xf numFmtId="164" fontId="29" fillId="7" borderId="24" xfId="0" applyNumberFormat="1" applyFont="1" applyFill="1" applyBorder="1" applyAlignment="1">
      <alignment vertical="center"/>
    </xf>
    <xf numFmtId="0" fontId="2" fillId="0" borderId="36" xfId="0" applyFont="1" applyBorder="1" applyAlignment="1">
      <alignment vertical="center"/>
    </xf>
    <xf numFmtId="0" fontId="2" fillId="0" borderId="37" xfId="0" applyFont="1" applyBorder="1" applyAlignment="1">
      <alignment vertical="center"/>
    </xf>
    <xf numFmtId="0" fontId="2" fillId="0" borderId="38" xfId="0" applyFont="1" applyBorder="1" applyAlignment="1">
      <alignment vertical="center"/>
    </xf>
    <xf numFmtId="0" fontId="2" fillId="0" borderId="27" xfId="0" applyFont="1" applyBorder="1" applyAlignment="1">
      <alignment vertical="center" wrapText="1"/>
    </xf>
    <xf numFmtId="0" fontId="2" fillId="0" borderId="35" xfId="0" applyFont="1" applyBorder="1" applyAlignment="1">
      <alignment vertical="center" wrapText="1"/>
    </xf>
    <xf numFmtId="0" fontId="2" fillId="0" borderId="28" xfId="0" applyFont="1" applyBorder="1" applyAlignment="1">
      <alignment vertical="center" wrapText="1"/>
    </xf>
    <xf numFmtId="4" fontId="14" fillId="0" borderId="0" xfId="0" applyNumberFormat="1" applyFont="1" applyAlignment="1">
      <alignment vertical="center"/>
    </xf>
    <xf numFmtId="4" fontId="30" fillId="0" borderId="0" xfId="0" applyNumberFormat="1" applyFont="1" applyAlignment="1">
      <alignment vertical="center"/>
    </xf>
    <xf numFmtId="0" fontId="2" fillId="0" borderId="0" xfId="0" applyFont="1" applyAlignment="1">
      <alignment horizontal="right" vertical="center" wrapText="1"/>
    </xf>
    <xf numFmtId="0" fontId="2" fillId="0" borderId="35" xfId="0" applyFont="1" applyBorder="1" applyAlignment="1">
      <alignment horizontal="left" vertical="center"/>
    </xf>
    <xf numFmtId="164" fontId="14" fillId="7" borderId="6" xfId="0" applyNumberFormat="1" applyFont="1" applyFill="1" applyBorder="1" applyAlignment="1">
      <alignment vertical="center"/>
    </xf>
    <xf numFmtId="171" fontId="14" fillId="0" borderId="0" xfId="0" applyNumberFormat="1" applyFont="1" applyAlignment="1">
      <alignment vertical="center"/>
    </xf>
    <xf numFmtId="171" fontId="2" fillId="0" borderId="0" xfId="0" applyNumberFormat="1" applyFont="1" applyAlignment="1">
      <alignment vertical="center"/>
    </xf>
    <xf numFmtId="172" fontId="14" fillId="0" borderId="0" xfId="0" applyNumberFormat="1" applyFont="1" applyAlignment="1">
      <alignment vertical="center"/>
    </xf>
    <xf numFmtId="172" fontId="2" fillId="0" borderId="0" xfId="0" applyNumberFormat="1" applyFont="1" applyAlignment="1">
      <alignment vertical="center"/>
    </xf>
    <xf numFmtId="172" fontId="14" fillId="0" borderId="39" xfId="0" applyNumberFormat="1" applyFont="1" applyBorder="1" applyAlignment="1">
      <alignment vertical="center"/>
    </xf>
    <xf numFmtId="172" fontId="14" fillId="0" borderId="41" xfId="0" applyNumberFormat="1" applyFont="1" applyBorder="1" applyAlignment="1">
      <alignment vertical="center"/>
    </xf>
    <xf numFmtId="172" fontId="2" fillId="0" borderId="42" xfId="0" applyNumberFormat="1" applyFont="1" applyBorder="1" applyAlignment="1">
      <alignment vertical="center"/>
    </xf>
    <xf numFmtId="0" fontId="2" fillId="0" borderId="43" xfId="0" applyFont="1" applyBorder="1" applyAlignment="1">
      <alignment horizontal="right" vertical="center" wrapText="1"/>
    </xf>
    <xf numFmtId="172" fontId="2" fillId="0" borderId="44" xfId="0" applyNumberFormat="1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2" fillId="0" borderId="43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left" vertical="center" wrapText="1"/>
    </xf>
    <xf numFmtId="0" fontId="2" fillId="0" borderId="46" xfId="0" applyFont="1" applyBorder="1" applyAlignment="1">
      <alignment horizontal="left" vertical="center" wrapText="1"/>
    </xf>
    <xf numFmtId="0" fontId="2" fillId="0" borderId="46" xfId="0" applyFont="1" applyBorder="1" applyAlignment="1">
      <alignment vertical="center"/>
    </xf>
    <xf numFmtId="4" fontId="14" fillId="0" borderId="46" xfId="0" applyNumberFormat="1" applyFont="1" applyBorder="1" applyAlignment="1">
      <alignment vertical="center"/>
    </xf>
    <xf numFmtId="0" fontId="2" fillId="0" borderId="47" xfId="0" applyFont="1" applyBorder="1" applyAlignment="1">
      <alignment vertical="center"/>
    </xf>
    <xf numFmtId="1" fontId="14" fillId="7" borderId="6" xfId="0" applyNumberFormat="1" applyFont="1" applyFill="1" applyBorder="1" applyAlignment="1">
      <alignment vertical="center"/>
    </xf>
    <xf numFmtId="0" fontId="14" fillId="7" borderId="29" xfId="0" applyFont="1" applyFill="1" applyBorder="1" applyAlignment="1">
      <alignment vertical="center"/>
    </xf>
    <xf numFmtId="0" fontId="14" fillId="7" borderId="24" xfId="0" applyFont="1" applyFill="1" applyBorder="1" applyAlignment="1">
      <alignment vertical="center"/>
    </xf>
    <xf numFmtId="0" fontId="14" fillId="7" borderId="30" xfId="0" applyFont="1" applyFill="1" applyBorder="1" applyAlignment="1">
      <alignment vertical="center"/>
    </xf>
    <xf numFmtId="0" fontId="14" fillId="7" borderId="25" xfId="0" applyFont="1" applyFill="1" applyBorder="1" applyAlignment="1">
      <alignment vertical="center"/>
    </xf>
    <xf numFmtId="1" fontId="14" fillId="7" borderId="29" xfId="0" applyNumberFormat="1" applyFont="1" applyFill="1" applyBorder="1" applyAlignment="1">
      <alignment vertical="center"/>
    </xf>
    <xf numFmtId="0" fontId="14" fillId="7" borderId="48" xfId="0" applyFont="1" applyFill="1" applyBorder="1" applyAlignment="1">
      <alignment vertical="center"/>
    </xf>
    <xf numFmtId="0" fontId="14" fillId="7" borderId="6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1" fontId="14" fillId="0" borderId="31" xfId="0" applyNumberFormat="1" applyFont="1" applyBorder="1" applyAlignment="1">
      <alignment vertical="center"/>
    </xf>
    <xf numFmtId="173" fontId="14" fillId="0" borderId="31" xfId="0" applyNumberFormat="1" applyFont="1" applyBorder="1" applyAlignment="1">
      <alignment vertical="center"/>
    </xf>
    <xf numFmtId="0" fontId="0" fillId="10" borderId="0" xfId="0" applyFill="1" applyAlignment="1">
      <alignment horizontal="right" vertical="center"/>
    </xf>
    <xf numFmtId="0" fontId="2" fillId="12" borderId="54" xfId="0" applyFont="1" applyFill="1" applyBorder="1" applyAlignment="1">
      <alignment horizontal="right" vertical="center" wrapText="1"/>
    </xf>
    <xf numFmtId="0" fontId="2" fillId="12" borderId="55" xfId="0" applyFont="1" applyFill="1" applyBorder="1" applyAlignment="1">
      <alignment horizontal="right" vertical="center" wrapText="1"/>
    </xf>
    <xf numFmtId="0" fontId="21" fillId="7" borderId="55" xfId="0" applyFont="1" applyFill="1" applyBorder="1" applyAlignment="1">
      <alignment horizontal="right" vertical="center" wrapText="1"/>
    </xf>
    <xf numFmtId="1" fontId="21" fillId="7" borderId="55" xfId="0" applyNumberFormat="1" applyFont="1" applyFill="1" applyBorder="1" applyAlignment="1">
      <alignment horizontal="right" vertical="center" wrapText="1"/>
    </xf>
    <xf numFmtId="0" fontId="2" fillId="12" borderId="40" xfId="0" applyFont="1" applyFill="1" applyBorder="1" applyAlignment="1">
      <alignment horizontal="right" vertical="center" wrapText="1"/>
    </xf>
    <xf numFmtId="0" fontId="0" fillId="0" borderId="28" xfId="0" applyBorder="1" applyAlignment="1">
      <alignment horizontal="center" vertical="center" wrapText="1"/>
    </xf>
    <xf numFmtId="164" fontId="0" fillId="0" borderId="30" xfId="0" applyNumberFormat="1" applyBorder="1" applyAlignment="1">
      <alignment vertical="center"/>
    </xf>
    <xf numFmtId="164" fontId="0" fillId="7" borderId="30" xfId="0" applyNumberFormat="1" applyFill="1" applyBorder="1" applyAlignment="1">
      <alignment vertical="center"/>
    </xf>
    <xf numFmtId="164" fontId="1" fillId="7" borderId="30" xfId="0" applyNumberFormat="1" applyFont="1" applyFill="1" applyBorder="1" applyAlignment="1">
      <alignment vertical="center"/>
    </xf>
    <xf numFmtId="173" fontId="14" fillId="0" borderId="49" xfId="0" applyNumberFormat="1" applyFont="1" applyBorder="1" applyAlignment="1">
      <alignment vertical="center"/>
    </xf>
    <xf numFmtId="174" fontId="14" fillId="0" borderId="31" xfId="0" applyNumberFormat="1" applyFont="1" applyBorder="1" applyAlignment="1">
      <alignment vertical="center"/>
    </xf>
    <xf numFmtId="171" fontId="0" fillId="0" borderId="0" xfId="0" applyNumberFormat="1" applyAlignment="1">
      <alignment vertical="center"/>
    </xf>
    <xf numFmtId="175" fontId="14" fillId="0" borderId="0" xfId="0" applyNumberFormat="1" applyFont="1" applyAlignment="1">
      <alignment vertical="center"/>
    </xf>
    <xf numFmtId="175" fontId="2" fillId="0" borderId="0" xfId="0" applyNumberFormat="1" applyFont="1" applyAlignment="1">
      <alignment vertical="center"/>
    </xf>
    <xf numFmtId="0" fontId="1" fillId="0" borderId="6" xfId="0" applyFont="1" applyBorder="1" applyAlignment="1">
      <alignment horizontal="center" vertical="center" wrapText="1"/>
    </xf>
    <xf numFmtId="0" fontId="26" fillId="8" borderId="6" xfId="0" applyFont="1" applyFill="1" applyBorder="1" applyAlignment="1">
      <alignment horizontal="center" vertical="center" wrapText="1"/>
    </xf>
    <xf numFmtId="176" fontId="15" fillId="8" borderId="6" xfId="0" applyNumberFormat="1" applyFont="1" applyFill="1" applyBorder="1" applyAlignment="1">
      <alignment vertical="center" wrapText="1"/>
    </xf>
    <xf numFmtId="176" fontId="23" fillId="0" borderId="6" xfId="0" applyNumberFormat="1" applyFont="1" applyBorder="1" applyAlignment="1">
      <alignment vertical="center" wrapText="1"/>
    </xf>
    <xf numFmtId="176" fontId="22" fillId="0" borderId="6" xfId="0" applyNumberFormat="1" applyFont="1" applyBorder="1" applyAlignment="1">
      <alignment vertical="center" wrapText="1"/>
    </xf>
    <xf numFmtId="176" fontId="2" fillId="0" borderId="6" xfId="0" applyNumberFormat="1" applyFont="1" applyBorder="1" applyAlignment="1">
      <alignment vertical="center" wrapText="1"/>
    </xf>
    <xf numFmtId="176" fontId="0" fillId="0" borderId="6" xfId="0" applyNumberFormat="1" applyBorder="1" applyAlignment="1">
      <alignment vertical="center" wrapText="1"/>
    </xf>
    <xf numFmtId="176" fontId="0" fillId="0" borderId="6" xfId="0" applyNumberFormat="1" applyBorder="1" applyAlignment="1">
      <alignment horizontal="left" vertical="center" wrapText="1"/>
    </xf>
    <xf numFmtId="176" fontId="15" fillId="13" borderId="6" xfId="0" applyNumberFormat="1" applyFont="1" applyFill="1" applyBorder="1" applyAlignment="1">
      <alignment vertical="center" wrapText="1"/>
    </xf>
    <xf numFmtId="176" fontId="11" fillId="0" borderId="6" xfId="0" applyNumberFormat="1" applyFont="1" applyBorder="1" applyAlignment="1">
      <alignment vertical="center" wrapText="1"/>
    </xf>
    <xf numFmtId="176" fontId="31" fillId="0" borderId="6" xfId="0" applyNumberFormat="1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6" xfId="0" applyBorder="1" applyAlignment="1">
      <alignment horizontal="left" vertical="center" wrapText="1"/>
    </xf>
    <xf numFmtId="49" fontId="32" fillId="0" borderId="6" xfId="0" applyNumberFormat="1" applyFont="1" applyBorder="1" applyAlignment="1">
      <alignment horizontal="left" vertical="center" wrapText="1"/>
    </xf>
    <xf numFmtId="0" fontId="14" fillId="11" borderId="6" xfId="0" applyFont="1" applyFill="1" applyBorder="1" applyAlignment="1">
      <alignment horizontal="center" vertical="center" wrapText="1"/>
    </xf>
    <xf numFmtId="0" fontId="0" fillId="11" borderId="6" xfId="0" applyFill="1" applyBorder="1" applyAlignment="1">
      <alignment vertical="center"/>
    </xf>
    <xf numFmtId="0" fontId="0" fillId="11" borderId="6" xfId="0" applyFill="1" applyBorder="1" applyAlignment="1">
      <alignment vertical="center" wrapText="1"/>
    </xf>
    <xf numFmtId="0" fontId="34" fillId="11" borderId="6" xfId="0" applyFont="1" applyFill="1" applyBorder="1" applyAlignment="1">
      <alignment vertical="center" wrapText="1"/>
    </xf>
    <xf numFmtId="0" fontId="2" fillId="11" borderId="6" xfId="0" applyFont="1" applyFill="1" applyBorder="1" applyAlignment="1">
      <alignment horizontal="left" vertical="center" wrapText="1"/>
    </xf>
    <xf numFmtId="0" fontId="0" fillId="11" borderId="0" xfId="0" applyFill="1" applyAlignment="1">
      <alignment vertical="center" wrapText="1"/>
    </xf>
    <xf numFmtId="0" fontId="2" fillId="11" borderId="6" xfId="0" applyFont="1" applyFill="1" applyBorder="1" applyAlignment="1">
      <alignment vertical="center" wrapText="1"/>
    </xf>
    <xf numFmtId="49" fontId="2" fillId="11" borderId="6" xfId="0" applyNumberFormat="1" applyFont="1" applyFill="1" applyBorder="1" applyAlignment="1">
      <alignment horizontal="left" vertical="center" wrapText="1"/>
    </xf>
    <xf numFmtId="0" fontId="0" fillId="11" borderId="0" xfId="0" applyFill="1" applyAlignment="1">
      <alignment vertical="center"/>
    </xf>
    <xf numFmtId="0" fontId="2" fillId="11" borderId="6" xfId="0" applyFont="1" applyFill="1" applyBorder="1" applyAlignment="1">
      <alignment horizontal="left" vertical="center"/>
    </xf>
    <xf numFmtId="0" fontId="2" fillId="11" borderId="0" xfId="0" applyFont="1" applyFill="1" applyAlignment="1">
      <alignment horizontal="left" vertical="center" wrapText="1"/>
    </xf>
    <xf numFmtId="0" fontId="34" fillId="11" borderId="0" xfId="0" applyFont="1" applyFill="1" applyAlignment="1">
      <alignment vertical="center" wrapText="1"/>
    </xf>
    <xf numFmtId="0" fontId="32" fillId="11" borderId="6" xfId="0" applyFont="1" applyFill="1" applyBorder="1" applyAlignment="1">
      <alignment vertical="center" wrapText="1"/>
    </xf>
    <xf numFmtId="0" fontId="39" fillId="0" borderId="0" xfId="0" applyFont="1" applyAlignment="1">
      <alignment vertical="center"/>
    </xf>
    <xf numFmtId="0" fontId="40" fillId="0" borderId="6" xfId="0" applyFont="1" applyBorder="1" applyAlignment="1">
      <alignment horizontal="center" vertical="center" wrapText="1"/>
    </xf>
    <xf numFmtId="0" fontId="40" fillId="0" borderId="6" xfId="0" applyFont="1" applyBorder="1" applyAlignment="1">
      <alignment horizontal="left" vertical="center" wrapText="1"/>
    </xf>
    <xf numFmtId="0" fontId="40" fillId="0" borderId="6" xfId="0" applyFont="1" applyBorder="1" applyAlignment="1">
      <alignment vertical="center" wrapText="1"/>
    </xf>
    <xf numFmtId="0" fontId="39" fillId="0" borderId="0" xfId="0" applyFont="1" applyAlignment="1">
      <alignment vertical="center" wrapText="1"/>
    </xf>
    <xf numFmtId="0" fontId="38" fillId="0" borderId="6" xfId="0" applyFont="1" applyBorder="1" applyAlignment="1">
      <alignment horizontal="center" vertical="center" wrapText="1"/>
    </xf>
    <xf numFmtId="0" fontId="38" fillId="0" borderId="6" xfId="0" applyFont="1" applyBorder="1" applyAlignment="1">
      <alignment vertical="center" wrapText="1"/>
    </xf>
    <xf numFmtId="0" fontId="41" fillId="0" borderId="6" xfId="0" applyFont="1" applyBorder="1" applyAlignment="1">
      <alignment horizontal="center" vertical="center" wrapText="1"/>
    </xf>
    <xf numFmtId="0" fontId="38" fillId="0" borderId="6" xfId="0" applyFont="1" applyBorder="1" applyAlignment="1">
      <alignment horizontal="left" vertical="center" wrapText="1"/>
    </xf>
    <xf numFmtId="0" fontId="42" fillId="0" borderId="6" xfId="0" applyFont="1" applyBorder="1" applyAlignment="1">
      <alignment vertical="center" readingOrder="1"/>
    </xf>
    <xf numFmtId="0" fontId="38" fillId="0" borderId="6" xfId="0" applyFont="1" applyBorder="1" applyAlignment="1">
      <alignment vertical="center"/>
    </xf>
    <xf numFmtId="0" fontId="38" fillId="7" borderId="6" xfId="0" applyFont="1" applyFill="1" applyBorder="1" applyAlignment="1">
      <alignment horizontal="center" vertical="center" wrapText="1"/>
    </xf>
    <xf numFmtId="0" fontId="36" fillId="0" borderId="6" xfId="0" applyFont="1" applyBorder="1" applyAlignment="1">
      <alignment horizontal="center" vertical="center"/>
    </xf>
    <xf numFmtId="0" fontId="38" fillId="0" borderId="6" xfId="0" applyFont="1" applyBorder="1" applyAlignment="1">
      <alignment horizontal="left" vertical="center"/>
    </xf>
    <xf numFmtId="0" fontId="41" fillId="0" borderId="6" xfId="0" applyFont="1" applyBorder="1" applyAlignment="1">
      <alignment horizontal="center" vertical="center"/>
    </xf>
    <xf numFmtId="0" fontId="35" fillId="0" borderId="6" xfId="0" applyFont="1" applyBorder="1" applyAlignment="1">
      <alignment vertical="center" wrapText="1"/>
    </xf>
    <xf numFmtId="0" fontId="43" fillId="0" borderId="0" xfId="0" applyFont="1" applyAlignment="1">
      <alignment vertical="center" wrapText="1"/>
    </xf>
    <xf numFmtId="0" fontId="39" fillId="0" borderId="0" xfId="0" applyFont="1" applyAlignment="1">
      <alignment horizontal="left" vertical="center" wrapText="1"/>
    </xf>
    <xf numFmtId="0" fontId="37" fillId="0" borderId="0" xfId="0" applyFont="1" applyAlignment="1">
      <alignment vertical="center" wrapText="1"/>
    </xf>
    <xf numFmtId="0" fontId="36" fillId="0" borderId="41" xfId="0" applyFont="1" applyBorder="1"/>
    <xf numFmtId="0" fontId="0" fillId="7" borderId="6" xfId="0" applyFill="1" applyBorder="1"/>
    <xf numFmtId="0" fontId="0" fillId="7" borderId="6" xfId="0" applyFill="1" applyBorder="1" applyAlignment="1">
      <alignment vertical="center"/>
    </xf>
    <xf numFmtId="0" fontId="0" fillId="7" borderId="62" xfId="0" applyFill="1" applyBorder="1"/>
    <xf numFmtId="0" fontId="0" fillId="0" borderId="56" xfId="0" applyBorder="1"/>
    <xf numFmtId="0" fontId="36" fillId="0" borderId="42" xfId="0" applyFont="1" applyBorder="1" applyAlignment="1">
      <alignment horizontal="center"/>
    </xf>
    <xf numFmtId="0" fontId="0" fillId="0" borderId="57" xfId="0" applyBorder="1"/>
    <xf numFmtId="0" fontId="0" fillId="0" borderId="58" xfId="0" applyBorder="1" applyAlignment="1">
      <alignment vertical="center" wrapText="1"/>
    </xf>
    <xf numFmtId="0" fontId="0" fillId="0" borderId="58" xfId="0" applyBorder="1"/>
    <xf numFmtId="0" fontId="0" fillId="0" borderId="49" xfId="0" applyBorder="1"/>
    <xf numFmtId="0" fontId="1" fillId="7" borderId="33" xfId="0" applyFont="1" applyFill="1" applyBorder="1"/>
    <xf numFmtId="0" fontId="1" fillId="7" borderId="25" xfId="0" applyFont="1" applyFill="1" applyBorder="1" applyAlignment="1">
      <alignment vertical="center"/>
    </xf>
    <xf numFmtId="0" fontId="1" fillId="7" borderId="25" xfId="0" applyFont="1" applyFill="1" applyBorder="1"/>
    <xf numFmtId="0" fontId="0" fillId="0" borderId="25" xfId="0" applyBorder="1"/>
    <xf numFmtId="0" fontId="0" fillId="0" borderId="63" xfId="0" applyBorder="1"/>
    <xf numFmtId="0" fontId="1" fillId="0" borderId="61" xfId="0" applyFont="1" applyBorder="1" applyAlignment="1">
      <alignment horizontal="center" vertical="center"/>
    </xf>
    <xf numFmtId="0" fontId="1" fillId="7" borderId="57" xfId="0" applyFont="1" applyFill="1" applyBorder="1"/>
    <xf numFmtId="0" fontId="1" fillId="7" borderId="58" xfId="0" applyFont="1" applyFill="1" applyBorder="1" applyAlignment="1">
      <alignment vertical="center"/>
    </xf>
    <xf numFmtId="0" fontId="1" fillId="7" borderId="58" xfId="0" applyFont="1" applyFill="1" applyBorder="1"/>
    <xf numFmtId="0" fontId="0" fillId="7" borderId="58" xfId="0" applyFill="1" applyBorder="1"/>
    <xf numFmtId="0" fontId="0" fillId="0" borderId="60" xfId="0" applyBorder="1"/>
    <xf numFmtId="0" fontId="0" fillId="11" borderId="59" xfId="0" applyFill="1" applyBorder="1"/>
    <xf numFmtId="0" fontId="0" fillId="11" borderId="60" xfId="0" applyFill="1" applyBorder="1"/>
    <xf numFmtId="0" fontId="0" fillId="11" borderId="34" xfId="0" applyFill="1" applyBorder="1"/>
    <xf numFmtId="0" fontId="25" fillId="0" borderId="26" xfId="0" applyFont="1" applyBorder="1" applyAlignment="1">
      <alignment horizontal="center" vertical="center" wrapText="1"/>
    </xf>
    <xf numFmtId="168" fontId="6" fillId="2" borderId="8" xfId="40" applyFont="1" applyFill="1" applyBorder="1" applyAlignment="1">
      <alignment horizontal="center" vertical="top"/>
    </xf>
    <xf numFmtId="168" fontId="10" fillId="5" borderId="11" xfId="40" applyFont="1" applyFill="1" applyBorder="1" applyAlignment="1">
      <alignment horizontal="center" vertical="center"/>
    </xf>
    <xf numFmtId="168" fontId="5" fillId="0" borderId="16" xfId="40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38" fillId="0" borderId="6" xfId="0" applyFont="1" applyBorder="1" applyAlignment="1">
      <alignment horizontal="left" vertical="center" wrapText="1"/>
    </xf>
    <xf numFmtId="0" fontId="38" fillId="0" borderId="6" xfId="0" applyFont="1" applyBorder="1" applyAlignment="1">
      <alignment horizontal="center" vertical="center"/>
    </xf>
    <xf numFmtId="0" fontId="38" fillId="0" borderId="6" xfId="0" applyFont="1" applyBorder="1" applyAlignment="1">
      <alignment horizontal="center" vertical="center" wrapText="1"/>
    </xf>
    <xf numFmtId="0" fontId="44" fillId="0" borderId="0" xfId="0" applyFont="1" applyAlignment="1">
      <alignment horizontal="left" vertical="center" wrapText="1"/>
    </xf>
    <xf numFmtId="0" fontId="44" fillId="0" borderId="26" xfId="0" applyFont="1" applyBorder="1" applyAlignment="1">
      <alignment horizontal="center" vertical="center" wrapText="1"/>
    </xf>
    <xf numFmtId="0" fontId="0" fillId="0" borderId="58" xfId="0" applyBorder="1" applyAlignment="1">
      <alignment horizontal="left" wrapText="1"/>
    </xf>
    <xf numFmtId="0" fontId="25" fillId="0" borderId="34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2" fillId="0" borderId="29" xfId="0" applyFont="1" applyBorder="1" applyAlignment="1">
      <alignment horizontal="left" vertical="center" wrapText="1"/>
    </xf>
    <xf numFmtId="0" fontId="14" fillId="0" borderId="43" xfId="0" applyFont="1" applyBorder="1" applyAlignment="1">
      <alignment horizontal="right" vertical="center" wrapText="1"/>
    </xf>
    <xf numFmtId="0" fontId="14" fillId="0" borderId="0" xfId="0" applyFont="1" applyAlignment="1">
      <alignment horizontal="right" vertical="center" wrapText="1"/>
    </xf>
    <xf numFmtId="0" fontId="2" fillId="0" borderId="43" xfId="0" applyFont="1" applyBorder="1" applyAlignment="1">
      <alignment horizontal="right" vertical="center" wrapText="1"/>
    </xf>
    <xf numFmtId="0" fontId="2" fillId="0" borderId="0" xfId="0" applyFont="1" applyAlignment="1">
      <alignment horizontal="right" vertical="center" wrapText="1"/>
    </xf>
    <xf numFmtId="0" fontId="2" fillId="0" borderId="40" xfId="0" applyFont="1" applyBorder="1" applyAlignment="1">
      <alignment horizontal="right" vertical="center" wrapText="1"/>
    </xf>
    <xf numFmtId="0" fontId="2" fillId="0" borderId="41" xfId="0" applyFont="1" applyBorder="1" applyAlignment="1">
      <alignment horizontal="right" vertical="center" wrapText="1"/>
    </xf>
    <xf numFmtId="0" fontId="14" fillId="0" borderId="50" xfId="0" applyFont="1" applyBorder="1" applyAlignment="1">
      <alignment horizontal="right" vertical="center" wrapText="1"/>
    </xf>
    <xf numFmtId="0" fontId="14" fillId="0" borderId="51" xfId="0" applyFont="1" applyBorder="1" applyAlignment="1">
      <alignment horizontal="right" vertical="center" wrapText="1"/>
    </xf>
    <xf numFmtId="0" fontId="12" fillId="0" borderId="29" xfId="0" applyFont="1" applyBorder="1" applyAlignment="1">
      <alignment horizontal="left" vertical="center" wrapText="1"/>
    </xf>
    <xf numFmtId="0" fontId="0" fillId="12" borderId="52" xfId="0" applyFill="1" applyBorder="1" applyAlignment="1">
      <alignment horizontal="center" vertical="center" wrapText="1"/>
    </xf>
    <xf numFmtId="0" fontId="0" fillId="12" borderId="53" xfId="0" applyFill="1" applyBorder="1" applyAlignment="1">
      <alignment horizontal="center" vertical="center" wrapText="1"/>
    </xf>
    <xf numFmtId="0" fontId="11" fillId="0" borderId="29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center" vertical="center" wrapText="1"/>
    </xf>
    <xf numFmtId="0" fontId="15" fillId="8" borderId="6" xfId="0" applyFont="1" applyFill="1" applyBorder="1" applyAlignment="1">
      <alignment horizontal="center" vertical="center" wrapText="1"/>
    </xf>
    <xf numFmtId="0" fontId="15" fillId="8" borderId="6" xfId="0" applyFont="1" applyFill="1" applyBorder="1" applyAlignment="1">
      <alignment horizontal="center" vertical="center"/>
    </xf>
    <xf numFmtId="0" fontId="15" fillId="0" borderId="6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/>
    </xf>
    <xf numFmtId="0" fontId="17" fillId="7" borderId="24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7" borderId="26" xfId="0" applyFont="1" applyFill="1" applyBorder="1" applyAlignment="1">
      <alignment horizontal="center" vertical="center"/>
    </xf>
    <xf numFmtId="0" fontId="15" fillId="9" borderId="7" xfId="0" applyFont="1" applyFill="1" applyBorder="1" applyAlignment="1">
      <alignment horizontal="center" vertical="center" wrapText="1"/>
    </xf>
    <xf numFmtId="0" fontId="15" fillId="9" borderId="24" xfId="0" applyFont="1" applyFill="1" applyBorder="1" applyAlignment="1">
      <alignment horizontal="center" vertical="center" wrapText="1"/>
    </xf>
    <xf numFmtId="0" fontId="15" fillId="9" borderId="25" xfId="0" applyFont="1" applyFill="1" applyBorder="1" applyAlignment="1">
      <alignment horizontal="center" vertical="center" wrapText="1"/>
    </xf>
    <xf numFmtId="0" fontId="15" fillId="8" borderId="7" xfId="0" applyFont="1" applyFill="1" applyBorder="1" applyAlignment="1">
      <alignment horizontal="center" vertical="center" wrapText="1"/>
    </xf>
    <xf numFmtId="0" fontId="15" fillId="8" borderId="24" xfId="0" applyFont="1" applyFill="1" applyBorder="1" applyAlignment="1">
      <alignment horizontal="center" vertical="center" wrapText="1"/>
    </xf>
    <xf numFmtId="0" fontId="15" fillId="8" borderId="25" xfId="0" applyFont="1" applyFill="1" applyBorder="1" applyAlignment="1">
      <alignment horizontal="center" vertical="center" wrapText="1"/>
    </xf>
    <xf numFmtId="0" fontId="14" fillId="8" borderId="6" xfId="0" applyFont="1" applyFill="1" applyBorder="1" applyAlignment="1">
      <alignment horizontal="center" vertical="center" wrapText="1"/>
    </xf>
    <xf numFmtId="0" fontId="14" fillId="8" borderId="6" xfId="0" applyFont="1" applyFill="1" applyBorder="1" applyAlignment="1">
      <alignment horizontal="center" vertical="center"/>
    </xf>
    <xf numFmtId="0" fontId="33" fillId="0" borderId="26" xfId="0" applyFont="1" applyBorder="1" applyAlignment="1">
      <alignment vertical="center" wrapText="1"/>
    </xf>
    <xf numFmtId="0" fontId="1" fillId="0" borderId="0" xfId="0" applyFont="1" applyAlignment="1"/>
  </cellXfs>
  <cellStyles count="42">
    <cellStyle name="Excel Built-in Normal" xfId="40" xr:uid="{00000000-0005-0000-0000-000000000000}"/>
    <cellStyle name="Normal 10" xfId="1" xr:uid="{00000000-0005-0000-0000-000002000000}"/>
    <cellStyle name="Normal 11" xfId="2" xr:uid="{00000000-0005-0000-0000-000003000000}"/>
    <cellStyle name="Normal 12" xfId="3" xr:uid="{00000000-0005-0000-0000-000004000000}"/>
    <cellStyle name="Normal 13" xfId="4" xr:uid="{00000000-0005-0000-0000-000005000000}"/>
    <cellStyle name="Normal 14" xfId="5" xr:uid="{00000000-0005-0000-0000-000006000000}"/>
    <cellStyle name="Normal 15" xfId="6" xr:uid="{00000000-0005-0000-0000-000007000000}"/>
    <cellStyle name="Normal 16" xfId="7" xr:uid="{00000000-0005-0000-0000-000008000000}"/>
    <cellStyle name="Normal 17" xfId="8" xr:uid="{00000000-0005-0000-0000-000009000000}"/>
    <cellStyle name="Normal 18" xfId="9" xr:uid="{00000000-0005-0000-0000-00000A000000}"/>
    <cellStyle name="Normal 19" xfId="10" xr:uid="{00000000-0005-0000-0000-00000B000000}"/>
    <cellStyle name="Normal 2" xfId="11" xr:uid="{00000000-0005-0000-0000-00000C000000}"/>
    <cellStyle name="Normal 20" xfId="12" xr:uid="{00000000-0005-0000-0000-00000D000000}"/>
    <cellStyle name="Normal 21" xfId="13" xr:uid="{00000000-0005-0000-0000-00000E000000}"/>
    <cellStyle name="Normal 22" xfId="14" xr:uid="{00000000-0005-0000-0000-00000F000000}"/>
    <cellStyle name="Normal 23" xfId="15" xr:uid="{00000000-0005-0000-0000-000010000000}"/>
    <cellStyle name="Normal 24" xfId="16" xr:uid="{00000000-0005-0000-0000-000011000000}"/>
    <cellStyle name="Normal 25" xfId="17" xr:uid="{00000000-0005-0000-0000-000012000000}"/>
    <cellStyle name="Normal 26" xfId="18" xr:uid="{00000000-0005-0000-0000-000013000000}"/>
    <cellStyle name="Normal 27" xfId="19" xr:uid="{00000000-0005-0000-0000-000014000000}"/>
    <cellStyle name="Normal 28" xfId="20" xr:uid="{00000000-0005-0000-0000-000015000000}"/>
    <cellStyle name="Normal 29" xfId="21" xr:uid="{00000000-0005-0000-0000-000016000000}"/>
    <cellStyle name="Normal 3" xfId="22" xr:uid="{00000000-0005-0000-0000-000017000000}"/>
    <cellStyle name="Normal 30" xfId="23" xr:uid="{00000000-0005-0000-0000-000018000000}"/>
    <cellStyle name="Normal 31" xfId="24" xr:uid="{00000000-0005-0000-0000-000019000000}"/>
    <cellStyle name="Normal 32" xfId="25" xr:uid="{00000000-0005-0000-0000-00001A000000}"/>
    <cellStyle name="Normal 33" xfId="26" xr:uid="{00000000-0005-0000-0000-00001B000000}"/>
    <cellStyle name="Normal 34" xfId="27" xr:uid="{00000000-0005-0000-0000-00001C000000}"/>
    <cellStyle name="Normal 35" xfId="28" xr:uid="{00000000-0005-0000-0000-00001D000000}"/>
    <cellStyle name="Normal 36" xfId="29" xr:uid="{00000000-0005-0000-0000-00001E000000}"/>
    <cellStyle name="Normal 37" xfId="30" xr:uid="{00000000-0005-0000-0000-00001F000000}"/>
    <cellStyle name="Normal 38" xfId="31" xr:uid="{00000000-0005-0000-0000-000020000000}"/>
    <cellStyle name="Normal 39" xfId="32" xr:uid="{00000000-0005-0000-0000-000021000000}"/>
    <cellStyle name="Normal 4" xfId="33" xr:uid="{00000000-0005-0000-0000-000022000000}"/>
    <cellStyle name="Normal 40" xfId="34" xr:uid="{00000000-0005-0000-0000-000023000000}"/>
    <cellStyle name="Normal 41" xfId="41" xr:uid="{00000000-0005-0000-0000-000024000000}"/>
    <cellStyle name="Normal 5" xfId="35" xr:uid="{00000000-0005-0000-0000-000025000000}"/>
    <cellStyle name="Normal 6" xfId="36" xr:uid="{00000000-0005-0000-0000-000026000000}"/>
    <cellStyle name="Normal 7" xfId="37" xr:uid="{00000000-0005-0000-0000-000027000000}"/>
    <cellStyle name="Normal 8" xfId="38" xr:uid="{00000000-0005-0000-0000-000028000000}"/>
    <cellStyle name="Normal 9" xfId="39" xr:uid="{00000000-0005-0000-0000-000029000000}"/>
    <cellStyle name="Standard" xfId="0" builtinId="0"/>
  </cellStyles>
  <dxfs count="230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64" formatCode="_-* #,##0.00\ &quot;лв.&quot;_-;\-* #,##0.00\ &quot;лв.&quot;_-;_-* &quot;-&quot;??\ &quot;лв.&quot;_-;_-@_-"/>
    </dxf>
    <dxf>
      <font>
        <b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left"/>
    </dxf>
    <dxf>
      <alignment horizontal="left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1132182</xdr:colOff>
      <xdr:row>102</xdr:row>
      <xdr:rowOff>1</xdr:rowOff>
    </xdr:from>
    <xdr:to>
      <xdr:col>11</xdr:col>
      <xdr:colOff>123825</xdr:colOff>
      <xdr:row>107</xdr:row>
      <xdr:rowOff>9525</xdr:rowOff>
    </xdr:to>
    <xdr:pic>
      <xdr:nvPicPr>
        <xdr:cNvPr id="2" name="Картина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09582" y="19431001"/>
          <a:ext cx="1372893" cy="200024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3" Type="http://schemas.microsoft.com/office/2019/04/relationships/externalLinkLongPath" Target="24.04.26_APPENDIX%20A_BTB%20Equipment%20List_Maynards%20-%20Kopie.xlsx?463369AE" TargetMode="External"/><Relationship Id="rId2" Type="http://schemas.openxmlformats.org/officeDocument/2006/relationships/externalLinkPath" Target="file:///\\463369AE\24.04.26_APPENDIX%20A_BTB%20Equipment%20List_Maynards%20-%20Kopie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onka Todorova" refreshedDate="46136.668263078704" createdVersion="6" refreshedVersion="8" minRefreshableVersion="3" recordCount="902" xr:uid="{00000000-000A-0000-FFFF-FFFF00000000}">
  <cacheSource type="worksheet">
    <worksheetSource ref="A2:R904" sheet=" машинен парк - България Общо" r:id="rId2"/>
  </cacheSource>
  <cacheFields count="18">
    <cacheField name="№" numFmtId="0">
      <sharedItems containsSemiMixedTypes="0" containsString="0" containsNumber="1" containsInteger="1" minValue="1" maxValue="902"/>
    </cacheField>
    <cacheField name="Инв.№" numFmtId="0">
      <sharedItems containsBlank="1" containsMixedTypes="1" containsNumber="1" containsInteger="1" minValue="87" maxValue="892894635"/>
    </cacheField>
    <cacheField name="група" numFmtId="0">
      <sharedItems containsSemiMixedTypes="0" containsString="0" containsNumber="1" containsInteger="1" minValue="1" maxValue="55" count="50">
        <n v="18"/>
        <n v="16"/>
        <n v="9"/>
        <n v="1"/>
        <n v="11"/>
        <n v="10"/>
        <n v="5"/>
        <n v="3"/>
        <n v="6"/>
        <n v="22"/>
        <n v="2"/>
        <n v="24"/>
        <n v="25"/>
        <n v="26"/>
        <n v="21"/>
        <n v="20"/>
        <n v="17"/>
        <n v="36"/>
        <n v="27"/>
        <n v="12"/>
        <n v="37"/>
        <n v="28"/>
        <n v="8"/>
        <n v="55"/>
        <n v="29"/>
        <n v="14"/>
        <n v="54"/>
        <n v="7"/>
        <n v="19"/>
        <n v="23"/>
        <n v="32"/>
        <n v="13"/>
        <n v="33"/>
        <n v="30"/>
        <n v="49"/>
        <n v="4"/>
        <n v="31"/>
        <n v="52"/>
        <n v="40"/>
        <n v="42"/>
        <n v="38"/>
        <n v="53"/>
        <n v="15"/>
        <n v="50"/>
        <n v="34"/>
        <n v="51"/>
        <n v="43"/>
        <n v="45"/>
        <n v="46"/>
        <n v="48"/>
      </sharedItems>
    </cacheField>
    <cacheField name="№ Вид машини" numFmtId="0">
      <sharedItems containsSemiMixedTypes="0" containsString="0" containsNumber="1" containsInteger="1" minValue="1" maxValue="6" count="6">
        <n v="4"/>
        <n v="2"/>
        <n v="1"/>
        <n v="3"/>
        <n v="5"/>
        <n v="6"/>
      </sharedItems>
    </cacheField>
    <cacheField name="Вид машини" numFmtId="0">
      <sharedItems count="6">
        <s v="Гладачна техника"/>
        <s v="Специални машини"/>
        <s v="Стандартни машини"/>
        <s v="Асортиментни машини"/>
        <s v="Друго оборудване"/>
        <s v="Съоръжения под налягане и вакуум помпи"/>
      </sharedItems>
    </cacheField>
    <cacheField name="наименование на групата" numFmtId="0">
      <sharedItems count="50">
        <s v="Парогенератор"/>
        <s v="Гладачна маса"/>
        <s v="Пикир машина"/>
        <s v="Едноиглова права машина"/>
        <s v="Шевна машина за ръчен бод"/>
        <s v="Илична машина"/>
        <s v="Копчешиещa машинa "/>
        <s v="Двуиглова права машина"/>
        <s v="Понт машина"/>
        <s v="Кроялна система Bullmer"/>
        <s v="Oверлог"/>
        <s v="Кроялни маси и транспортьори"/>
        <s v="Станция за почистване на петна"/>
        <s v="оборудване Входящ контрол"/>
        <s v="CNC Cutter автоматизирана с-ма за кроене KURIS"/>
        <s v="Подлепваща преса"/>
        <s v="Гладачна преса"/>
        <s v="Опаковъчни машини"/>
        <s v="Ръкавна машина "/>
        <s v="Филет автомат"/>
        <s v="Дискова ножица"/>
        <s v="Преса"/>
        <s v="Верижна машина"/>
        <s v="Парогенератор под специален контрол"/>
        <s v="Автомат за дребни детайли"/>
        <s v="Автомат за свивки"/>
        <s v="Преса за трансферен печат"/>
        <s v="Покривна машина"/>
        <s v="Гатер ножица "/>
        <s v="Банциг"/>
        <s v="Автомат-Juki AMS"/>
        <s v="Понтавтомат за укрепване на гайки"/>
        <s v="Компресор + охладител+ ресивер"/>
        <s v="Машина за процепване"/>
        <s v="Машина за разкрояване на текстил"/>
        <s v="Зиг-заг машина"/>
        <s v="Машина за рязане на зиг-заг"/>
        <s v="Устройство за центроване"/>
        <s v="Лазерни машини"/>
        <s v="Шевни машини с дълго рамо"/>
        <s v="Шила за обръщане на колани и яки"/>
        <s v="Влагомер"/>
        <s v="Машина за прикачане на подплънки"/>
        <s v="Машина за почистване на конци"/>
        <s v="Вакуум помпа"/>
        <s v="Шила с нагряване"/>
        <s v="Устройство за опъване на затворен ластик"/>
        <s v="Машина за рязане на ласе"/>
        <s v="Машина за пренавиване на конци"/>
        <s v="Устройство за поставяне на плъзгач"/>
      </sharedItems>
    </cacheField>
    <cacheField name="име" numFmtId="0">
      <sharedItems count="284">
        <s v="Парогенератор VEIT 2365/2-4.4kW"/>
        <s v="Гладачна маса VEIT UNISET DOB S+B "/>
        <s v="Гладачна маса VEIT UNISET S"/>
        <s v="Пикир машина Strobel 103-180"/>
        <s v="Едноиглова права машина Pfaff 1183"/>
        <s v="Шевна машина за ръчен бод Japsew 781E"/>
        <s v="Илична машина Durkopp 589-212"/>
        <s v="Гладачна маса VEIT 144.721.000.0"/>
        <s v="Гладачна маса  VEIT S 144.721.000.0"/>
        <s v="Копчешиеща машина JUKI MB1800B"/>
        <s v="Двуиглова права машина JUKI LH 3568S-7"/>
        <s v="Понт машина Durkopp Adler 510-211"/>
        <s v="Кроялна система Bullmer Compact E 600 - настилъчна количка"/>
        <s v="Едноиглова права машина  Durkopp 275"/>
        <s v="Двуиглов 5 конечен оверлог JUKI MO 6716S"/>
        <s v="Иглена настилачна маса за кроене Veith"/>
        <s v="Копчешиеща машина Juki MB-1373"/>
        <s v="Кабина за почистване на петна модел SOSTAR-TL 7"/>
        <s v="Гладачна маса DOB-VEIT UNISET-mod4235"/>
        <s v="Гладачна маса INDUPRESS IPN-1260-DOB S+B "/>
        <s v="Ръчен крокметър ATLAS CM1"/>
        <s v="Гладачна маса VEIT UNISET S+B 4455S1445520030"/>
        <s v="Гладачна маса VEIT S 4443420040"/>
        <s v="Пикир машина Strobel KL45-223"/>
        <s v="Понт машина Juki LK-1900ASS"/>
        <s v="Шевна машина за ръчен бод Japsew-781"/>
        <s v="CNC Cutter автоматизирана с-ма за кроене KURIS 3060 "/>
        <s v="Настилачна маса за кроене Kuris"/>
        <s v="Подлепваща преса Veit Brisay Kannegiesser ХТ1000"/>
        <s v="Подлепваща преса тип Veit Brisay Kannegiesser XT1400 "/>
        <s v="Гладачна преса за крачоли на панталон BRI222SH"/>
        <s v="Гладачна преса-ханш - панталони BRI231/101"/>
        <s v="Гладачна маса  за разглаждане на шев.на пант VEIT Varioset"/>
        <s v="Гладачна преса за предни части (л+д) Veit BRI1005/101 "/>
        <s v="Гладачна преса рамо-вертикално Veit BRI 1920E/201"/>
        <s v="Гладачна преса малка универсална Veit Brisay 2068/101"/>
        <s v="Гладачна преса яка и ревер Veit BRI 950"/>
        <s v="Машина за опаковане продукция TLS1 Brisay"/>
        <s v="Ръкавна машина Durkopp Adler 550-16-23"/>
        <s v="Илична машина Durkopp 559-151"/>
        <s v="Филет автомат Durkopp-Beisler 100-68"/>
        <s v="Едноиглова права машина JUKI DDL 9000 SS"/>
        <s v="Едноиглова права машина Juki DLN5410"/>
        <s v="Едноиглова права машина  Juki DLM 5400"/>
        <s v="Дискова ножица Su Lee ЗЕR.360-70-499"/>
        <s v="Пневматична преса за капси JLQ03-80"/>
        <s v="Дискова ножица Su Lee 3ER.70497"/>
        <s v="Транспортна лента захранваща подлепваща преса с инв.№ 403"/>
        <s v="Понт машина Durkopp Adler 511-211"/>
        <s v="Гладачна маса за разглаждане на шев.на пант VEIT unisetS 126461"/>
        <s v="Копчешиеща машина  Durkopp 531"/>
        <s v="Гладачна маса VEIT 126470"/>
        <s v="Гладачна маса VEIT за шлиц"/>
        <s v="Кроялна маса  Kuris3070"/>
        <s v="Едноиглова права машина Brother S-7200C"/>
        <s v="Едноиглова права машина  Durkopp 281"/>
        <s v="Гладачна маса VEIT UNISET S 4435"/>
        <s v="Гладачна маса VEIT S 126461"/>
        <s v="Гладачна маса VEIT UNISET S+B "/>
        <s v="Илична машина Durkopp 580-112"/>
        <s v="Верижна машина Durkopp 173"/>
        <s v="Парогенератор VEIT 2366/2.2 kW"/>
        <s v="Парагенератор JUMAG DG 460"/>
        <s v="Гладачна маса VEIT S 126449"/>
        <s v="CNC Cutter автоматизирана с-ма за кроене KURIS С3030"/>
        <s v="Подлепваща преса Veit Brisay Kannegiesser ЕХ1400 Multistar FE/CR/B soft"/>
        <s v="Автомат за дребни детайли PFAFF3511-2/1"/>
        <s v="Автомат за свивки PFAFF 3586-12/02"/>
        <s v="Преса за трансферен печат GRUNDLER GTK"/>
        <s v="Верижна машина Kansai  FBX1104PA"/>
        <s v="Едноиглова права машина Brother S7200"/>
        <s v="Едноиглова права машина JUKI DDL 8300N"/>
        <s v="Едноиглова права машина JUKI DDL 8700-7"/>
        <s v="Покривна машина Union Special FS332401-3B56"/>
        <s v="Преса за трансферен печат SESTO DNT6350PPV"/>
        <s v="Копчешиеща машина Juki МВ-377"/>
        <s v="Едноиглова права машина JUKI DDL 9010SS"/>
        <s v="Гладачна маса INDUPRESS IPN 1260 DOB FH"/>
        <s v="Гладачна маса INDUPRESS IPN 1250 flat S+B"/>
        <s v="Гатер ножица KM-KS-FX"/>
        <s v="Филет автомат BASS3200-SA"/>
        <s v="Гладачна маса VEIT 070316205"/>
        <s v="Пикир машина  MAYER 40464"/>
        <s v="Двуиглов 5 конечен оверлог JUKI MO 3616"/>
        <s v="Копчешиеща машина Juki MB-373"/>
        <s v="Преса за контрол на свиваемост &quot;Хофман&quot;"/>
        <s v="Банцинг  Wastema STV492"/>
        <s v="Дискова ножица Kuris"/>
        <s v="Гатер ножица SBS-B-97"/>
        <s v="Гладачна маса VEIT S+B"/>
        <s v="Машина за навиване на копчета &quot;ASCOLITE Mk 6&quot;"/>
        <s v="Едноиглова права машина JUKI DDL-8500"/>
        <s v="Машина за контрол здравината на шевовете Zwick Z25/TN1S"/>
        <s v="Машина за контрол износването на плата Nu-Martindale"/>
        <s v="Двуиглов 4 конечен оверлог JUKI MO 6714S"/>
        <s v="Двуиглов 5 конечен оверлог JUKI MO-6700"/>
        <s v="Пневматична преса за агрифки Gutos 5036"/>
        <s v="Едноиглов 3 конечен оверлог JUKI MO 6704S"/>
        <s v="Едноиглова права машина Brother S7200/403/PFL/F40"/>
        <s v="Гладачна маса INDUPRESS IPN-ZBT-ARN-0751"/>
        <s v="Едноиглов 3 конечен оверлог JUKI MO3604"/>
        <s v="Двуиглов 5 конечен оверлог Shanggong GN716-D53-MOOP"/>
        <s v="Едноиглова права машина Shanggong GC8880R-5-5D"/>
        <s v="Гладачна маса гл.поли,рокли,пант.VEIT 124184"/>
        <s v="Опаковъчна машина-автоматична Polypack 126494"/>
        <s v="Ръкавна машина JUKI DP-2100"/>
        <s v="Автомат укрепване на тигели и етикети JUKI AMS-210EN"/>
        <s v="Трииглов 6 конечен оверлог JUKI MO6743S"/>
        <s v="Понтавтомат за укрепване на гайки JUKI AB-1351N"/>
        <s v="Пикир машина Strobel 103-258"/>
        <s v="Едноиглова права машина JUKI DLN 9010A-SS "/>
        <s v="Едноиглова права машина за подгъв на панталон Juki DLN 6390"/>
        <s v="Покривна машина Juki MF7523"/>
        <s v="Трииглова П-образна машина Brother DA9280-7"/>
        <s v="Транспортна лента захранваща подлепваща преса с инв.№ 538"/>
        <s v="Компресор бутален-500л."/>
        <s v="Шевна машина за ръчен бод Sanggong JK 781-E"/>
        <s v="Пневматична преса за капси JLQ01-TH"/>
        <s v="Едноиглова права машина  Durkopp 272"/>
        <s v="Гладачна маса VEIT Uniset S 126449"/>
        <s v="Гладачна маса VEIT S124856"/>
        <s v="Гладачна маса VEIT S126442"/>
        <s v="Пикир машина Strobel VEB103-191"/>
        <s v="Понт машина Durkopp Adler 512-211"/>
        <s v="Уред за финиширане-Пароманекен VEIT 8363"/>
        <s v="Двуиглов 5 конечен оверлог JUKI MO6916R"/>
        <s v="Пикир машина Strobel VEB 100-2"/>
        <s v="Гладачна маса VEIT S126449"/>
        <s v="Верижна машина JUKI MH481-54U"/>
        <s v="Верижна машина Durkopp 171"/>
        <s v="Гладачна маса VEIT S 124856"/>
        <s v="Едноиглова права машина  Durkopp 275-140342"/>
        <s v="Едноиглова права машина  Durkopp 273"/>
        <s v="Пикир машина Strobel  100-4 "/>
        <s v="Банциг Kuris TexKnite 492KR"/>
        <s v="Машина за процепване на двулицев плат модел Tecmic MR10 "/>
        <s v="Преса за трансферен печат OZER OM-1001"/>
        <s v="Пневматична преса за агрифки"/>
        <s v="Двуиглов 5 конечен оверлог JACK 788-02X 250"/>
        <s v="Машина за разкрояване на текстил Rexel PP-2/B"/>
        <s v="Илична машина Juki LBH-1790"/>
        <s v="Настилачна маса с конвейрна лента Kuris"/>
        <s v="зиг-заг машина Brother Z-8560A-431"/>
        <s v="Шевна машина за ръчен бод SLDE360"/>
        <s v="Шевна машина за ръчен бод SLDE313"/>
        <s v="Машина за рязане на зиг-заг SIDECUT 10"/>
        <s v="Филет автомат Durkopp-Beisler 100-69"/>
        <s v="Гладачна маса VEIT UNISET DOB S+B 4255-S126442"/>
        <s v="Илична машина Durkopp 540-500-01"/>
        <s v="Копчешиеща машина Siruba RT1906ASS"/>
        <s v="Устройство за центроване с нагряване Hashima HN-1"/>
        <s v="Машина за навиване на копчета &quot;ASCOLITE BSS Mk13&quot;"/>
        <s v="Лизир машина Durkopp Adler 610 оборудвано работно място за предварителен набор "/>
        <s v="Винтов компресор Almig Belt 37-8"/>
        <s v="Двуиглов 4 конечен оверлог SIRUBA 757 Q516M2-55"/>
        <s v="Двуиглов 4 конечен оверлог SIRUBA 757 Qe516M2-55"/>
        <s v="Едноиглова права машина Durkopp  550-5-5-2"/>
        <s v="Копчешиеща машина Siruba RT-468G"/>
        <s v="Банциг Safak120"/>
        <s v="Гатер ножица KM-JNR"/>
        <s v="Подлепваща преса MESERMAK MSR-600"/>
        <s v="Резервоар напорен за въздух 500л."/>
        <s v="Хладилен изсушител First Air MKE 100"/>
        <s v="Пневматична преса за капси Sakura"/>
        <s v="Лазерна режеща и гравираща машина Golden Laser JGSD-13090"/>
        <s v="Парогенератор Indupress Maxi24/24"/>
        <s v="Шевна машина с дълго рамо ZJ-M5-S900H-SF"/>
        <s v="Шевна машина с дълго рамо ZJ-M5-S900H-SF-LK2"/>
        <s v="Шевна машина за ръчен бод Robotechnology-RT 783F"/>
        <s v="Боксер машина Siruba VC008-12064P/VSC"/>
        <s v="Покривна машина Siruba FOO7KD-W122-356/FHA/UTG/DFKH1"/>
        <s v="Двуиглов 5 конечен оверлог Robotechnology RT-65-TAD/EUT"/>
        <s v="Двуиглов 4 конечен оверлог SIRUBA 747L-514M-3-24"/>
        <s v="Шевна машина за ръчен бод Japsew 785-D"/>
        <s v="Шевна машина с дълго рамо ZJ-M6-S900-SF-LK2-V2"/>
        <s v="Машина за контрол и навиване на платове CANKUR MAKINA ESK6-E"/>
        <s v="Винтов компресор Cube10SD"/>
        <s v="Машина за обръщане и изрязване на яки OM102"/>
        <s v="Преса гладене на яки Ozer Makina OM202"/>
        <s v="Верижна машина Kansai NW8842-1G/SERVO/IPG"/>
        <s v="Лайтбокс Tilo M60"/>
        <s v="Влагомер Mahlo textometer DMB-15"/>
        <s v="Копчешиеща машина Nanbang NB-1373D"/>
        <s v="Хладилен изсушител Almig ALM RD 110"/>
        <s v="Ръкавна машина Durkopp Adler 6279-170067"/>
        <s v="Подлепваща преса ROBOTECHNOLOGY RT-450B"/>
        <s v="Машина за разкрояване на текстил Rexel P-3S/R"/>
        <s v="Крошет машина Siruba Z008-248Q"/>
        <s v="Двуиглов 5 конечен оверлог Siruba 757KT-516M-3-55"/>
        <s v="Шевна машина за ръчен бод Japsew 785-XT"/>
        <s v="Права машина с тясно рамо RT 6090B-TL"/>
        <s v="Гладачна маса VEIT Uniset Turbo "/>
        <s v="Едноиглова права машина Brother S7200B"/>
        <s v="Покривна машина Kansai BLX-2202CW1/4"/>
        <s v="Двуиглова права машина Brother T8452C-403"/>
        <s v="Верижна машина Kansai LX-5803PHD"/>
        <s v="Полуавтомат за съединяване Pegasus 1280-5-1"/>
        <s v="Илична машина Durkopp Multiflex 580-312"/>
        <s v="Машина за прикачане на подплънки(вати) Durkopp 697-15155"/>
        <s v="Верижна машина Durkopp 176"/>
        <s v="Гладачна преса за предни части (л+д) BRI1005/101 "/>
        <s v="Гладачна преса яка и ревер Veit BRI-950E/101"/>
        <s v="Гладачна вертикална преса финиш.ръкави сака Veit BRI-890/111"/>
        <s v="Гладачна преса за крайно гладене лакътен шев, Veit BRI-860/111"/>
        <s v="Гладачна преса подмишницата при сака,Veit BRI-2065/201"/>
        <s v="Гладачна преса-ханш - панталони BRI2390/201"/>
        <s v="Гладачна преса за крачоли на панталон BRI-2220/411"/>
        <s v="Гладачна маса заостр.л.страна VEIT 126442"/>
        <s v="Гладачна маса VEIT UNISET DOB S+B 126442"/>
        <s v="Гладачна маса разгл.шев.крачолите VEIT 126459"/>
        <s v="Едноиглова права машина  Durkopp 271"/>
        <s v="Гладачна маса VEIT S1425520030"/>
        <s v="Едноиглова права машина  Durkopp 274"/>
        <s v="Верижна машина Durkopp 175-141621"/>
        <s v="Маса за разглаждане страничен,среден шев и рамо VEIT UNISET Turbo S"/>
        <s v="Гладачна маса за ръкавни шевове VEIT BRI 170/101"/>
        <s v="Едноиглов 3 конечен оверлог PEGASUS 0271 360"/>
        <s v="Банцинг Kuris 492 KR"/>
        <s v="Гладачна маса VEIT UNISET S  "/>
        <s v="Гладачна маса VEIT UNISET S 4433 "/>
        <s v="Гладачна маса VEIT UNISET S TURBO S1443520030"/>
        <s v="Гладачна маса VEIT UNISET DOB S+B"/>
        <s v="Филет автомат Durkopp Adler 100-68/1"/>
        <s v="Верижна машина Durkopp 171-131110S"/>
        <s v="Гладачна маса за разгл.шевове на крачоли VEIT UNISET CN "/>
        <s v="Гладачна маса VEIT UNISET S "/>
        <s v="Пикир машина  MAYER UNITAS 352-12"/>
        <s v="Гладачна маса  VEIT UNISET S "/>
        <s v="CNC Cutter автоматизирана с-ма за кроене KURIS C3030S"/>
        <s v="Парагенератор JUMAG DG 560"/>
        <s v="Ръкавна машина Durkopp Adler 650-16"/>
        <s v="Машина за почистване на конци GT22-12"/>
        <s v="Пикир машина BRODERI BD-101"/>
        <s v="Копчешиеща машина Brother BE-438D"/>
        <s v="Понт машина Brother KE-430D-01"/>
        <s v="Покривна машина Kansai WX-8842-1"/>
        <s v="Илична машина Juki MEB 3200S"/>
        <s v="Гладачна маса VEIT S 80065307"/>
        <s v="VEIT 7406 Обурудване за отстр.на петна"/>
        <s v="Пикир машина Strobel KL560-11 "/>
        <s v="Машина за контрол и навиване на платове Guven CelikКМ7-2005 B"/>
        <s v="Винтов компресор Ceccato Aria CSM 7.5 DXM 200л."/>
        <s v="Винтов компресор Almig Belt 30-8"/>
        <s v="Вакуум помпа DB675"/>
        <s v="Верижна машина JUKI MH481-5"/>
        <s v="Домашен пикир Robo Technology RT-500D-1"/>
        <s v="Двуиглов 4 конечен оверлог Juki MO 6713DA"/>
        <s v="Покривна машина Juki MF 7523"/>
        <s v="Настилачна маса за кроене "/>
        <s v="Хладилен изсушител Almig ALM 500"/>
        <s v="Винтов компресор Cube10"/>
        <s v="Дискова ножица Robo Technology RT100"/>
        <s v="Хладилен изсушител Almig ALM 350"/>
        <s v="Шило за обръщане на колани"/>
        <s v="Шило Micro Top SM-201L"/>
        <s v="Покривна машина Juki MF7723"/>
        <s v="Устройство за опъване на затворен ластик RTP0001"/>
        <s v="ел. машина за рязане на ласе Orbit"/>
        <s v="Дискова ножица Dayang DYDB-1"/>
        <s v="Машина за пренавиване на конци"/>
        <s v="Двуиглов 5 конечен оверлог JUKI MO 6816S"/>
        <s v="Едноиглов 3 конечен оверлог Juki MO6700"/>
        <s v="Гатер ножица Dayang CZD 103"/>
        <s v="Вакуум помпа Piller VHRG 0442"/>
        <s v="Двуиглов 5 конечен оверлог Juki MO3600"/>
        <s v="Едноиглова права машина JUKI DDL 8700B-7"/>
        <s v="Транспортна лента захранваща подлепваща преса с инв.№ 402"/>
        <s v="ел. машина за рязане на ласе CuTex"/>
        <s v="Гладачна преса за крайно гладене лакътен шев, Veit BRI-860/101"/>
        <s v="Вакуум помпа 6697"/>
        <s v="Резервоар напорен за въздух 1000л."/>
        <s v="Покривна машина  Kansai NW2202GPC"/>
        <s v="Дискова ножица Robo Technology RT108"/>
        <s v="Машина за пренавиване на конци KaiXuan-KX05"/>
        <s v=" Indupress IPN-TOP-B 03"/>
        <s v="Едноиглова права машина JUKI DDL 5550N-7"/>
        <s v="Лайтбокс Termal B11660"/>
        <s v="Лайтбокс Veri Vide CAC 60"/>
        <s v="Комплект за измерване на свиваемост Testex TF178 ISO 3759"/>
        <s v="Комплект за измерване на свиваемост "/>
        <s v="Комплект щанца и везна Karl Schroder KG D6940"/>
        <s v="Устройство за поставяне на плъзгач на цип"/>
        <s v="Ръчна преса за капси"/>
        <s v="Машина за процепване на двулицев плат модел БТБ"/>
      </sharedItems>
    </cacheField>
    <cacheField name="Name" numFmtId="0">
      <sharedItems/>
    </cacheField>
    <cacheField name="описание" numFmtId="0">
      <sharedItems containsBlank="1" count="108">
        <s v="за две ютии"/>
        <s v="универсална"/>
        <s v="правоъгълна"/>
        <s v="открит"/>
        <m/>
        <s v="илик - око"/>
        <s v="1 конечна"/>
        <s v="за етикети"/>
        <s v="настилъчна количка"/>
        <s v="обрезвачка"/>
        <s v="5 конечен"/>
        <s v="иглена маса"/>
        <s v="Ръчен крокметър"/>
        <s v="скрит"/>
        <s v="7см. настил"/>
        <s v="настилъчна маса"/>
        <s v="100 см."/>
        <s v="140 см."/>
        <s v="крачоли на панталон"/>
        <s v="ханш панталон"/>
        <s v="разглаждане шев на крачоли"/>
        <s v="предни части"/>
        <s v="рамо-вертикално"/>
        <s v="яка и ревер"/>
        <s v="за настил"/>
        <s v="пневматична, тройна"/>
        <s v="транспортна лента"/>
        <s v="2 конечна"/>
        <s v="шлиц"/>
        <s v="едноиглова"/>
        <s v="за една ютия"/>
        <s v="3см. настил"/>
        <s v=" обрезвачка"/>
        <s v="четрииглова"/>
        <s v="горна и долна оплетка"/>
        <s v="тънки презрамки с вътрешен шев (гайки)"/>
        <s v="Преса за контрол на свиваемост"/>
        <s v="за гайки и ласета"/>
        <s v="за навиване на копчета"/>
        <s v="5 конечен/ горен монтаж"/>
        <s v="Машина за контрол здравината на шевовете"/>
        <s v="Машина за контрол износването на плата"/>
        <s v="4 конечен"/>
        <s v="пневматична, единична"/>
        <s v="3 конечен"/>
        <s v="лакътен и вътрешен шев"/>
        <s v="хастари сака"/>
        <s v="работно поле 110-230 мм."/>
        <s v="6 конечен"/>
        <s v="открит, станция за гладене"/>
        <s v="тежък клас"/>
        <s v="горна и долна оплетка, с рязане"/>
        <s v="трииглова П образна"/>
        <s v="компресор"/>
        <s v="открит пикир за колани и подгъви"/>
        <s v="пароманекен"/>
        <s v="5 конечен-горен транспорт"/>
        <s v="открит пикир- лек клас"/>
        <s v="за подгъв"/>
        <s v="обрезвачка -3мм"/>
        <s v="открит, за подгъв"/>
        <s v="5 конечен за обточване"/>
        <s v="прав илик"/>
        <s v="настилъчна маса с конвейрна лента"/>
        <s v="електронна"/>
        <s v="за външни кантове, за процепени платове"/>
        <s v="прав илик/въртяща глава"/>
        <s v="програмируема за набор и устройство за подаване на лизираща лента"/>
        <s v="4 конечен за обточване"/>
        <s v="за похлюпване на колани"/>
        <s v="60 см."/>
        <s v="Резервоар напорен"/>
        <s v="Хладилен изсушител"/>
        <s v="работно поле 900 м х 1300 мм"/>
        <s v="верижен ръчен бод"/>
        <s v="верижен бод + ластик"/>
        <s v="4 конечен/ горен монтаж"/>
        <s v="ел. програмируема"/>
        <s v="Машина за контрол и навиване на платове"/>
        <s v="яки"/>
        <s v="трииглова-седемконечна"/>
        <s v="Лайтбокс"/>
        <s v="45 см."/>
        <s v="двуиглова-двойноверижен зиг-заг"/>
        <s v="разглаждане шев на ръкави"/>
        <s v="долна оплетка - за гайки"/>
        <s v="трииглова  "/>
        <s v="5 конечен - полуавтомат"/>
        <s v="ръкави сака"/>
        <s v="лакътен шев"/>
        <s v="подмишница сако"/>
        <s v="универсална - лява страна"/>
        <s v="рамо и страничен шев"/>
        <s v="програмиране на три различни гъстоти на бода"/>
        <s v="двуиглова"/>
        <s v="4,5см. настил"/>
        <s v="открит пикир, тежък клас"/>
        <s v=" лек клас"/>
        <s v="горна покривна и долна верижна оплетка"/>
        <s v="точков пикир"/>
        <s v="открит, домашен"/>
        <s v="колани"/>
        <s v="горна и долна оплетка - за гайки"/>
        <s v="Топер"/>
        <s v="Комплект за измерване на свиваемост "/>
        <s v="Комплект щанца и везна"/>
        <s v="ръчна, единична"/>
        <s v="производство БТБ"/>
      </sharedItems>
    </cacheField>
    <cacheField name="характеристики" numFmtId="0">
      <sharedItems containsBlank="1" count="59">
        <m/>
        <s v="крайно гладене"/>
        <s v="подгрев/ междинно гладене"/>
        <s v="без рязане"/>
        <s v="3 конечна"/>
        <s v="междинно гладене"/>
        <s v="електронна"/>
        <s v="горен диф. транспорт-  8 сектора-изрязване резерва"/>
        <s v="ел.нож"/>
        <s v="с рязане"/>
        <s v="28 м"/>
        <s v="горен диф. транспорт-изрязване резерва"/>
        <s v="с изкл. на иглите"/>
        <s v="иглен транспорт"/>
        <s v="пневматичен нож"/>
        <s v="изрязване резерва"/>
        <s v="капси"/>
        <s v="3,8 м"/>
        <s v="подгрев/ крайно гладене"/>
        <s v="2 конечена"/>
        <s v="пулер, рязане"/>
        <s v="горен диф. транспорт-  8 сектора"/>
        <s v="долен и горен диф. транспорт-изрязване резерва-8сектора"/>
        <s v="за колани тип дънки"/>
        <s v="3 игли-6,4"/>
        <s v="пулер"/>
        <s v="без нож"/>
        <s v="агрифки"/>
        <s v="без нож/ пико"/>
        <s v="крайно гладене/ панталони"/>
        <s v="иглен транспорт-пулер"/>
        <s v="4,5 м"/>
        <s v="бутален"/>
        <s v="ролков, с рязане"/>
        <s v="рязане, заячка"/>
        <s v="рязане"/>
        <s v="горен диф. транспорт"/>
        <s v="4 м"/>
        <s v="винтов"/>
        <s v="500 л"/>
        <s v="лазерно рязане"/>
        <s v="12 игли-4,8"/>
        <s v="пневматична"/>
        <s v="цилиндрична"/>
        <s v="2 игли-6,4"/>
        <s v=" пулер"/>
        <s v="пневматичен нож и повдигане на крачето"/>
        <s v="без изкл. на иглите"/>
        <s v="подгрев"/>
        <s v="долен диф. транспорт-изрязване на резерва"/>
        <s v="иглен транспорт-изрязване на резерва"/>
        <s v="за седалищен шев"/>
        <s v="ръчно"/>
        <s v="студен/горещ нож"/>
        <s v="1,2 м"/>
        <s v="студен нож"/>
        <s v="1000 л"/>
        <s v="за 3 размера"/>
        <s v="за 1 размер"/>
      </sharedItems>
    </cacheField>
    <cacheField name="реално местонахождение" numFmtId="0">
      <sharedItems containsBlank="1"/>
    </cacheField>
    <cacheField name="Участък" numFmtId="0">
      <sharedItems count="6">
        <s v="МОСТРЕНА БРИГАДА"/>
        <s v="ПРОИЗВОДСТВО РУСЕ"/>
        <s v="ПРОИЗВОДСТВО РУЙНО"/>
        <s v="КРОЯЛЕН УЧАСТЪК"/>
        <s v="ВХОДЯЩ КОНТРОЛ ТЪКАНИ"/>
        <s v="ТЕХНИЧЕСКА ПОДГОТОВКА"/>
      </sharedItems>
    </cacheField>
    <cacheField name="забележка" numFmtId="0">
      <sharedItems containsString="0" containsBlank="1" containsNumber="1" containsInteger="1" minValue="14521" maxValue="14521"/>
    </cacheField>
    <cacheField name="Дата на закупуване" numFmtId="0">
      <sharedItems containsDate="1" containsBlank="1" containsMixedTypes="1" minDate="2003-12-01T00:00:00" maxDate="2024-03-02T00:00:00"/>
    </cacheField>
    <cacheField name="Първоначална стойност" numFmtId="170">
      <sharedItems containsSemiMixedTypes="0" containsString="0" containsNumber="1" minValue="140" maxValue="344599"/>
    </cacheField>
    <cacheField name="Първоначална стойност в евро" numFmtId="176">
      <sharedItems containsSemiMixedTypes="0" containsString="0" containsNumber="1" minValue="71.580863367470585" maxValue="176190.6709683357"/>
    </cacheField>
    <cacheField name="Месечна амортизация" numFmtId="170">
      <sharedItems containsSemiMixedTypes="0" containsString="0" containsNumber="1" minValue="0" maxValue="8614.98"/>
    </cacheField>
    <cacheField name="Остатъчна стойност" numFmtId="170">
      <sharedItems containsString="0" containsBlank="1" containsNumber="1" minValue="0" maxValue="580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02">
  <r>
    <n v="1"/>
    <n v="87"/>
    <x v="0"/>
    <x v="0"/>
    <x v="0"/>
    <x v="0"/>
    <x v="0"/>
    <s v="Steam Generator VEIT 2365/4.4kW-1236510000 400V"/>
    <x v="0"/>
    <x v="0"/>
    <s v="мострена бригада"/>
    <x v="0"/>
    <m/>
    <d v="2007-10-02T00:00:00"/>
    <n v="3520.5"/>
    <n v="1800.0030677512873"/>
    <n v="58.68"/>
    <n v="0"/>
  </r>
  <r>
    <n v="2"/>
    <n v="88"/>
    <x v="1"/>
    <x v="0"/>
    <x v="0"/>
    <x v="1"/>
    <x v="1"/>
    <s v="Ironing Table VEIT UNISET DOB S+B"/>
    <x v="1"/>
    <x v="1"/>
    <s v="Склад машини"/>
    <x v="1"/>
    <m/>
    <d v="2007-10-02T00:00:00"/>
    <n v="4519.92"/>
    <n v="2310.9983996564119"/>
    <n v="75.33"/>
    <n v="0"/>
  </r>
  <r>
    <n v="3"/>
    <n v="90"/>
    <x v="1"/>
    <x v="0"/>
    <x v="0"/>
    <x v="1"/>
    <x v="2"/>
    <s v="Ironing Table VEIT UNISET S"/>
    <x v="2"/>
    <x v="2"/>
    <s v="Шевен 3бр."/>
    <x v="1"/>
    <m/>
    <d v="2007-10-02T00:00:00"/>
    <n v="4519.92"/>
    <n v="2310.9983996564119"/>
    <n v="75.33"/>
    <n v="0"/>
  </r>
  <r>
    <n v="4"/>
    <n v="103"/>
    <x v="2"/>
    <x v="1"/>
    <x v="1"/>
    <x v="2"/>
    <x v="3"/>
    <s v="Blindstitch Machine Strobel 103-180"/>
    <x v="3"/>
    <x v="3"/>
    <s v="мострена бригада"/>
    <x v="0"/>
    <m/>
    <m/>
    <n v="5482"/>
    <n v="2802.9020927176698"/>
    <n v="0"/>
    <n v="0"/>
  </r>
  <r>
    <n v="5"/>
    <n v="108"/>
    <x v="3"/>
    <x v="2"/>
    <x v="2"/>
    <x v="3"/>
    <x v="4"/>
    <s v="Single Needle Lockstitch Machine Pfaff 1183"/>
    <x v="4"/>
    <x v="0"/>
    <s v="Руйно-1 ет."/>
    <x v="2"/>
    <m/>
    <d v="2008-01-29T00:00:00"/>
    <n v="1900"/>
    <n v="971.45457427281519"/>
    <n v="0"/>
    <n v="0"/>
  </r>
  <r>
    <n v="6"/>
    <n v="110"/>
    <x v="3"/>
    <x v="2"/>
    <x v="2"/>
    <x v="3"/>
    <x v="4"/>
    <s v="Single Needle Lockstitch Machine Pfaff 1183"/>
    <x v="4"/>
    <x v="0"/>
    <s v="Руйно-1 ет."/>
    <x v="2"/>
    <m/>
    <d v="2008-01-29T00:00:00"/>
    <n v="1900"/>
    <n v="971.45457427281519"/>
    <n v="0"/>
    <n v="0"/>
  </r>
  <r>
    <n v="7"/>
    <n v="114"/>
    <x v="3"/>
    <x v="2"/>
    <x v="2"/>
    <x v="3"/>
    <x v="4"/>
    <s v="Single Needle Lockstitch Machine Pfaff 1183"/>
    <x v="4"/>
    <x v="0"/>
    <s v="Руйно-1 ет."/>
    <x v="2"/>
    <m/>
    <d v="2008-01-29T00:00:00"/>
    <n v="1900"/>
    <n v="971.45457427281519"/>
    <n v="0"/>
    <n v="0"/>
  </r>
  <r>
    <n v="8"/>
    <n v="115"/>
    <x v="3"/>
    <x v="2"/>
    <x v="2"/>
    <x v="3"/>
    <x v="4"/>
    <s v="Single Needle Lockstitch Machine Pfaff 1183"/>
    <x v="4"/>
    <x v="0"/>
    <s v="Руйно-1 ет."/>
    <x v="2"/>
    <m/>
    <d v="2008-01-29T00:00:00"/>
    <n v="1900"/>
    <n v="971.45457427281519"/>
    <n v="0"/>
    <n v="0"/>
  </r>
  <r>
    <n v="9"/>
    <n v="118"/>
    <x v="3"/>
    <x v="2"/>
    <x v="2"/>
    <x v="3"/>
    <x v="4"/>
    <s v="Single Needle Lockstitch Machine Pfaff 1183"/>
    <x v="4"/>
    <x v="0"/>
    <s v="Руйно-1 ет."/>
    <x v="2"/>
    <m/>
    <d v="2008-01-29T00:00:00"/>
    <n v="1900"/>
    <n v="971.45457427281519"/>
    <n v="0"/>
    <n v="0"/>
  </r>
  <r>
    <n v="10"/>
    <n v="119"/>
    <x v="3"/>
    <x v="2"/>
    <x v="2"/>
    <x v="3"/>
    <x v="4"/>
    <s v="Single Needle Lockstitch Machine Pfaff 1183"/>
    <x v="4"/>
    <x v="0"/>
    <s v="Руйно-1 ет."/>
    <x v="2"/>
    <m/>
    <d v="2008-01-29T00:00:00"/>
    <n v="1900"/>
    <n v="971.45457427281519"/>
    <n v="0"/>
    <n v="0"/>
  </r>
  <r>
    <n v="11"/>
    <n v="120"/>
    <x v="3"/>
    <x v="2"/>
    <x v="2"/>
    <x v="3"/>
    <x v="4"/>
    <s v="Single Needle Lockstitch Machine Pfaff 1183"/>
    <x v="4"/>
    <x v="0"/>
    <s v="Руйно-1 ет."/>
    <x v="2"/>
    <m/>
    <d v="2008-01-29T00:00:00"/>
    <n v="1900"/>
    <n v="971.45457427281519"/>
    <n v="0"/>
    <n v="0"/>
  </r>
  <r>
    <n v="12"/>
    <n v="144"/>
    <x v="4"/>
    <x v="3"/>
    <x v="3"/>
    <x v="4"/>
    <x v="5"/>
    <s v="Hand Stitch Sewing Machine Japsew 781E"/>
    <x v="4"/>
    <x v="0"/>
    <s v="Склад машини"/>
    <x v="1"/>
    <m/>
    <d v="2008-02-18T00:00:00"/>
    <n v="8220"/>
    <n v="4202.8192634329162"/>
    <n v="137"/>
    <n v="0"/>
  </r>
  <r>
    <n v="13"/>
    <n v="159"/>
    <x v="5"/>
    <x v="1"/>
    <x v="1"/>
    <x v="5"/>
    <x v="6"/>
    <s v="Buttonhole machine Durkopp 589-212"/>
    <x v="5"/>
    <x v="4"/>
    <s v="Шевен 1бр."/>
    <x v="1"/>
    <m/>
    <m/>
    <n v="16600"/>
    <n v="8487.4452278572262"/>
    <n v="0"/>
    <n v="0"/>
  </r>
  <r>
    <n v="14"/>
    <n v="170"/>
    <x v="1"/>
    <x v="0"/>
    <x v="0"/>
    <x v="1"/>
    <x v="7"/>
    <s v="Ironing Table Veit 144.721.000.0"/>
    <x v="1"/>
    <x v="5"/>
    <s v="Руйно-1 ет."/>
    <x v="2"/>
    <m/>
    <m/>
    <n v="3644"/>
    <n v="1863.1476150790202"/>
    <n v="0"/>
    <n v="0"/>
  </r>
  <r>
    <n v="15"/>
    <n v="171"/>
    <x v="1"/>
    <x v="0"/>
    <x v="0"/>
    <x v="1"/>
    <x v="7"/>
    <s v="Ironing Table Veit 144.721.000.0"/>
    <x v="1"/>
    <x v="5"/>
    <s v="Склад машини"/>
    <x v="1"/>
    <m/>
    <d v="2008-01-29T00:00:00"/>
    <n v="3644"/>
    <n v="1863.1476150790202"/>
    <n v="0"/>
    <n v="0"/>
  </r>
  <r>
    <n v="16"/>
    <n v="172"/>
    <x v="1"/>
    <x v="0"/>
    <x v="0"/>
    <x v="1"/>
    <x v="7"/>
    <s v="Ironing Table Veit 144.721.000.0"/>
    <x v="1"/>
    <x v="5"/>
    <s v="Шевен 2бр."/>
    <x v="1"/>
    <m/>
    <d v="2008-01-29T00:00:00"/>
    <n v="3644"/>
    <n v="1863.1476150790202"/>
    <n v="0"/>
    <n v="0"/>
  </r>
  <r>
    <n v="17"/>
    <n v="173"/>
    <x v="1"/>
    <x v="0"/>
    <x v="0"/>
    <x v="1"/>
    <x v="8"/>
    <s v="Ironing Table Veit 144.721.000.0"/>
    <x v="2"/>
    <x v="5"/>
    <s v="Шевен 2бр."/>
    <x v="1"/>
    <m/>
    <d v="2008-01-29T00:00:00"/>
    <n v="3644"/>
    <n v="1863.1476150790202"/>
    <n v="0"/>
    <n v="0"/>
  </r>
  <r>
    <n v="18"/>
    <n v="176"/>
    <x v="1"/>
    <x v="0"/>
    <x v="0"/>
    <x v="1"/>
    <x v="7"/>
    <s v="Ironing Table Veit 144.721.000.0"/>
    <x v="1"/>
    <x v="5"/>
    <s v="Руйно- 2 ет."/>
    <x v="2"/>
    <m/>
    <d v="2008-01-29T00:00:00"/>
    <n v="3644"/>
    <n v="1863.1476150790202"/>
    <n v="0"/>
    <n v="0"/>
  </r>
  <r>
    <n v="19"/>
    <n v="177"/>
    <x v="1"/>
    <x v="0"/>
    <x v="0"/>
    <x v="1"/>
    <x v="7"/>
    <s v="Ironing Table Veit 144.721.000.0"/>
    <x v="1"/>
    <x v="5"/>
    <s v="Руйно-1 ет."/>
    <x v="2"/>
    <m/>
    <d v="2008-01-29T00:00:00"/>
    <n v="3644"/>
    <n v="1863.1476150790202"/>
    <n v="0"/>
    <n v="0"/>
  </r>
  <r>
    <n v="20"/>
    <n v="178"/>
    <x v="1"/>
    <x v="0"/>
    <x v="0"/>
    <x v="1"/>
    <x v="7"/>
    <s v="Ironing Table Veit 144.721.000.0"/>
    <x v="1"/>
    <x v="5"/>
    <s v="Руйно-1 ет."/>
    <x v="2"/>
    <m/>
    <d v="2008-01-29T00:00:00"/>
    <n v="3644"/>
    <n v="1863.1476150790202"/>
    <n v="0"/>
    <n v="0"/>
  </r>
  <r>
    <n v="21"/>
    <n v="179"/>
    <x v="1"/>
    <x v="0"/>
    <x v="0"/>
    <x v="1"/>
    <x v="7"/>
    <s v="Ironing Table Veit 144.721.000.0"/>
    <x v="1"/>
    <x v="5"/>
    <s v="Склад машини"/>
    <x v="1"/>
    <m/>
    <d v="2008-01-29T00:00:00"/>
    <n v="3644"/>
    <n v="1863.1476150790202"/>
    <n v="0"/>
    <n v="0"/>
  </r>
  <r>
    <n v="22"/>
    <n v="180"/>
    <x v="1"/>
    <x v="0"/>
    <x v="0"/>
    <x v="1"/>
    <x v="7"/>
    <s v="Ironing Table Veit 144.721.000.0"/>
    <x v="1"/>
    <x v="5"/>
    <s v="Склад машини"/>
    <x v="1"/>
    <m/>
    <d v="2008-01-29T00:00:00"/>
    <n v="3644"/>
    <n v="1863.1476150790202"/>
    <n v="0"/>
    <n v="0"/>
  </r>
  <r>
    <n v="23"/>
    <n v="183"/>
    <x v="6"/>
    <x v="1"/>
    <x v="1"/>
    <x v="6"/>
    <x v="9"/>
    <s v="Button Sewing Machine JUKI MB1800B"/>
    <x v="6"/>
    <x v="6"/>
    <s v="Шевен СМ"/>
    <x v="1"/>
    <m/>
    <d v="2008-04-07T00:00:00"/>
    <n v="3644"/>
    <n v="1863.1476150790202"/>
    <n v="0"/>
    <n v="0"/>
  </r>
  <r>
    <n v="24"/>
    <n v="184"/>
    <x v="7"/>
    <x v="3"/>
    <x v="3"/>
    <x v="7"/>
    <x v="10"/>
    <s v="Two Needle Lockstitch Machine JUKI LH 3568S-7"/>
    <x v="4"/>
    <x v="0"/>
    <s v="мострена бригада"/>
    <x v="0"/>
    <m/>
    <d v="2008-04-07T00:00:00"/>
    <n v="7182"/>
    <n v="3672.0982907512412"/>
    <n v="0"/>
    <n v="0"/>
  </r>
  <r>
    <n v="25"/>
    <n v="186"/>
    <x v="8"/>
    <x v="1"/>
    <x v="1"/>
    <x v="8"/>
    <x v="11"/>
    <s v="Bartacking Machine Duerkopp Adler 510-211"/>
    <x v="7"/>
    <x v="0"/>
    <s v="Руйно- 2 ет."/>
    <x v="2"/>
    <m/>
    <d v="2008-04-01T00:00:00"/>
    <n v="7211"/>
    <n v="3686.9257553059315"/>
    <n v="0"/>
    <n v="0"/>
  </r>
  <r>
    <n v="26"/>
    <n v="191"/>
    <x v="9"/>
    <x v="1"/>
    <x v="1"/>
    <x v="9"/>
    <x v="12"/>
    <s v="Cutting System Bullmer Compact E 600"/>
    <x v="8"/>
    <x v="0"/>
    <s v="Кроялен участък"/>
    <x v="3"/>
    <m/>
    <d v="2009-01-01T00:00:00"/>
    <n v="113922.19"/>
    <n v="58247.490835093035"/>
    <n v="2848.05"/>
    <n v="0"/>
  </r>
  <r>
    <n v="27"/>
    <n v="192"/>
    <x v="3"/>
    <x v="2"/>
    <x v="2"/>
    <x v="3"/>
    <x v="13"/>
    <s v="Single Needle Lockstitch Machine Dürkopp 275"/>
    <x v="9"/>
    <x v="7"/>
    <s v="Шевен 1бр."/>
    <x v="1"/>
    <m/>
    <d v="2008-07-31T00:00:00"/>
    <n v="17584.5"/>
    <n v="8990.8120848949038"/>
    <n v="0"/>
    <n v="0"/>
  </r>
  <r>
    <n v="28"/>
    <n v="193"/>
    <x v="10"/>
    <x v="2"/>
    <x v="2"/>
    <x v="10"/>
    <x v="14"/>
    <s v="Two Needle, 5-Thread Overlock Machine JUKI MO 6716S"/>
    <x v="10"/>
    <x v="8"/>
    <s v="Руйно- 2 ет."/>
    <x v="2"/>
    <m/>
    <d v="2008-10-17T00:00:00"/>
    <n v="2997"/>
    <n v="1532.3417679450667"/>
    <n v="0"/>
    <n v="0"/>
  </r>
  <r>
    <n v="29"/>
    <n v="194"/>
    <x v="10"/>
    <x v="2"/>
    <x v="2"/>
    <x v="10"/>
    <x v="14"/>
    <s v="Two Needle, 5-Thread Overlock Machine JUKI MO 6716S"/>
    <x v="10"/>
    <x v="8"/>
    <s v="Руйно-1 ет."/>
    <x v="2"/>
    <m/>
    <d v="2008-10-17T00:00:00"/>
    <n v="2997"/>
    <n v="1532.3417679450667"/>
    <n v="0"/>
    <n v="0"/>
  </r>
  <r>
    <n v="30"/>
    <n v="195"/>
    <x v="10"/>
    <x v="2"/>
    <x v="2"/>
    <x v="10"/>
    <x v="14"/>
    <s v="Two Needle, 5-Thread Overlock Machine JUKI MO 6716S"/>
    <x v="10"/>
    <x v="8"/>
    <s v="Склад машини"/>
    <x v="1"/>
    <m/>
    <d v="2008-10-17T00:00:00"/>
    <n v="2997"/>
    <n v="1532.3417679450667"/>
    <n v="0"/>
    <n v="0"/>
  </r>
  <r>
    <n v="31"/>
    <n v="197"/>
    <x v="11"/>
    <x v="2"/>
    <x v="2"/>
    <x v="11"/>
    <x v="15"/>
    <s v="Pin Table for Laying Up and Cutting Veith"/>
    <x v="11"/>
    <x v="0"/>
    <s v="Кроялен участък"/>
    <x v="3"/>
    <m/>
    <d v="2009-01-01T00:00:00"/>
    <n v="33054.660000000003"/>
    <n v="16900.579293701398"/>
    <n v="826.37"/>
    <n v="0"/>
  </r>
  <r>
    <n v="32"/>
    <n v="198"/>
    <x v="6"/>
    <x v="1"/>
    <x v="1"/>
    <x v="6"/>
    <x v="16"/>
    <s v="Button Sewing Machine Juki MB-1373"/>
    <x v="6"/>
    <x v="0"/>
    <s v="Руйно-1 ет."/>
    <x v="2"/>
    <m/>
    <d v="2009-03-11T00:00:00"/>
    <n v="3330.78"/>
    <n v="1703.0007720507408"/>
    <n v="83.27"/>
    <n v="0"/>
  </r>
  <r>
    <n v="33"/>
    <n v="209"/>
    <x v="12"/>
    <x v="3"/>
    <x v="3"/>
    <x v="12"/>
    <x v="17"/>
    <s v="Stain Removal Cabinet SOSTAR-TL 7"/>
    <x v="4"/>
    <x v="0"/>
    <s v="Руйно-1 ет."/>
    <x v="2"/>
    <m/>
    <d v="2004-05-03T00:00:00"/>
    <n v="1955"/>
    <n v="999.57562773860718"/>
    <n v="32.58"/>
    <n v="0"/>
  </r>
  <r>
    <n v="34"/>
    <n v="213"/>
    <x v="1"/>
    <x v="0"/>
    <x v="0"/>
    <x v="1"/>
    <x v="18"/>
    <s v="Veit uniset-mod 4235 ironing table with lifter, illumination, and blowing for final ironing"/>
    <x v="1"/>
    <x v="1"/>
    <s v="мострена бригада"/>
    <x v="0"/>
    <m/>
    <d v="2003-12-01T00:00:00"/>
    <n v="4697.8999999999996"/>
    <n v="2401.9981286717148"/>
    <n v="78.3"/>
    <n v="0"/>
  </r>
  <r>
    <n v="35"/>
    <n v="214"/>
    <x v="1"/>
    <x v="0"/>
    <x v="0"/>
    <x v="1"/>
    <x v="18"/>
    <s v="Veit uniset-mod 4235 ironing table with lifter, illumination, and blowing for final ironing"/>
    <x v="1"/>
    <x v="1"/>
    <s v="мострена бригада"/>
    <x v="0"/>
    <m/>
    <d v="2003-12-01T00:00:00"/>
    <n v="4695.95"/>
    <n v="2401.0011095033819"/>
    <n v="78.27"/>
    <n v="0"/>
  </r>
  <r>
    <n v="36"/>
    <n v="215"/>
    <x v="1"/>
    <x v="0"/>
    <x v="0"/>
    <x v="1"/>
    <x v="19"/>
    <s v="Ironing table INDUPRESS IPN1260"/>
    <x v="4"/>
    <x v="1"/>
    <s v="мострена бригада"/>
    <x v="0"/>
    <m/>
    <d v="2004-04-16T00:00:00"/>
    <n v="3912"/>
    <n v="2000.1738392396067"/>
    <n v="0"/>
    <n v="0"/>
  </r>
  <r>
    <n v="37"/>
    <n v="216"/>
    <x v="1"/>
    <x v="0"/>
    <x v="0"/>
    <x v="1"/>
    <x v="19"/>
    <s v="Ironing table INDUPRESS IPN1260 DOB S+B"/>
    <x v="4"/>
    <x v="1"/>
    <s v="Довършителен участък "/>
    <x v="1"/>
    <m/>
    <d v="2004-04-17T00:00:00"/>
    <n v="3912"/>
    <n v="2000.1738392396067"/>
    <n v="0"/>
    <n v="0"/>
  </r>
  <r>
    <n v="38"/>
    <n v="217"/>
    <x v="1"/>
    <x v="0"/>
    <x v="0"/>
    <x v="1"/>
    <x v="19"/>
    <s v="Ironing table INDUPRESS IPN1260 DOB S+B"/>
    <x v="4"/>
    <x v="1"/>
    <s v="Довършителен участък "/>
    <x v="1"/>
    <m/>
    <d v="2004-04-18T00:00:00"/>
    <n v="3912"/>
    <n v="2000.1738392396067"/>
    <n v="0"/>
    <n v="0"/>
  </r>
  <r>
    <n v="39"/>
    <n v="272"/>
    <x v="13"/>
    <x v="4"/>
    <x v="4"/>
    <x v="13"/>
    <x v="20"/>
    <s v="Manual Crockmeter ATLAS CM1 "/>
    <x v="12"/>
    <x v="0"/>
    <s v="Входящ контрол"/>
    <x v="4"/>
    <m/>
    <d v="2004-01-29T00:00:00"/>
    <n v="1834.47"/>
    <n v="937.94961729802696"/>
    <n v="30.57"/>
    <n v="0"/>
  </r>
  <r>
    <n v="40"/>
    <n v="273"/>
    <x v="1"/>
    <x v="0"/>
    <x v="0"/>
    <x v="1"/>
    <x v="21"/>
    <s v="Ironing Table Veit UNISET S+B 4455S1445520030"/>
    <x v="2"/>
    <x v="5"/>
    <s v="Склад машини"/>
    <x v="1"/>
    <m/>
    <d v="2007-02-20T00:00:00"/>
    <n v="3144.97"/>
    <n v="1607.9976276056711"/>
    <n v="52.42"/>
    <n v="0"/>
  </r>
  <r>
    <n v="41"/>
    <n v="274"/>
    <x v="0"/>
    <x v="0"/>
    <x v="0"/>
    <x v="0"/>
    <x v="0"/>
    <s v="Steam Generator VEIT 2365/4,4 kW1236510000"/>
    <x v="0"/>
    <x v="0"/>
    <s v="мострена бригада"/>
    <x v="0"/>
    <m/>
    <d v="2007-02-20T00:00:00"/>
    <n v="3520.49"/>
    <n v="1799.9979548324752"/>
    <n v="58.67"/>
    <n v="0"/>
  </r>
  <r>
    <n v="42"/>
    <n v="276"/>
    <x v="1"/>
    <x v="0"/>
    <x v="0"/>
    <x v="1"/>
    <x v="22"/>
    <s v="Ironing table  Veit 4443420040"/>
    <x v="2"/>
    <x v="2"/>
    <s v="Шевен 2бр."/>
    <x v="1"/>
    <m/>
    <d v="2007-02-20T00:00:00"/>
    <n v="3144.97"/>
    <n v="1607.9976276056711"/>
    <n v="52.42"/>
    <n v="0"/>
  </r>
  <r>
    <n v="43"/>
    <n v="279"/>
    <x v="0"/>
    <x v="0"/>
    <x v="0"/>
    <x v="0"/>
    <x v="0"/>
    <s v="Steam Generator VEIT 2365/4,4 kW1236510000"/>
    <x v="0"/>
    <x v="0"/>
    <s v="Склад машини"/>
    <x v="1"/>
    <m/>
    <d v="2007-02-20T00:00:00"/>
    <n v="3520.49"/>
    <n v="1799.9979548324752"/>
    <n v="58.67"/>
    <n v="0"/>
  </r>
  <r>
    <n v="44"/>
    <n v="282"/>
    <x v="2"/>
    <x v="1"/>
    <x v="1"/>
    <x v="2"/>
    <x v="23"/>
    <s v="Blindstitch Machine Strobel -KL45-223"/>
    <x v="13"/>
    <x v="9"/>
    <s v="Руйно-1 ет."/>
    <x v="2"/>
    <m/>
    <d v="2008-07-02T00:00:00"/>
    <n v="8032.33"/>
    <n v="4106.8651160888221"/>
    <n v="133.87"/>
    <n v="0"/>
  </r>
  <r>
    <n v="45"/>
    <n v="283"/>
    <x v="8"/>
    <x v="1"/>
    <x v="1"/>
    <x v="8"/>
    <x v="24"/>
    <s v="Bartack machine JUKI LK-1900ASS"/>
    <x v="4"/>
    <x v="0"/>
    <s v="Склад машини"/>
    <x v="1"/>
    <m/>
    <d v="2008-07-02T00:00:00"/>
    <n v="6700.8"/>
    <n v="3426.0646375196211"/>
    <n v="111.68"/>
    <n v="0"/>
  </r>
  <r>
    <n v="46"/>
    <n v="339"/>
    <x v="4"/>
    <x v="3"/>
    <x v="3"/>
    <x v="4"/>
    <x v="25"/>
    <s v="Hand Stitch Sewing Machine Japsew-781"/>
    <x v="4"/>
    <x v="0"/>
    <s v="Руйно-1 ет."/>
    <x v="2"/>
    <m/>
    <d v="2008-02-18T00:00:00"/>
    <n v="8220"/>
    <n v="4202.8192634329162"/>
    <n v="137"/>
    <n v="0"/>
  </r>
  <r>
    <n v="47"/>
    <n v="340"/>
    <x v="4"/>
    <x v="3"/>
    <x v="3"/>
    <x v="4"/>
    <x v="25"/>
    <s v="Hand Stitch Sewing Machine Japsew-781"/>
    <x v="4"/>
    <x v="0"/>
    <s v="Руйно-1 ет."/>
    <x v="2"/>
    <m/>
    <d v="2008-02-18T00:00:00"/>
    <n v="8220"/>
    <n v="4202.8192634329162"/>
    <n v="137"/>
    <n v="0"/>
  </r>
  <r>
    <n v="48"/>
    <n v="400"/>
    <x v="14"/>
    <x v="1"/>
    <x v="1"/>
    <x v="14"/>
    <x v="26"/>
    <s v="Automated CNC cutting system KURIS 3060 factory №361987"/>
    <x v="14"/>
    <x v="0"/>
    <s v="Кроялен участък"/>
    <x v="3"/>
    <m/>
    <d v="2010-06-09T00:00:00"/>
    <n v="276118"/>
    <n v="141176.89165213745"/>
    <n v="6902.95"/>
    <n v="0"/>
  </r>
  <r>
    <n v="49"/>
    <n v="401"/>
    <x v="11"/>
    <x v="2"/>
    <x v="2"/>
    <x v="11"/>
    <x v="27"/>
    <s v="Laying-up and Cutting Table Kuris"/>
    <x v="15"/>
    <x v="10"/>
    <s v="Кроялен участък"/>
    <x v="3"/>
    <m/>
    <d v="2010-06-09T00:00:00"/>
    <n v="47281.49"/>
    <n v="24174.641967860192"/>
    <n v="1182.04"/>
    <n v="0"/>
  </r>
  <r>
    <n v="50"/>
    <n v="402"/>
    <x v="15"/>
    <x v="2"/>
    <x v="2"/>
    <x v="15"/>
    <x v="28"/>
    <s v="Fusing press VEIT BRISAY KANNEGIESSER XT1000"/>
    <x v="16"/>
    <x v="0"/>
    <s v="Кроялен участък"/>
    <x v="3"/>
    <m/>
    <d v="2010-06-09T00:00:00"/>
    <n v="67846"/>
    <n v="34689.108971638641"/>
    <n v="1696.15"/>
    <n v="0"/>
  </r>
  <r>
    <n v="51"/>
    <n v="403"/>
    <x v="15"/>
    <x v="2"/>
    <x v="2"/>
    <x v="15"/>
    <x v="29"/>
    <s v="Fusing press VEIT BRISAY KANNEGIESSER XT1000"/>
    <x v="17"/>
    <x v="0"/>
    <s v="Кроялен участък"/>
    <x v="3"/>
    <m/>
    <d v="2010-06-09T00:00:00"/>
    <n v="67846"/>
    <n v="34689.108971638641"/>
    <n v="1696.15"/>
    <n v="0"/>
  </r>
  <r>
    <n v="52"/>
    <n v="404"/>
    <x v="16"/>
    <x v="0"/>
    <x v="0"/>
    <x v="16"/>
    <x v="30"/>
    <s v="Leg Creasing Press BRI222SH"/>
    <x v="18"/>
    <x v="0"/>
    <s v="Склад машини"/>
    <x v="1"/>
    <m/>
    <d v="2010-06-09T00:00:00"/>
    <n v="56534"/>
    <n v="28905.375211547016"/>
    <n v="1413.35"/>
    <n v="0"/>
  </r>
  <r>
    <n v="53"/>
    <n v="405"/>
    <x v="16"/>
    <x v="0"/>
    <x v="0"/>
    <x v="16"/>
    <x v="31"/>
    <s v="Hip-area ironing press for trousers BRI231/101"/>
    <x v="19"/>
    <x v="0"/>
    <s v="Склад машини"/>
    <x v="1"/>
    <m/>
    <d v="2010-06-09T00:00:00"/>
    <n v="36873"/>
    <n v="18852.865535348166"/>
    <n v="921.83"/>
    <n v="0"/>
  </r>
  <r>
    <n v="54"/>
    <n v="406"/>
    <x v="1"/>
    <x v="0"/>
    <x v="0"/>
    <x v="1"/>
    <x v="32"/>
    <s v="VEIT Varioset Ironing Table, Trouser Seam Opening Buck factory No. 700054051"/>
    <x v="20"/>
    <x v="0"/>
    <s v="мострена бригада"/>
    <x v="0"/>
    <m/>
    <d v="2010-06-09T00:00:00"/>
    <n v="11585"/>
    <n v="5923.316443658191"/>
    <n v="289.63"/>
    <n v="0"/>
  </r>
  <r>
    <n v="55"/>
    <n v="407"/>
    <x v="16"/>
    <x v="0"/>
    <x v="0"/>
    <x v="16"/>
    <x v="33"/>
    <s v="Front Finish Pressing Machine BRI 1005/101"/>
    <x v="21"/>
    <x v="0"/>
    <s v="Шевен 2бр."/>
    <x v="1"/>
    <m/>
    <d v="2010-06-09T00:00:00"/>
    <n v="116371"/>
    <n v="59499.547506685143"/>
    <n v="2909.28"/>
    <n v="0"/>
  </r>
  <r>
    <n v="56"/>
    <n v="408"/>
    <x v="16"/>
    <x v="0"/>
    <x v="0"/>
    <x v="16"/>
    <x v="34"/>
    <s v="Shoulder Finish Pressing Machine BRI 1920E/201"/>
    <x v="22"/>
    <x v="0"/>
    <s v="Довършителен участък "/>
    <x v="1"/>
    <m/>
    <d v="2010-06-09T00:00:00"/>
    <n v="61620"/>
    <n v="31505.805719310985"/>
    <n v="1540.5"/>
    <n v="0"/>
  </r>
  <r>
    <n v="57"/>
    <n v="411"/>
    <x v="16"/>
    <x v="0"/>
    <x v="0"/>
    <x v="16"/>
    <x v="35"/>
    <s v="Small Universal Ironing Press BRI2068/101"/>
    <x v="1"/>
    <x v="0"/>
    <s v="Шевен 2бр."/>
    <x v="1"/>
    <m/>
    <d v="2010-06-09T00:00:00"/>
    <n v="35146"/>
    <n v="17969.864456522297"/>
    <n v="878.65"/>
    <n v="0"/>
  </r>
  <r>
    <n v="58"/>
    <n v="412"/>
    <x v="16"/>
    <x v="0"/>
    <x v="0"/>
    <x v="16"/>
    <x v="36"/>
    <s v="Collar and Lapel Finish Pressing Machine BRI 950 VC"/>
    <x v="23"/>
    <x v="0"/>
    <s v="Довършителен участък "/>
    <x v="1"/>
    <m/>
    <d v="2010-06-09T00:00:00"/>
    <n v="44523"/>
    <n v="22764.248426499234"/>
    <n v="1113.08"/>
    <n v="0"/>
  </r>
  <r>
    <n v="59"/>
    <n v="413"/>
    <x v="16"/>
    <x v="0"/>
    <x v="0"/>
    <x v="16"/>
    <x v="31"/>
    <s v="Trouser topper pressing machine BRI 231/101"/>
    <x v="19"/>
    <x v="0"/>
    <s v="Руйно- 2 ет."/>
    <x v="2"/>
    <m/>
    <d v="2010-06-09T00:00:00"/>
    <n v="35146"/>
    <n v="17969.864456522297"/>
    <n v="878.65"/>
    <n v="0"/>
  </r>
  <r>
    <n v="60"/>
    <n v="414"/>
    <x v="17"/>
    <x v="4"/>
    <x v="4"/>
    <x v="17"/>
    <x v="37"/>
    <s v="(Automatic) Packaging Machine TLS1 Brisay"/>
    <x v="4"/>
    <x v="0"/>
    <s v="Руйно-1 ет."/>
    <x v="2"/>
    <m/>
    <d v="2010-06-09T00:00:00"/>
    <n v="57498.400000000001"/>
    <n v="29398.46510177265"/>
    <n v="1437.46"/>
    <n v="0"/>
  </r>
  <r>
    <n v="61"/>
    <n v="415"/>
    <x v="18"/>
    <x v="1"/>
    <x v="1"/>
    <x v="18"/>
    <x v="38"/>
    <s v="Sleeve setting machine DURKOPP DA 550"/>
    <x v="4"/>
    <x v="0"/>
    <s v="Шевен 1бр."/>
    <x v="1"/>
    <m/>
    <d v="2010-06-09T00:00:00"/>
    <n v="26340"/>
    <n v="13467.428150708396"/>
    <n v="658.5"/>
    <n v="0"/>
  </r>
  <r>
    <n v="62"/>
    <n v="416"/>
    <x v="3"/>
    <x v="2"/>
    <x v="2"/>
    <x v="3"/>
    <x v="13"/>
    <s v="Single Needle Lockstitch Machine Dürkopp 275"/>
    <x v="9"/>
    <x v="11"/>
    <s v="Руйно- 2 ет."/>
    <x v="2"/>
    <m/>
    <d v="2010-06-09T00:00:00"/>
    <n v="9800"/>
    <n v="5010.6604357229417"/>
    <n v="245"/>
    <n v="0"/>
  </r>
  <r>
    <n v="63"/>
    <n v="417"/>
    <x v="3"/>
    <x v="2"/>
    <x v="2"/>
    <x v="3"/>
    <x v="13"/>
    <s v="Single Needle Lockstitch Machine Dürkopp 275"/>
    <x v="9"/>
    <x v="11"/>
    <s v="Руйно- 2 ет."/>
    <x v="2"/>
    <m/>
    <d v="2010-06-09T00:00:00"/>
    <n v="9800"/>
    <n v="5010.6604357229417"/>
    <n v="245"/>
    <n v="0"/>
  </r>
  <r>
    <n v="64"/>
    <n v="418"/>
    <x v="3"/>
    <x v="2"/>
    <x v="2"/>
    <x v="3"/>
    <x v="13"/>
    <s v="Single Needle Lockstitch Machine Dürkopp 275"/>
    <x v="9"/>
    <x v="7"/>
    <s v="Шевен 2бр."/>
    <x v="1"/>
    <m/>
    <d v="2010-06-09T00:00:00"/>
    <n v="15800"/>
    <n v="8078.4117229002522"/>
    <n v="395"/>
    <n v="0"/>
  </r>
  <r>
    <n v="65"/>
    <n v="419"/>
    <x v="5"/>
    <x v="1"/>
    <x v="1"/>
    <x v="5"/>
    <x v="39"/>
    <s v="Buttonhole Machine Dürkopp 559-151"/>
    <x v="5"/>
    <x v="4"/>
    <s v="Шевен 1бр."/>
    <x v="1"/>
    <m/>
    <d v="2010-06-09T00:00:00"/>
    <n v="19900"/>
    <n v="10174.708435804749"/>
    <n v="497.5"/>
    <n v="0"/>
  </r>
  <r>
    <n v="66"/>
    <n v="420"/>
    <x v="8"/>
    <x v="1"/>
    <x v="1"/>
    <x v="8"/>
    <x v="11"/>
    <s v="Bartacking Machine Dürkopp Adler 510-211"/>
    <x v="4"/>
    <x v="0"/>
    <s v="Шевен 1бр."/>
    <x v="1"/>
    <m/>
    <d v="2010-06-09T00:00:00"/>
    <n v="7100"/>
    <n v="3630.1723564931513"/>
    <n v="177.5"/>
    <n v="0"/>
  </r>
  <r>
    <n v="67"/>
    <n v="421"/>
    <x v="19"/>
    <x v="1"/>
    <x v="1"/>
    <x v="19"/>
    <x v="40"/>
    <s v="Welt pocket automatic machine Durkopp-Beisler 100-68"/>
    <x v="4"/>
    <x v="12"/>
    <s v="Руйно-1 ет."/>
    <x v="2"/>
    <m/>
    <d v="2010-06-09T00:00:00"/>
    <n v="48700"/>
    <n v="24899.914614255842"/>
    <n v="1217.5"/>
    <n v="0"/>
  </r>
  <r>
    <n v="68"/>
    <n v="422"/>
    <x v="3"/>
    <x v="2"/>
    <x v="2"/>
    <x v="3"/>
    <x v="41"/>
    <s v="1-needle lockstitch machine JUKI DDL-9000SS"/>
    <x v="4"/>
    <x v="0"/>
    <s v="Шевен 1бр."/>
    <x v="1"/>
    <m/>
    <d v="2010-06-10T00:00:00"/>
    <n v="2828"/>
    <n v="1445.9334400229059"/>
    <n v="70.7"/>
    <n v="0"/>
  </r>
  <r>
    <n v="69"/>
    <n v="423"/>
    <x v="3"/>
    <x v="2"/>
    <x v="2"/>
    <x v="3"/>
    <x v="41"/>
    <s v="1-needle lockstitch machine JUKI DDL-9000SS"/>
    <x v="4"/>
    <x v="0"/>
    <s v="Шевен 1бр."/>
    <x v="1"/>
    <m/>
    <d v="2010-06-10T00:00:00"/>
    <n v="2828"/>
    <n v="1445.9334400229059"/>
    <n v="70.7"/>
    <n v="0"/>
  </r>
  <r>
    <n v="70"/>
    <n v="424"/>
    <x v="3"/>
    <x v="2"/>
    <x v="2"/>
    <x v="3"/>
    <x v="42"/>
    <s v="1-needle lockstitch machine JUKI DLN-5410"/>
    <x v="4"/>
    <x v="13"/>
    <s v="Склад машини"/>
    <x v="1"/>
    <m/>
    <d v="2010-06-10T00:00:00"/>
    <n v="4273"/>
    <n v="2184.7502083514414"/>
    <n v="106.83"/>
    <n v="0"/>
  </r>
  <r>
    <n v="71"/>
    <n v="425"/>
    <x v="3"/>
    <x v="2"/>
    <x v="2"/>
    <x v="3"/>
    <x v="42"/>
    <s v="1-needle lockstitch machine JUKI DLN-5410"/>
    <x v="4"/>
    <x v="13"/>
    <s v="Шевен 1бр."/>
    <x v="1"/>
    <m/>
    <d v="2010-06-10T00:00:00"/>
    <n v="4273"/>
    <n v="2184.7502083514414"/>
    <n v="106.83"/>
    <n v="0"/>
  </r>
  <r>
    <n v="72"/>
    <n v="426"/>
    <x v="6"/>
    <x v="1"/>
    <x v="1"/>
    <x v="6"/>
    <x v="16"/>
    <s v="Button Sewing Machine Juki MB-1373"/>
    <x v="6"/>
    <x v="0"/>
    <s v="Шевен 2бр."/>
    <x v="1"/>
    <m/>
    <d v="2010-06-10T00:00:00"/>
    <n v="3331"/>
    <n v="1703.1132562646037"/>
    <n v="83.28"/>
    <n v="0"/>
  </r>
  <r>
    <n v="73"/>
    <n v="427"/>
    <x v="6"/>
    <x v="1"/>
    <x v="1"/>
    <x v="6"/>
    <x v="16"/>
    <s v="Button Sewing Machine Juki MB-1373"/>
    <x v="6"/>
    <x v="0"/>
    <s v="Шевен 2бр."/>
    <x v="1"/>
    <m/>
    <d v="2010-06-10T00:00:00"/>
    <n v="3331"/>
    <n v="1703.1132562646037"/>
    <n v="83.28"/>
    <n v="0"/>
  </r>
  <r>
    <n v="74"/>
    <n v="429"/>
    <x v="10"/>
    <x v="2"/>
    <x v="2"/>
    <x v="10"/>
    <x v="14"/>
    <s v="Two Needle, 5-Thread Overlock Machine JUKI MO 6716S"/>
    <x v="10"/>
    <x v="14"/>
    <s v="мострена бригада"/>
    <x v="0"/>
    <m/>
    <d v="2010-06-10T00:00:00"/>
    <n v="2843"/>
    <n v="1453.6028182408493"/>
    <n v="71.08"/>
    <n v="0"/>
  </r>
  <r>
    <n v="75"/>
    <n v="430"/>
    <x v="10"/>
    <x v="2"/>
    <x v="2"/>
    <x v="10"/>
    <x v="14"/>
    <s v="Two Needle, 5-Thread Overlock Machine JUKI MO 6716S"/>
    <x v="10"/>
    <x v="14"/>
    <s v="Руйно- 2 ет."/>
    <x v="2"/>
    <m/>
    <d v="2010-06-10T00:00:00"/>
    <n v="2843"/>
    <n v="1453.6028182408493"/>
    <n v="71.08"/>
    <n v="0"/>
  </r>
  <r>
    <n v="76"/>
    <n v="431"/>
    <x v="10"/>
    <x v="2"/>
    <x v="2"/>
    <x v="10"/>
    <x v="14"/>
    <s v="Two Needle, 5-Thread Overlock Machine JUKI MO 6716S"/>
    <x v="10"/>
    <x v="14"/>
    <s v="Шевен 2бр."/>
    <x v="1"/>
    <m/>
    <d v="2010-06-10T00:00:00"/>
    <n v="2843"/>
    <n v="1453.6028182408493"/>
    <n v="71.08"/>
    <n v="0"/>
  </r>
  <r>
    <n v="77"/>
    <n v="432"/>
    <x v="3"/>
    <x v="2"/>
    <x v="2"/>
    <x v="3"/>
    <x v="43"/>
    <s v="Single Needle Lockstitch Machine Juki DLM 5400"/>
    <x v="9"/>
    <x v="15"/>
    <s v="Руйно- 2 ет."/>
    <x v="2"/>
    <m/>
    <d v="2010-06-10T00:00:00"/>
    <n v="5989"/>
    <n v="3062.1270764841524"/>
    <n v="149.72999999999999"/>
    <n v="0"/>
  </r>
  <r>
    <n v="78"/>
    <n v="435"/>
    <x v="20"/>
    <x v="2"/>
    <x v="2"/>
    <x v="20"/>
    <x v="44"/>
    <s v="Su Lee Round Knife Cutter Model ZER.360-70-499"/>
    <x v="24"/>
    <x v="0"/>
    <s v="Кроялен участък"/>
    <x v="3"/>
    <m/>
    <d v="2010-11-15T00:00:00"/>
    <n v="1030.73"/>
    <n v="527.00388070537826"/>
    <n v="25.77"/>
    <n v="0"/>
  </r>
  <r>
    <n v="79"/>
    <n v="436"/>
    <x v="21"/>
    <x v="3"/>
    <x v="3"/>
    <x v="21"/>
    <x v="45"/>
    <s v="Pneumatic Press Machine for Attaching Buttons and Eyelets JLQ03-80"/>
    <x v="25"/>
    <x v="16"/>
    <s v="Руйно- 2 ет."/>
    <x v="2"/>
    <m/>
    <d v="2011-01-28T00:00:00"/>
    <n v="707.83"/>
    <n v="361.90773226711934"/>
    <n v="17.7"/>
    <n v="0"/>
  </r>
  <r>
    <n v="80"/>
    <n v="437"/>
    <x v="20"/>
    <x v="2"/>
    <x v="2"/>
    <x v="20"/>
    <x v="46"/>
    <s v="Su Lee Round Knife Cutter Model ZER.360-70-499"/>
    <x v="24"/>
    <x v="0"/>
    <s v="Кроялен участък"/>
    <x v="3"/>
    <m/>
    <d v="2011-01-05T00:00:00"/>
    <n v="1030.73"/>
    <n v="527.00388070537826"/>
    <n v="25.77"/>
    <n v="0"/>
  </r>
  <r>
    <n v="81"/>
    <n v="438"/>
    <x v="11"/>
    <x v="2"/>
    <x v="2"/>
    <x v="11"/>
    <x v="47"/>
    <s v="Infeed Conveyor Belt for Fusing Press with inventory number 403"/>
    <x v="26"/>
    <x v="17"/>
    <s v="Кроялен участък"/>
    <x v="3"/>
    <m/>
    <d v="2011-01-31T00:00:00"/>
    <n v="2764.93"/>
    <n v="1413.6862610758603"/>
    <n v="69.12"/>
    <n v="0"/>
  </r>
  <r>
    <n v="82"/>
    <n v="439"/>
    <x v="1"/>
    <x v="0"/>
    <x v="0"/>
    <x v="1"/>
    <x v="2"/>
    <s v="Ironing Table Veit uniset S"/>
    <x v="2"/>
    <x v="5"/>
    <s v="Руйно- 2 ет."/>
    <x v="2"/>
    <m/>
    <d v="2011-05-05T00:00:00"/>
    <n v="3892.1"/>
    <n v="1989.999130803802"/>
    <n v="97.3"/>
    <n v="0"/>
  </r>
  <r>
    <n v="83"/>
    <n v="440"/>
    <x v="1"/>
    <x v="0"/>
    <x v="0"/>
    <x v="1"/>
    <x v="2"/>
    <s v="Ironing Table"/>
    <x v="2"/>
    <x v="5"/>
    <s v="Руйно-1 ет."/>
    <x v="2"/>
    <m/>
    <d v="2011-05-05T00:00:00"/>
    <n v="3892.1"/>
    <n v="1989.999130803802"/>
    <n v="97.3"/>
    <n v="0"/>
  </r>
  <r>
    <n v="84"/>
    <n v="441"/>
    <x v="3"/>
    <x v="2"/>
    <x v="2"/>
    <x v="3"/>
    <x v="41"/>
    <s v="Single Needle Lockstitch Machine JUKI DDL 9000 SS"/>
    <x v="4"/>
    <x v="0"/>
    <s v="Склад машини"/>
    <x v="1"/>
    <m/>
    <d v="2012-11-27T00:00:00"/>
    <n v="2015"/>
    <n v="1030.2531406103803"/>
    <n v="50.38"/>
    <n v="0"/>
  </r>
  <r>
    <n v="85"/>
    <n v="442"/>
    <x v="3"/>
    <x v="2"/>
    <x v="2"/>
    <x v="3"/>
    <x v="41"/>
    <s v="Single Needle Lockstitch Machine JUKI DDL 9000 SS"/>
    <x v="4"/>
    <x v="0"/>
    <s v="Руйно- 2 ет."/>
    <x v="2"/>
    <m/>
    <d v="2012-11-27T00:00:00"/>
    <n v="2015"/>
    <n v="1030.2531406103803"/>
    <n v="50.38"/>
    <n v="0"/>
  </r>
  <r>
    <n v="86"/>
    <n v="443"/>
    <x v="3"/>
    <x v="2"/>
    <x v="2"/>
    <x v="3"/>
    <x v="41"/>
    <s v="Single Needle Lockstitch Machine JUKI DDL 9000 SS"/>
    <x v="4"/>
    <x v="0"/>
    <s v="Шевен 3бр."/>
    <x v="1"/>
    <m/>
    <d v="2012-11-27T00:00:00"/>
    <n v="2015"/>
    <n v="1030.2531406103803"/>
    <n v="50.38"/>
    <n v="0"/>
  </r>
  <r>
    <n v="87"/>
    <n v="444"/>
    <x v="3"/>
    <x v="2"/>
    <x v="2"/>
    <x v="3"/>
    <x v="41"/>
    <s v="Single Needle Lockstitch Machine JUKI DDL 9000 SS"/>
    <x v="4"/>
    <x v="0"/>
    <s v="Шевен 2бр."/>
    <x v="1"/>
    <m/>
    <d v="2012-11-27T00:00:00"/>
    <n v="2015"/>
    <n v="1030.2531406103803"/>
    <n v="50.38"/>
    <n v="0"/>
  </r>
  <r>
    <n v="88"/>
    <n v="445"/>
    <x v="3"/>
    <x v="2"/>
    <x v="2"/>
    <x v="3"/>
    <x v="41"/>
    <s v="Single Needle Lockstitch Machine JUKI DDL 9000 SS"/>
    <x v="4"/>
    <x v="0"/>
    <s v="мострена бригада"/>
    <x v="0"/>
    <m/>
    <d v="2012-11-27T00:00:00"/>
    <n v="2015"/>
    <n v="1030.2531406103803"/>
    <n v="50.38"/>
    <n v="0"/>
  </r>
  <r>
    <n v="89"/>
    <n v="446"/>
    <x v="3"/>
    <x v="2"/>
    <x v="2"/>
    <x v="3"/>
    <x v="41"/>
    <s v="Single Needle Lockstitch Machine JUKI DDL 9000 SS"/>
    <x v="4"/>
    <x v="0"/>
    <s v="мострена бригада"/>
    <x v="0"/>
    <m/>
    <d v="2012-11-27T00:00:00"/>
    <n v="2015"/>
    <n v="1030.2531406103803"/>
    <n v="50.38"/>
    <n v="0"/>
  </r>
  <r>
    <n v="90"/>
    <n v="447"/>
    <x v="3"/>
    <x v="2"/>
    <x v="2"/>
    <x v="3"/>
    <x v="41"/>
    <s v="Single Needle Lockstitch Machine JUKI DDL 9000 SS"/>
    <x v="4"/>
    <x v="0"/>
    <s v="Склад машини"/>
    <x v="1"/>
    <m/>
    <d v="2012-11-27T00:00:00"/>
    <n v="2015"/>
    <n v="1030.2531406103803"/>
    <n v="50.38"/>
    <n v="0"/>
  </r>
  <r>
    <n v="91"/>
    <n v="448"/>
    <x v="3"/>
    <x v="2"/>
    <x v="2"/>
    <x v="3"/>
    <x v="41"/>
    <s v="Single Needle Lockstitch Machine JUKI DDL 9000 SS"/>
    <x v="4"/>
    <x v="0"/>
    <s v="мострена бригада"/>
    <x v="0"/>
    <m/>
    <d v="2012-11-27T00:00:00"/>
    <n v="2015"/>
    <n v="1030.2531406103803"/>
    <n v="50.38"/>
    <n v="0"/>
  </r>
  <r>
    <n v="92"/>
    <n v="449"/>
    <x v="3"/>
    <x v="2"/>
    <x v="2"/>
    <x v="3"/>
    <x v="41"/>
    <s v="Single Needle Lockstitch Machine JUKI DDL 9000 SS"/>
    <x v="4"/>
    <x v="0"/>
    <s v="мострена бригада"/>
    <x v="0"/>
    <m/>
    <d v="2012-11-27T00:00:00"/>
    <n v="2015"/>
    <n v="1030.2531406103803"/>
    <n v="50.38"/>
    <n v="0"/>
  </r>
  <r>
    <n v="93"/>
    <n v="450"/>
    <x v="3"/>
    <x v="2"/>
    <x v="2"/>
    <x v="3"/>
    <x v="41"/>
    <s v="Single Needle Lockstitch Machine JUKI DDL 9000 SS"/>
    <x v="4"/>
    <x v="0"/>
    <s v="мострена бригада"/>
    <x v="0"/>
    <m/>
    <d v="2012-11-27T00:00:00"/>
    <n v="2015"/>
    <n v="1030.2531406103803"/>
    <n v="50.38"/>
    <n v="0"/>
  </r>
  <r>
    <n v="94"/>
    <n v="451"/>
    <x v="8"/>
    <x v="1"/>
    <x v="1"/>
    <x v="8"/>
    <x v="48"/>
    <s v="Bartack machine Durkopp Adler 511-211"/>
    <x v="4"/>
    <x v="0"/>
    <s v="Склад машини"/>
    <x v="1"/>
    <m/>
    <d v="2012-12-07T00:00:00"/>
    <n v="2607.12"/>
    <n v="1332.9992893042852"/>
    <n v="65.180000000000007"/>
    <n v="0"/>
  </r>
  <r>
    <n v="95"/>
    <n v="452"/>
    <x v="1"/>
    <x v="0"/>
    <x v="0"/>
    <x v="1"/>
    <x v="49"/>
    <s v="Trouser Leg Ironing Table"/>
    <x v="20"/>
    <x v="0"/>
    <s v="Склад машини"/>
    <x v="1"/>
    <m/>
    <d v="2013-04-01T00:00:00"/>
    <n v="2110.5"/>
    <n v="1079.0815152646192"/>
    <n v="52.76"/>
    <n v="0"/>
  </r>
  <r>
    <n v="96"/>
    <n v="453"/>
    <x v="0"/>
    <x v="0"/>
    <x v="0"/>
    <x v="0"/>
    <x v="0"/>
    <s v="Steam generator VEIT 2365/2-4.4kW"/>
    <x v="0"/>
    <x v="0"/>
    <s v="Склад машини"/>
    <x v="1"/>
    <m/>
    <d v="2013-03-04T00:00:00"/>
    <n v="3520.49"/>
    <n v="1799.9979548324752"/>
    <n v="88.01"/>
    <n v="0"/>
  </r>
  <r>
    <n v="97"/>
    <n v="455"/>
    <x v="6"/>
    <x v="1"/>
    <x v="1"/>
    <x v="6"/>
    <x v="50"/>
    <s v="Button Sewing Machine  Durkopp 531"/>
    <x v="27"/>
    <x v="0"/>
    <s v="Склад машини"/>
    <x v="1"/>
    <m/>
    <d v="2012-12-07T00:00:00"/>
    <n v="3065.76"/>
    <n v="1567.498197696119"/>
    <n v="76.64"/>
    <n v="0"/>
  </r>
  <r>
    <n v="98"/>
    <n v="461"/>
    <x v="1"/>
    <x v="0"/>
    <x v="0"/>
    <x v="1"/>
    <x v="51"/>
    <s v="Ironing Table VEIT 126470"/>
    <x v="1"/>
    <x v="2"/>
    <s v="Шевен 3бр."/>
    <x v="1"/>
    <m/>
    <d v="2012-12-07T00:00:00"/>
    <n v="3012.96"/>
    <n v="1540.5019863689586"/>
    <n v="75.319999999999993"/>
    <n v="0"/>
  </r>
  <r>
    <n v="99"/>
    <n v="462"/>
    <x v="1"/>
    <x v="0"/>
    <x v="0"/>
    <x v="1"/>
    <x v="52"/>
    <s v="Ironing Table Veit for slit"/>
    <x v="28"/>
    <x v="0"/>
    <s v="Шевен 3бр."/>
    <x v="1"/>
    <m/>
    <d v="2012-12-07T00:00:00"/>
    <n v="3012.96"/>
    <n v="1540.5019863689586"/>
    <n v="75.319999999999993"/>
    <n v="0"/>
  </r>
  <r>
    <n v="100"/>
    <n v="463"/>
    <x v="11"/>
    <x v="2"/>
    <x v="2"/>
    <x v="11"/>
    <x v="53"/>
    <s v="Vacuum cutting table  Kuris3070"/>
    <x v="15"/>
    <x v="10"/>
    <s v="Кроялен участък"/>
    <x v="3"/>
    <m/>
    <d v="2012-12-07T00:00:00"/>
    <n v="19427.91"/>
    <n v="9933.3326516108245"/>
    <n v="485.7"/>
    <n v="0"/>
  </r>
  <r>
    <n v="101"/>
    <n v="464"/>
    <x v="3"/>
    <x v="2"/>
    <x v="2"/>
    <x v="3"/>
    <x v="54"/>
    <s v="1-needle lockstitch machine Brother S-7200C"/>
    <x v="4"/>
    <x v="0"/>
    <s v="Склад машини"/>
    <x v="1"/>
    <m/>
    <d v="2012-12-28T00:00:00"/>
    <n v="2366.5500000000002"/>
    <n v="1209.9978014449109"/>
    <n v="59.16"/>
    <n v="0"/>
  </r>
  <r>
    <n v="102"/>
    <n v="465"/>
    <x v="3"/>
    <x v="2"/>
    <x v="2"/>
    <x v="3"/>
    <x v="54"/>
    <s v="1-needle lockstitch machine Brother S-7200C"/>
    <x v="4"/>
    <x v="0"/>
    <s v="Руйно-1 ет."/>
    <x v="2"/>
    <m/>
    <d v="2012-12-28T00:00:00"/>
    <n v="2366.5500000000002"/>
    <n v="1209.9978014449109"/>
    <n v="59.16"/>
    <n v="0"/>
  </r>
  <r>
    <n v="103"/>
    <n v="466"/>
    <x v="3"/>
    <x v="2"/>
    <x v="2"/>
    <x v="3"/>
    <x v="54"/>
    <s v="1-needle lockstitch machine Brother S-7200C"/>
    <x v="4"/>
    <x v="0"/>
    <s v="мострена бригада"/>
    <x v="0"/>
    <m/>
    <d v="2012-12-28T00:00:00"/>
    <n v="2366.5500000000002"/>
    <n v="1209.9978014449109"/>
    <n v="59.16"/>
    <n v="0"/>
  </r>
  <r>
    <n v="104"/>
    <n v="467"/>
    <x v="3"/>
    <x v="2"/>
    <x v="2"/>
    <x v="3"/>
    <x v="54"/>
    <s v="1-needle lockstitch machine Brother S-7200C"/>
    <x v="4"/>
    <x v="0"/>
    <s v="Шевен 2бр."/>
    <x v="1"/>
    <m/>
    <d v="2012-12-28T00:00:00"/>
    <n v="2366.5500000000002"/>
    <n v="1209.9978014449109"/>
    <n v="59.16"/>
    <n v="0"/>
  </r>
  <r>
    <n v="105"/>
    <n v="468"/>
    <x v="3"/>
    <x v="2"/>
    <x v="2"/>
    <x v="3"/>
    <x v="54"/>
    <s v="1-needle lockstitch machine Brother S-7200C"/>
    <x v="4"/>
    <x v="0"/>
    <s v="Руйно- 2 ет."/>
    <x v="2"/>
    <m/>
    <d v="2012-12-28T00:00:00"/>
    <n v="2366.5500000000002"/>
    <n v="1209.9978014449109"/>
    <n v="59.16"/>
    <n v="0"/>
  </r>
  <r>
    <n v="106"/>
    <n v="469"/>
    <x v="3"/>
    <x v="2"/>
    <x v="2"/>
    <x v="3"/>
    <x v="54"/>
    <s v="1-needle lockstitch machine Brother S-7200C"/>
    <x v="4"/>
    <x v="0"/>
    <s v="Шевен 2бр."/>
    <x v="1"/>
    <m/>
    <d v="2012-12-28T00:00:00"/>
    <n v="2366.5500000000002"/>
    <n v="1209.9978014449109"/>
    <n v="59.16"/>
    <n v="0"/>
  </r>
  <r>
    <n v="107"/>
    <n v="470"/>
    <x v="3"/>
    <x v="2"/>
    <x v="2"/>
    <x v="3"/>
    <x v="54"/>
    <s v="1-needle lockstitch machine Brother S-7200C"/>
    <x v="4"/>
    <x v="0"/>
    <s v="Шевен 2бр."/>
    <x v="1"/>
    <m/>
    <d v="2012-12-28T00:00:00"/>
    <n v="2366.5500000000002"/>
    <n v="1209.9978014449109"/>
    <n v="59.16"/>
    <n v="0"/>
  </r>
  <r>
    <n v="108"/>
    <n v="471"/>
    <x v="3"/>
    <x v="2"/>
    <x v="2"/>
    <x v="3"/>
    <x v="54"/>
    <s v="1-needle lockstitch machine Brother S-7200C"/>
    <x v="4"/>
    <x v="0"/>
    <s v="Шевен 2бр."/>
    <x v="1"/>
    <m/>
    <d v="2012-12-28T00:00:00"/>
    <n v="2366.5500000000002"/>
    <n v="1209.9978014449109"/>
    <n v="59.16"/>
    <n v="0"/>
  </r>
  <r>
    <n v="109"/>
    <n v="473"/>
    <x v="3"/>
    <x v="2"/>
    <x v="2"/>
    <x v="3"/>
    <x v="54"/>
    <s v="1-needle lockstitch machine Brother S-7200C"/>
    <x v="4"/>
    <x v="0"/>
    <s v="Шевен 2бр."/>
    <x v="1"/>
    <m/>
    <d v="2012-12-28T00:00:00"/>
    <n v="2366.5500000000002"/>
    <n v="1209.9978014449109"/>
    <n v="59.16"/>
    <n v="0"/>
  </r>
  <r>
    <n v="110"/>
    <n v="474"/>
    <x v="3"/>
    <x v="2"/>
    <x v="2"/>
    <x v="3"/>
    <x v="54"/>
    <s v="1-needle lockstitch machine Brother S-7200C"/>
    <x v="4"/>
    <x v="0"/>
    <s v="Шевен 2бр."/>
    <x v="1"/>
    <m/>
    <d v="2012-12-28T00:00:00"/>
    <n v="2366.5500000000002"/>
    <n v="1209.9978014449109"/>
    <n v="59.16"/>
    <n v="0"/>
  </r>
  <r>
    <n v="111"/>
    <n v="475"/>
    <x v="3"/>
    <x v="2"/>
    <x v="2"/>
    <x v="3"/>
    <x v="54"/>
    <s v="1-needle lockstitch machine Brother S-7200C"/>
    <x v="4"/>
    <x v="0"/>
    <s v="мострена бригада"/>
    <x v="0"/>
    <m/>
    <d v="2012-12-28T00:00:00"/>
    <n v="2366.5500000000002"/>
    <n v="1209.9978014449109"/>
    <n v="59.16"/>
    <n v="0"/>
  </r>
  <r>
    <n v="112"/>
    <n v="476"/>
    <x v="3"/>
    <x v="2"/>
    <x v="2"/>
    <x v="3"/>
    <x v="54"/>
    <s v="1-needle lockstitch machine Brother S-7200C"/>
    <x v="4"/>
    <x v="0"/>
    <s v="Склад машини"/>
    <x v="1"/>
    <m/>
    <d v="2012-12-28T00:00:00"/>
    <n v="2366.5500000000002"/>
    <n v="1209.9978014449109"/>
    <n v="59.16"/>
    <n v="0"/>
  </r>
  <r>
    <n v="113"/>
    <n v="478"/>
    <x v="3"/>
    <x v="2"/>
    <x v="2"/>
    <x v="3"/>
    <x v="54"/>
    <s v="1-needle lockstitch machine Brother S-7200C"/>
    <x v="4"/>
    <x v="0"/>
    <s v="Шевен 1бр."/>
    <x v="1"/>
    <m/>
    <d v="2012-12-28T00:00:00"/>
    <n v="2366.5500000000002"/>
    <n v="1209.9978014449109"/>
    <n v="59.16"/>
    <n v="0"/>
  </r>
  <r>
    <n v="114"/>
    <n v="479"/>
    <x v="3"/>
    <x v="2"/>
    <x v="2"/>
    <x v="3"/>
    <x v="54"/>
    <s v="1-needle lockstitch machine Brother S-7200C"/>
    <x v="4"/>
    <x v="0"/>
    <s v="Склад машини"/>
    <x v="1"/>
    <m/>
    <d v="2012-12-28T00:00:00"/>
    <n v="2366.5500000000002"/>
    <n v="1209.9978014449109"/>
    <n v="59.16"/>
    <n v="0"/>
  </r>
  <r>
    <n v="115"/>
    <n v="480"/>
    <x v="3"/>
    <x v="2"/>
    <x v="2"/>
    <x v="3"/>
    <x v="54"/>
    <s v="1-needle lockstitch machine Brother S-7200C"/>
    <x v="4"/>
    <x v="0"/>
    <s v="Шевен 2бр."/>
    <x v="1"/>
    <m/>
    <d v="2012-12-28T00:00:00"/>
    <n v="2366.5500000000002"/>
    <n v="1209.9978014449109"/>
    <n v="59.16"/>
    <n v="0"/>
  </r>
  <r>
    <n v="116"/>
    <n v="481"/>
    <x v="3"/>
    <x v="2"/>
    <x v="2"/>
    <x v="3"/>
    <x v="54"/>
    <s v="1-needle lockstitch machine Brother S-7200C"/>
    <x v="4"/>
    <x v="0"/>
    <s v="Шевен 2бр."/>
    <x v="1"/>
    <m/>
    <d v="2012-12-28T00:00:00"/>
    <n v="2366.5500000000002"/>
    <n v="1209.9978014449109"/>
    <n v="59.16"/>
    <n v="0"/>
  </r>
  <r>
    <n v="117"/>
    <n v="482"/>
    <x v="3"/>
    <x v="2"/>
    <x v="2"/>
    <x v="3"/>
    <x v="54"/>
    <s v="1-needle lockstitch machine Brother S-7200C"/>
    <x v="4"/>
    <x v="0"/>
    <s v="Руйно- 2 ет."/>
    <x v="2"/>
    <m/>
    <d v="2012-12-28T00:00:00"/>
    <n v="2366.5500000000002"/>
    <n v="1209.9978014449109"/>
    <n v="59.16"/>
    <n v="0"/>
  </r>
  <r>
    <n v="118"/>
    <n v="483"/>
    <x v="3"/>
    <x v="2"/>
    <x v="2"/>
    <x v="3"/>
    <x v="54"/>
    <s v="1-needle lockstitch machine Brother S-7200C"/>
    <x v="4"/>
    <x v="0"/>
    <s v="Шевен 2бр."/>
    <x v="1"/>
    <m/>
    <d v="2012-12-28T00:00:00"/>
    <n v="2366.64"/>
    <n v="1210.0438177142184"/>
    <n v="59.17"/>
    <n v="0"/>
  </r>
  <r>
    <n v="119"/>
    <n v="484"/>
    <x v="3"/>
    <x v="2"/>
    <x v="2"/>
    <x v="3"/>
    <x v="55"/>
    <s v="1-needle lockstitch machine  Durkopp 281"/>
    <x v="4"/>
    <x v="0"/>
    <s v="Склад машини"/>
    <x v="1"/>
    <m/>
    <d v="2013-02-12T00:00:00"/>
    <n v="1994.97"/>
    <n v="1020.01196423002"/>
    <n v="49.87"/>
    <n v="0"/>
  </r>
  <r>
    <n v="120"/>
    <n v="485"/>
    <x v="3"/>
    <x v="2"/>
    <x v="2"/>
    <x v="3"/>
    <x v="55"/>
    <s v="1-needle lockstitch machine  Durkopp 281"/>
    <x v="4"/>
    <x v="0"/>
    <s v="Руйно-1 ет."/>
    <x v="2"/>
    <m/>
    <d v="2013-02-12T00:00:00"/>
    <n v="1994.97"/>
    <n v="1020.01196423002"/>
    <n v="49.87"/>
    <n v="0"/>
  </r>
  <r>
    <n v="121"/>
    <n v="486"/>
    <x v="3"/>
    <x v="2"/>
    <x v="2"/>
    <x v="3"/>
    <x v="55"/>
    <s v="1-needle lockstitch machine  Durkopp 281"/>
    <x v="4"/>
    <x v="0"/>
    <s v="Руйно-1 ет."/>
    <x v="2"/>
    <m/>
    <d v="2013-02-12T00:00:00"/>
    <n v="1994.97"/>
    <n v="1020.01196423002"/>
    <n v="49.87"/>
    <n v="0"/>
  </r>
  <r>
    <n v="122"/>
    <n v="487"/>
    <x v="3"/>
    <x v="2"/>
    <x v="2"/>
    <x v="3"/>
    <x v="55"/>
    <s v="1-needle lockstitch machine  Durkopp 281"/>
    <x v="4"/>
    <x v="0"/>
    <s v="Склад машини"/>
    <x v="1"/>
    <m/>
    <d v="2013-02-12T00:00:00"/>
    <n v="1994.97"/>
    <n v="1020.01196423002"/>
    <n v="49.87"/>
    <n v="0"/>
  </r>
  <r>
    <n v="123"/>
    <n v="488"/>
    <x v="3"/>
    <x v="2"/>
    <x v="2"/>
    <x v="3"/>
    <x v="55"/>
    <s v="1-needle lockstitch machine  Durkopp 281"/>
    <x v="4"/>
    <x v="0"/>
    <s v="Руйно"/>
    <x v="2"/>
    <m/>
    <d v="2013-02-12T00:00:00"/>
    <n v="1994.97"/>
    <n v="1020.01196423002"/>
    <n v="49.87"/>
    <n v="0"/>
  </r>
  <r>
    <n v="124"/>
    <n v="489"/>
    <x v="3"/>
    <x v="2"/>
    <x v="2"/>
    <x v="3"/>
    <x v="55"/>
    <s v="1-needle lockstitch machine  Durkopp 281"/>
    <x v="4"/>
    <x v="0"/>
    <s v="Руйно- 2 ет."/>
    <x v="2"/>
    <m/>
    <d v="2013-02-12T00:00:00"/>
    <n v="1994.97"/>
    <n v="1020.01196423002"/>
    <n v="49.87"/>
    <n v="0"/>
  </r>
  <r>
    <n v="125"/>
    <n v="490"/>
    <x v="3"/>
    <x v="2"/>
    <x v="2"/>
    <x v="3"/>
    <x v="55"/>
    <s v="1-needle lockstitch machine  Durkopp 281"/>
    <x v="4"/>
    <x v="0"/>
    <s v="Руйно- 2 ет."/>
    <x v="2"/>
    <m/>
    <d v="2013-02-12T00:00:00"/>
    <n v="1994.97"/>
    <n v="1020.01196423002"/>
    <n v="49.87"/>
    <n v="0"/>
  </r>
  <r>
    <n v="126"/>
    <n v="491"/>
    <x v="3"/>
    <x v="2"/>
    <x v="2"/>
    <x v="3"/>
    <x v="55"/>
    <s v="1-needle lockstitch machine  Durkopp 281"/>
    <x v="4"/>
    <x v="0"/>
    <s v="Шевен 2бр."/>
    <x v="1"/>
    <m/>
    <d v="2013-02-12T00:00:00"/>
    <n v="1994.97"/>
    <n v="1020.01196423002"/>
    <n v="49.87"/>
    <n v="0"/>
  </r>
  <r>
    <n v="127"/>
    <n v="492"/>
    <x v="3"/>
    <x v="2"/>
    <x v="2"/>
    <x v="3"/>
    <x v="55"/>
    <s v="1-needle lockstitch machine  Durkopp 281"/>
    <x v="4"/>
    <x v="0"/>
    <s v="Руйно-1 ет."/>
    <x v="2"/>
    <m/>
    <d v="2013-02-12T00:00:00"/>
    <n v="1994.97"/>
    <n v="1020.01196423002"/>
    <n v="49.87"/>
    <n v="0"/>
  </r>
  <r>
    <n v="128"/>
    <n v="493"/>
    <x v="1"/>
    <x v="0"/>
    <x v="0"/>
    <x v="1"/>
    <x v="56"/>
    <s v="Ironing table VEIT UNISET S model 4435"/>
    <x v="2"/>
    <x v="5"/>
    <s v="Склад машини"/>
    <x v="1"/>
    <m/>
    <d v="2013-03-04T00:00:00"/>
    <n v="4615.76"/>
    <n v="2360.0006135502576"/>
    <n v="115.39"/>
    <n v="0"/>
  </r>
  <r>
    <n v="129"/>
    <n v="494"/>
    <x v="1"/>
    <x v="0"/>
    <x v="0"/>
    <x v="1"/>
    <x v="57"/>
    <s v="Ironing table Veit 126461"/>
    <x v="2"/>
    <x v="2"/>
    <s v="Шевен 2бр."/>
    <x v="1"/>
    <m/>
    <d v="2013-03-04T00:00:00"/>
    <n v="4615.76"/>
    <n v="2360.0006135502576"/>
    <n v="115.39"/>
    <n v="0"/>
  </r>
  <r>
    <n v="130"/>
    <n v="495"/>
    <x v="10"/>
    <x v="2"/>
    <x v="2"/>
    <x v="10"/>
    <x v="14"/>
    <s v="Two Needle, 5-Thread Overlock Machine JUKI MO 6716S"/>
    <x v="10"/>
    <x v="14"/>
    <s v="Руйно-1 ет."/>
    <x v="2"/>
    <m/>
    <d v="2013-05-07T00:00:00"/>
    <n v="3998"/>
    <n v="2044.1449410224816"/>
    <n v="99.95"/>
    <n v="0"/>
  </r>
  <r>
    <n v="131"/>
    <n v="497"/>
    <x v="10"/>
    <x v="2"/>
    <x v="2"/>
    <x v="10"/>
    <x v="14"/>
    <s v="Two Needle, 5-Thread Overlock Machine JUKI MO 6716S"/>
    <x v="10"/>
    <x v="14"/>
    <s v="Руйно- 2 ет."/>
    <x v="2"/>
    <m/>
    <d v="2013-05-07T00:00:00"/>
    <n v="3998"/>
    <n v="2044.1449410224816"/>
    <n v="99.95"/>
    <n v="0"/>
  </r>
  <r>
    <n v="132"/>
    <n v="498"/>
    <x v="1"/>
    <x v="0"/>
    <x v="0"/>
    <x v="1"/>
    <x v="56"/>
    <s v="Ironing table VEIT UNISET S model.4435 - underpressing"/>
    <x v="2"/>
    <x v="5"/>
    <s v="Склад машини"/>
    <x v="1"/>
    <m/>
    <d v="2013-03-04T00:00:00"/>
    <n v="4615.76"/>
    <n v="2360.0006135502576"/>
    <n v="115.39"/>
    <n v="0"/>
  </r>
  <r>
    <n v="133"/>
    <n v="499"/>
    <x v="1"/>
    <x v="0"/>
    <x v="0"/>
    <x v="1"/>
    <x v="56"/>
    <s v="Ironing table VEIT UNISET S model.4435 - underpressing"/>
    <x v="2"/>
    <x v="5"/>
    <s v="Кроялен участък"/>
    <x v="3"/>
    <m/>
    <d v="2013-03-04T00:00:00"/>
    <n v="4615.76"/>
    <n v="2360.0006135502576"/>
    <n v="115.39"/>
    <n v="0"/>
  </r>
  <r>
    <n v="134"/>
    <n v="501"/>
    <x v="1"/>
    <x v="0"/>
    <x v="0"/>
    <x v="1"/>
    <x v="58"/>
    <s v="Ironing table VEIT UNISET S+B "/>
    <x v="1"/>
    <x v="18"/>
    <s v="Довършителен участък "/>
    <x v="1"/>
    <m/>
    <d v="2013-03-04T00:00:00"/>
    <n v="4969.76"/>
    <n v="2540.9979394937191"/>
    <n v="124.24"/>
    <n v="0"/>
  </r>
  <r>
    <n v="135"/>
    <n v="502"/>
    <x v="10"/>
    <x v="2"/>
    <x v="2"/>
    <x v="10"/>
    <x v="14"/>
    <s v="Two Needle, 5-Thread Overlock Machine JUKI MO 6716S"/>
    <x v="10"/>
    <x v="14"/>
    <s v="Руйно-1 ет."/>
    <x v="2"/>
    <m/>
    <d v="2013-05-07T00:00:00"/>
    <n v="3998"/>
    <n v="2044.1449410224816"/>
    <n v="99.95"/>
    <n v="0"/>
  </r>
  <r>
    <n v="136"/>
    <n v="503"/>
    <x v="1"/>
    <x v="0"/>
    <x v="0"/>
    <x v="1"/>
    <x v="56"/>
    <s v="Ironing table VEIT UNISET S model.4435 - underpressing"/>
    <x v="2"/>
    <x v="5"/>
    <s v="Входящ контрол"/>
    <x v="4"/>
    <m/>
    <d v="2013-03-04T00:00:00"/>
    <n v="4615.76"/>
    <n v="2360.0006135502576"/>
    <n v="115.39"/>
    <n v="0"/>
  </r>
  <r>
    <n v="137"/>
    <n v="504"/>
    <x v="1"/>
    <x v="0"/>
    <x v="0"/>
    <x v="1"/>
    <x v="56"/>
    <s v="Ironing table VEIT UNISET S model.4435 - underpressing"/>
    <x v="2"/>
    <x v="5"/>
    <s v="Кроялен участък"/>
    <x v="3"/>
    <m/>
    <d v="2013-03-04T00:00:00"/>
    <n v="4615.76"/>
    <n v="2360.0006135502576"/>
    <n v="115.39"/>
    <n v="0"/>
  </r>
  <r>
    <n v="138"/>
    <n v="505"/>
    <x v="3"/>
    <x v="2"/>
    <x v="2"/>
    <x v="3"/>
    <x v="55"/>
    <s v="1-needle lockstitch machine  Durkopp 281"/>
    <x v="4"/>
    <x v="0"/>
    <s v="Руйно-1 ет."/>
    <x v="2"/>
    <m/>
    <d v="2013-02-12T00:00:00"/>
    <n v="1994.97"/>
    <n v="1020.01196423002"/>
    <n v="49.87"/>
    <n v="0"/>
  </r>
  <r>
    <n v="139"/>
    <n v="506"/>
    <x v="5"/>
    <x v="1"/>
    <x v="1"/>
    <x v="5"/>
    <x v="59"/>
    <s v="Buttonhole machine  Durkopp 580"/>
    <x v="5"/>
    <x v="19"/>
    <s v="Склад машини"/>
    <x v="1"/>
    <m/>
    <d v="2013-03-04T00:00:00"/>
    <n v="20211"/>
    <n v="10333.720210856773"/>
    <n v="505.28"/>
    <n v="0"/>
  </r>
  <r>
    <n v="140"/>
    <n v="507"/>
    <x v="8"/>
    <x v="1"/>
    <x v="1"/>
    <x v="8"/>
    <x v="48"/>
    <s v="Bartack machine Durkopp Adler 511-211"/>
    <x v="4"/>
    <x v="0"/>
    <s v="Склад машини"/>
    <x v="1"/>
    <m/>
    <d v="2013-03-05T00:00:00"/>
    <n v="5214.24"/>
    <n v="2665.9985786085704"/>
    <n v="130.36000000000001"/>
    <n v="0"/>
  </r>
  <r>
    <n v="141"/>
    <n v="508"/>
    <x v="22"/>
    <x v="1"/>
    <x v="1"/>
    <x v="22"/>
    <x v="60"/>
    <s v="Chainstitch Machine Durkopp 173"/>
    <x v="29"/>
    <x v="20"/>
    <s v="Руйно-1 ет."/>
    <x v="2"/>
    <m/>
    <d v="2013-03-05T00:00:00"/>
    <n v="10000.16"/>
    <n v="5113.0006186631763"/>
    <n v="250"/>
    <n v="0"/>
  </r>
  <r>
    <n v="142"/>
    <n v="509"/>
    <x v="3"/>
    <x v="2"/>
    <x v="2"/>
    <x v="3"/>
    <x v="13"/>
    <s v="Single Needle Lockstitch Machine Dürkopp 275"/>
    <x v="9"/>
    <x v="11"/>
    <s v="Склад машини"/>
    <x v="1"/>
    <m/>
    <d v="2013-03-05T00:00:00"/>
    <n v="9974.73"/>
    <n v="5099.9984661243561"/>
    <n v="249.37"/>
    <n v="0"/>
  </r>
  <r>
    <n v="143"/>
    <n v="510"/>
    <x v="22"/>
    <x v="1"/>
    <x v="1"/>
    <x v="22"/>
    <x v="60"/>
    <s v="Chainstitch Machine Durkopp 173"/>
    <x v="29"/>
    <x v="20"/>
    <s v="Склад машини"/>
    <x v="1"/>
    <m/>
    <d v="2013-03-05T00:00:00"/>
    <n v="10000.16"/>
    <n v="5113.0006186631763"/>
    <n v="250"/>
    <n v="0"/>
  </r>
  <r>
    <n v="144"/>
    <n v="511"/>
    <x v="3"/>
    <x v="2"/>
    <x v="2"/>
    <x v="3"/>
    <x v="13"/>
    <s v="Single Needle Lockstitch Machine Dürkopp 275"/>
    <x v="9"/>
    <x v="11"/>
    <s v="Шевен 2бр."/>
    <x v="1"/>
    <m/>
    <d v="2013-03-05T00:00:00"/>
    <n v="9974.73"/>
    <n v="5099.9984661243561"/>
    <n v="249.37"/>
    <n v="0"/>
  </r>
  <r>
    <n v="145"/>
    <n v="512"/>
    <x v="3"/>
    <x v="2"/>
    <x v="2"/>
    <x v="3"/>
    <x v="13"/>
    <s v="Single Needle Lockstitch Machine Dürkopp 275"/>
    <x v="9"/>
    <x v="11"/>
    <s v="Склад машини"/>
    <x v="1"/>
    <m/>
    <d v="2013-03-05T00:00:00"/>
    <n v="9974.73"/>
    <n v="5099.9984661243561"/>
    <n v="249.37"/>
    <n v="0"/>
  </r>
  <r>
    <n v="146"/>
    <n v="513"/>
    <x v="0"/>
    <x v="0"/>
    <x v="0"/>
    <x v="0"/>
    <x v="61"/>
    <s v="Steam Generator VEIT 2366/2.2 kW"/>
    <x v="30"/>
    <x v="0"/>
    <s v="Склад машини"/>
    <x v="1"/>
    <m/>
    <d v="2013-03-04T00:00:00"/>
    <n v="2500"/>
    <n v="1278.2297029905462"/>
    <n v="62.5"/>
    <n v="0"/>
  </r>
  <r>
    <n v="147"/>
    <n v="514"/>
    <x v="0"/>
    <x v="0"/>
    <x v="0"/>
    <x v="0"/>
    <x v="61"/>
    <s v="Steam Generator VEIT 2366/2.2 kW"/>
    <x v="30"/>
    <x v="0"/>
    <s v="Техническа подготовка"/>
    <x v="5"/>
    <m/>
    <d v="2013-03-04T00:00:00"/>
    <n v="2500"/>
    <n v="1278.2297029905462"/>
    <n v="62.5"/>
    <n v="0"/>
  </r>
  <r>
    <n v="148"/>
    <n v="515"/>
    <x v="0"/>
    <x v="0"/>
    <x v="0"/>
    <x v="0"/>
    <x v="61"/>
    <s v="Steam Generator VEIT 2366/2.2 kW"/>
    <x v="30"/>
    <x v="0"/>
    <s v="Склад машини"/>
    <x v="1"/>
    <m/>
    <m/>
    <n v="2500"/>
    <n v="1278.2297029905462"/>
    <n v="62.5"/>
    <n v="0"/>
  </r>
  <r>
    <n v="149"/>
    <n v="516"/>
    <x v="0"/>
    <x v="0"/>
    <x v="0"/>
    <x v="0"/>
    <x v="61"/>
    <s v="Steam Generator VEIT 2366/2.2 kW"/>
    <x v="30"/>
    <x v="0"/>
    <s v="Склад машини"/>
    <x v="1"/>
    <m/>
    <d v="2013-03-04T00:00:00"/>
    <n v="2500"/>
    <n v="1278.2297029905462"/>
    <n v="62.5"/>
    <n v="0"/>
  </r>
  <r>
    <n v="150"/>
    <n v="517"/>
    <x v="0"/>
    <x v="0"/>
    <x v="0"/>
    <x v="0"/>
    <x v="61"/>
    <s v="Steam Generator VEIT 2366/2.2 kW"/>
    <x v="30"/>
    <x v="0"/>
    <s v="мострена бригада"/>
    <x v="0"/>
    <m/>
    <d v="2013-03-04T00:00:00"/>
    <n v="2500"/>
    <n v="1278.2297029905462"/>
    <n v="62.5"/>
    <n v="0"/>
  </r>
  <r>
    <n v="151"/>
    <n v="519"/>
    <x v="0"/>
    <x v="0"/>
    <x v="0"/>
    <x v="0"/>
    <x v="0"/>
    <s v="Steam Generator VEIT 2365/2-4.4kW"/>
    <x v="0"/>
    <x v="0"/>
    <s v="Склад машини"/>
    <x v="1"/>
    <m/>
    <d v="2013-03-04T00:00:00"/>
    <n v="3520.49"/>
    <n v="1799.9979548324752"/>
    <n v="88.01"/>
    <n v="0"/>
  </r>
  <r>
    <n v="152"/>
    <n v="520"/>
    <x v="23"/>
    <x v="5"/>
    <x v="5"/>
    <x v="23"/>
    <x v="62"/>
    <s v="Steam Generator JUMAG"/>
    <x v="4"/>
    <x v="0"/>
    <s v="Руйно-котелно"/>
    <x v="2"/>
    <m/>
    <d v="2013-03-05T00:00:00"/>
    <n v="155003.44"/>
    <n v="79252.000429485182"/>
    <n v="3875.09"/>
    <n v="0"/>
  </r>
  <r>
    <n v="153"/>
    <n v="521"/>
    <x v="0"/>
    <x v="0"/>
    <x v="0"/>
    <x v="0"/>
    <x v="61"/>
    <s v="Steam Generator VEIT 2366/2.2 kW"/>
    <x v="30"/>
    <x v="0"/>
    <s v="Склад машини"/>
    <x v="1"/>
    <m/>
    <d v="2013-03-04T00:00:00"/>
    <n v="2500"/>
    <n v="1278.2297029905462"/>
    <n v="62.5"/>
    <n v="0"/>
  </r>
  <r>
    <n v="154"/>
    <n v="522"/>
    <x v="1"/>
    <x v="0"/>
    <x v="0"/>
    <x v="1"/>
    <x v="63"/>
    <s v="Ironing table VEIT S126449"/>
    <x v="2"/>
    <x v="5"/>
    <s v="Руйно- 2 ет."/>
    <x v="2"/>
    <m/>
    <d v="2013-04-01T00:00:00"/>
    <n v="1538"/>
    <n v="786.36691327978406"/>
    <n v="38.450000000000003"/>
    <n v="0"/>
  </r>
  <r>
    <n v="155"/>
    <n v="523"/>
    <x v="0"/>
    <x v="0"/>
    <x v="0"/>
    <x v="0"/>
    <x v="0"/>
    <s v="Steam Generator VEIT 2366/2.2 kW"/>
    <x v="0"/>
    <x v="0"/>
    <s v="Руйно- 2 ет."/>
    <x v="2"/>
    <m/>
    <d v="2013-03-04T00:00:00"/>
    <n v="3520.49"/>
    <n v="1799.9979548324752"/>
    <n v="88.01"/>
    <n v="0"/>
  </r>
  <r>
    <n v="156"/>
    <n v="524"/>
    <x v="1"/>
    <x v="0"/>
    <x v="0"/>
    <x v="1"/>
    <x v="63"/>
    <s v="Ironing table VEIT S126449"/>
    <x v="2"/>
    <x v="5"/>
    <s v="Руйно- 2 ет."/>
    <x v="2"/>
    <m/>
    <d v="2013-04-01T00:00:00"/>
    <n v="1538"/>
    <n v="786.36691327978406"/>
    <n v="38.450000000000003"/>
    <n v="0"/>
  </r>
  <r>
    <n v="157"/>
    <n v="525"/>
    <x v="1"/>
    <x v="0"/>
    <x v="0"/>
    <x v="1"/>
    <x v="63"/>
    <s v="Ironing table VEIT S126449"/>
    <x v="2"/>
    <x v="5"/>
    <s v="Руйно- 2 ет."/>
    <x v="2"/>
    <m/>
    <d v="2013-04-01T00:00:00"/>
    <n v="1538"/>
    <n v="786.36691327978406"/>
    <n v="38.450000000000003"/>
    <n v="0"/>
  </r>
  <r>
    <n v="158"/>
    <n v="526"/>
    <x v="1"/>
    <x v="0"/>
    <x v="0"/>
    <x v="1"/>
    <x v="63"/>
    <s v="Ironing table VEIT S126449"/>
    <x v="2"/>
    <x v="5"/>
    <s v="Руйно-1 ет."/>
    <x v="2"/>
    <m/>
    <d v="2013-04-01T00:00:00"/>
    <n v="1538"/>
    <n v="786.36691327978406"/>
    <n v="38.450000000000003"/>
    <n v="0"/>
  </r>
  <r>
    <n v="159"/>
    <n v="527"/>
    <x v="1"/>
    <x v="0"/>
    <x v="0"/>
    <x v="1"/>
    <x v="63"/>
    <s v="Ironing table VEIT S126449"/>
    <x v="2"/>
    <x v="5"/>
    <s v="Руйно- 2 ет."/>
    <x v="2"/>
    <m/>
    <d v="2013-04-01T00:00:00"/>
    <n v="1538"/>
    <n v="786.36691327978406"/>
    <n v="38.450000000000003"/>
    <n v="0"/>
  </r>
  <r>
    <n v="160"/>
    <n v="528"/>
    <x v="1"/>
    <x v="0"/>
    <x v="0"/>
    <x v="1"/>
    <x v="63"/>
    <s v="Ironing table VEIT S126449"/>
    <x v="2"/>
    <x v="5"/>
    <s v="Руйно- 2 ет."/>
    <x v="2"/>
    <m/>
    <d v="2013-04-01T00:00:00"/>
    <n v="1538"/>
    <n v="786.36691327978406"/>
    <n v="38.450000000000003"/>
    <n v="0"/>
  </r>
  <r>
    <n v="161"/>
    <n v="529"/>
    <x v="1"/>
    <x v="0"/>
    <x v="0"/>
    <x v="1"/>
    <x v="63"/>
    <s v="Ironing table VEIT S126449"/>
    <x v="2"/>
    <x v="5"/>
    <s v="Руйно- 2 ет."/>
    <x v="2"/>
    <m/>
    <d v="2013-04-01T00:00:00"/>
    <n v="1538"/>
    <n v="786.36691327978406"/>
    <n v="38.450000000000003"/>
    <n v="0"/>
  </r>
  <r>
    <n v="162"/>
    <n v="530"/>
    <x v="1"/>
    <x v="0"/>
    <x v="0"/>
    <x v="1"/>
    <x v="63"/>
    <s v="Ironing table VEIT S126449"/>
    <x v="2"/>
    <x v="5"/>
    <s v="Руйно-1 ет."/>
    <x v="2"/>
    <m/>
    <d v="2013-04-01T00:00:00"/>
    <n v="1538"/>
    <n v="786.36691327978406"/>
    <n v="38.450000000000003"/>
    <n v="0"/>
  </r>
  <r>
    <n v="163"/>
    <n v="531"/>
    <x v="1"/>
    <x v="0"/>
    <x v="0"/>
    <x v="1"/>
    <x v="63"/>
    <s v="Ironing table VEIT S126449"/>
    <x v="2"/>
    <x v="5"/>
    <s v="Руйно-1 ет."/>
    <x v="2"/>
    <m/>
    <d v="2013-04-01T00:00:00"/>
    <n v="1538"/>
    <n v="786.36691327978406"/>
    <n v="38.450000000000003"/>
    <n v="0"/>
  </r>
  <r>
    <n v="164"/>
    <n v="532"/>
    <x v="14"/>
    <x v="1"/>
    <x v="1"/>
    <x v="14"/>
    <x v="64"/>
    <s v="Automated CNC cutting system KURIS 3030"/>
    <x v="31"/>
    <x v="0"/>
    <s v="Кроялен участък"/>
    <x v="3"/>
    <m/>
    <d v="2013-04-01T00:00:00"/>
    <n v="78233.2"/>
    <n v="40000"/>
    <n v="1955.83"/>
    <n v="0"/>
  </r>
  <r>
    <n v="165"/>
    <n v="533"/>
    <x v="3"/>
    <x v="2"/>
    <x v="2"/>
    <x v="3"/>
    <x v="13"/>
    <s v="Single Needle Lockstitch Machine Dürkopp 275"/>
    <x v="4"/>
    <x v="21"/>
    <s v="Руйно-1 ет."/>
    <x v="2"/>
    <m/>
    <d v="2013-04-30T00:00:00"/>
    <n v="5965.28"/>
    <n v="3049.9992330621781"/>
    <n v="149.13"/>
    <n v="0"/>
  </r>
  <r>
    <n v="166"/>
    <n v="534"/>
    <x v="3"/>
    <x v="2"/>
    <x v="2"/>
    <x v="3"/>
    <x v="13"/>
    <s v="Single Needle Lockstitch Machine Dürkopp 275"/>
    <x v="9"/>
    <x v="11"/>
    <s v="Руйно-1 ет."/>
    <x v="2"/>
    <m/>
    <d v="2013-04-30T00:00:00"/>
    <n v="4987.37"/>
    <n v="2550.0017895215842"/>
    <n v="124.68"/>
    <n v="0"/>
  </r>
  <r>
    <n v="167"/>
    <n v="535"/>
    <x v="3"/>
    <x v="2"/>
    <x v="2"/>
    <x v="3"/>
    <x v="13"/>
    <s v="Single Needle Lockstitch Machine Dürkopp 275"/>
    <x v="32"/>
    <x v="22"/>
    <s v="Склад машини"/>
    <x v="1"/>
    <m/>
    <d v="2013-04-30T00:00:00"/>
    <n v="6454.24"/>
    <n v="3300.0005112918811"/>
    <n v="161.36000000000001"/>
    <n v="0"/>
  </r>
  <r>
    <n v="168"/>
    <n v="536"/>
    <x v="3"/>
    <x v="2"/>
    <x v="2"/>
    <x v="3"/>
    <x v="13"/>
    <s v="Single Needle Lockstitch Machine Dürkopp 275"/>
    <x v="9"/>
    <x v="11"/>
    <s v="Руйно-1 ет."/>
    <x v="2"/>
    <m/>
    <d v="2013-04-30T00:00:00"/>
    <n v="6454.24"/>
    <n v="3300.0005112918811"/>
    <n v="161.36000000000001"/>
    <n v="0"/>
  </r>
  <r>
    <n v="169"/>
    <n v="537"/>
    <x v="3"/>
    <x v="2"/>
    <x v="2"/>
    <x v="3"/>
    <x v="13"/>
    <s v="Single Needle Lockstitch Machine Dürkopp 275"/>
    <x v="4"/>
    <x v="21"/>
    <s v="Склад машини"/>
    <x v="1"/>
    <m/>
    <d v="2013-04-30T00:00:00"/>
    <n v="5965.28"/>
    <n v="3049.9992330621781"/>
    <n v="149.13"/>
    <n v="0"/>
  </r>
  <r>
    <n v="170"/>
    <n v="538"/>
    <x v="15"/>
    <x v="2"/>
    <x v="2"/>
    <x v="15"/>
    <x v="65"/>
    <s v="Fusing press Veit Brisay Kannegiesser ЕХ1400 Multistar FE/CR/B soft"/>
    <x v="17"/>
    <x v="0"/>
    <s v="Кроялен участък"/>
    <x v="3"/>
    <m/>
    <d v="2013-04-08T00:00:00"/>
    <n v="35639.14"/>
    <n v="18222.002934815398"/>
    <n v="890.98"/>
    <n v="0"/>
  </r>
  <r>
    <n v="171"/>
    <n v="539"/>
    <x v="24"/>
    <x v="3"/>
    <x v="3"/>
    <x v="24"/>
    <x v="66"/>
    <s v="Automatic Small Parts Sewing Unit  PFAFF3511-2/1"/>
    <x v="4"/>
    <x v="0"/>
    <s v="Склад машини"/>
    <x v="1"/>
    <m/>
    <d v="2013-05-17T00:00:00"/>
    <n v="26990"/>
    <n v="13799.767873485936"/>
    <n v="674.75"/>
    <n v="0"/>
  </r>
  <r>
    <n v="172"/>
    <n v="540"/>
    <x v="24"/>
    <x v="3"/>
    <x v="3"/>
    <x v="24"/>
    <x v="66"/>
    <s v="Automatic Small Parts Sewing Unit  PFAFF3511-2/1"/>
    <x v="4"/>
    <x v="0"/>
    <s v="Склад машини"/>
    <x v="1"/>
    <m/>
    <d v="2013-05-17T00:00:00"/>
    <n v="26990"/>
    <n v="13799.767873485936"/>
    <n v="674.75"/>
    <n v="0"/>
  </r>
  <r>
    <n v="173"/>
    <n v="542"/>
    <x v="25"/>
    <x v="1"/>
    <x v="1"/>
    <x v="25"/>
    <x v="67"/>
    <s v="Automatic Short Seamer for Darts and Waistband Pleats  3586-12/02"/>
    <x v="4"/>
    <x v="0"/>
    <s v="Руйно- 2 ет."/>
    <x v="2"/>
    <m/>
    <d v="2013-05-17T00:00:00"/>
    <n v="55741"/>
    <n v="28499.920749758414"/>
    <n v="1393.53"/>
    <n v="0"/>
  </r>
  <r>
    <n v="174"/>
    <n v="543"/>
    <x v="26"/>
    <x v="3"/>
    <x v="3"/>
    <x v="26"/>
    <x v="68"/>
    <s v="Heat transfer press  GRUNDLER GTK"/>
    <x v="4"/>
    <x v="0"/>
    <s v="Склад машини"/>
    <x v="1"/>
    <m/>
    <d v="2013-05-17T00:00:00"/>
    <n v="10855"/>
    <n v="5550.0733703849519"/>
    <n v="271.38"/>
    <n v="0"/>
  </r>
  <r>
    <n v="175"/>
    <n v="544"/>
    <x v="22"/>
    <x v="1"/>
    <x v="1"/>
    <x v="22"/>
    <x v="69"/>
    <s v="Chainstitch Machine Kansai  FBX1104PA"/>
    <x v="33"/>
    <x v="23"/>
    <s v="Склад машини"/>
    <x v="1"/>
    <m/>
    <d v="2013-05-16T00:00:00"/>
    <n v="10464"/>
    <n v="5350.1582448372301"/>
    <n v="261.60000000000002"/>
    <n v="0"/>
  </r>
  <r>
    <n v="176"/>
    <n v="545"/>
    <x v="3"/>
    <x v="2"/>
    <x v="2"/>
    <x v="3"/>
    <x v="70"/>
    <s v="1-needle lockstitch machine  Brother S7200"/>
    <x v="4"/>
    <x v="13"/>
    <s v="Руйно- 2 ет."/>
    <x v="2"/>
    <m/>
    <d v="2013-05-16T00:00:00"/>
    <n v="6393"/>
    <n v="3268.6889964874249"/>
    <n v="159.83000000000001"/>
    <n v="0"/>
  </r>
  <r>
    <n v="177"/>
    <n v="546"/>
    <x v="3"/>
    <x v="2"/>
    <x v="2"/>
    <x v="3"/>
    <x v="70"/>
    <s v="1-needle lockstitch machine  Brother S7200"/>
    <x v="4"/>
    <x v="13"/>
    <s v="Руйно-1 ет."/>
    <x v="2"/>
    <m/>
    <d v="2013-05-16T00:00:00"/>
    <n v="6393"/>
    <n v="3268.6889964874249"/>
    <n v="159.83000000000001"/>
    <n v="0"/>
  </r>
  <r>
    <n v="178"/>
    <n v="547"/>
    <x v="3"/>
    <x v="2"/>
    <x v="2"/>
    <x v="3"/>
    <x v="70"/>
    <s v="1-needle lockstitch machine  Brother S7200"/>
    <x v="4"/>
    <x v="13"/>
    <s v="Руйно-1 ет."/>
    <x v="2"/>
    <m/>
    <d v="2013-05-16T00:00:00"/>
    <n v="6393"/>
    <n v="3268.6889964874249"/>
    <n v="159.83000000000001"/>
    <n v="0"/>
  </r>
  <r>
    <n v="179"/>
    <n v="548"/>
    <x v="3"/>
    <x v="2"/>
    <x v="2"/>
    <x v="3"/>
    <x v="70"/>
    <s v="1-needle lockstitch machine  Brother S7200"/>
    <x v="4"/>
    <x v="13"/>
    <s v="Руйно-1 ет."/>
    <x v="2"/>
    <m/>
    <d v="2013-05-16T00:00:00"/>
    <n v="6393"/>
    <n v="3268.6889964874249"/>
    <n v="159.83000000000001"/>
    <n v="0"/>
  </r>
  <r>
    <n v="180"/>
    <n v="549"/>
    <x v="3"/>
    <x v="2"/>
    <x v="2"/>
    <x v="3"/>
    <x v="70"/>
    <s v="1-needle lockstitch machine  Brother S7200"/>
    <x v="4"/>
    <x v="13"/>
    <s v="Руйно-1 ет."/>
    <x v="2"/>
    <m/>
    <d v="2013-05-16T00:00:00"/>
    <n v="6393"/>
    <n v="3268.6889964874249"/>
    <n v="159.83000000000001"/>
    <n v="0"/>
  </r>
  <r>
    <n v="181"/>
    <n v="550"/>
    <x v="3"/>
    <x v="2"/>
    <x v="2"/>
    <x v="3"/>
    <x v="70"/>
    <s v="1-needle lockstitch machine  Brother S7200"/>
    <x v="4"/>
    <x v="13"/>
    <s v="Руйно- 2 ет."/>
    <x v="2"/>
    <m/>
    <d v="2013-05-16T00:00:00"/>
    <n v="6393"/>
    <n v="3268.6889964874249"/>
    <n v="159.83000000000001"/>
    <n v="0"/>
  </r>
  <r>
    <n v="182"/>
    <n v="551"/>
    <x v="3"/>
    <x v="2"/>
    <x v="2"/>
    <x v="3"/>
    <x v="70"/>
    <s v="1-needle lockstitch machine  Brother S7200"/>
    <x v="4"/>
    <x v="13"/>
    <s v="Руйно-1 ет."/>
    <x v="2"/>
    <m/>
    <d v="2013-05-16T00:00:00"/>
    <n v="6393"/>
    <n v="3268.6889964874249"/>
    <n v="159.83000000000001"/>
    <n v="0"/>
  </r>
  <r>
    <n v="183"/>
    <n v="552"/>
    <x v="3"/>
    <x v="2"/>
    <x v="2"/>
    <x v="3"/>
    <x v="70"/>
    <s v="1-needle lockstitch machine  Brother S7200"/>
    <x v="4"/>
    <x v="13"/>
    <s v="Руйно-1 ет."/>
    <x v="2"/>
    <m/>
    <d v="2013-05-16T00:00:00"/>
    <n v="6393"/>
    <n v="3268.6889964874249"/>
    <n v="159.83000000000001"/>
    <n v="0"/>
  </r>
  <r>
    <n v="184"/>
    <n v="553"/>
    <x v="3"/>
    <x v="2"/>
    <x v="2"/>
    <x v="3"/>
    <x v="70"/>
    <s v="1-needle lockstitch machine  Brother S7200"/>
    <x v="4"/>
    <x v="13"/>
    <s v="Руйно-1 ет."/>
    <x v="2"/>
    <m/>
    <d v="2013-05-16T00:00:00"/>
    <n v="6393"/>
    <n v="3268.6889964874249"/>
    <n v="159.83000000000001"/>
    <n v="0"/>
  </r>
  <r>
    <n v="185"/>
    <n v="554"/>
    <x v="3"/>
    <x v="2"/>
    <x v="2"/>
    <x v="3"/>
    <x v="70"/>
    <s v="1-needle lockstitch machine  Brother S7200"/>
    <x v="4"/>
    <x v="13"/>
    <s v="Руйно-1 ет."/>
    <x v="2"/>
    <m/>
    <d v="2013-05-16T00:00:00"/>
    <n v="6393"/>
    <n v="3268.6889964874249"/>
    <n v="159.83000000000001"/>
    <n v="0"/>
  </r>
  <r>
    <n v="186"/>
    <n v="584"/>
    <x v="3"/>
    <x v="2"/>
    <x v="2"/>
    <x v="3"/>
    <x v="71"/>
    <s v="1-needle lockstitch machine JUKI DDL 8300N"/>
    <x v="4"/>
    <x v="0"/>
    <s v="мострена бригада"/>
    <x v="0"/>
    <m/>
    <d v="2005-04-29T00:00:00"/>
    <n v="890"/>
    <n v="455.04977426463444"/>
    <n v="14.83"/>
    <n v="0"/>
  </r>
  <r>
    <n v="187"/>
    <n v="594"/>
    <x v="3"/>
    <x v="2"/>
    <x v="2"/>
    <x v="3"/>
    <x v="72"/>
    <s v="1-needle lockstitch machine JUKI DDL 8500 -7"/>
    <x v="4"/>
    <x v="0"/>
    <s v="Склад машини"/>
    <x v="1"/>
    <m/>
    <d v="2004-11-24T00:00:00"/>
    <n v="3500"/>
    <n v="1789.5215841867648"/>
    <n v="58.33"/>
    <n v="0"/>
  </r>
  <r>
    <n v="188"/>
    <n v="599"/>
    <x v="27"/>
    <x v="3"/>
    <x v="3"/>
    <x v="27"/>
    <x v="73"/>
    <s v="Union Special Coverstitch Machine -  FS332401-3B56"/>
    <x v="34"/>
    <x v="24"/>
    <s v="Руйно- 2 ет."/>
    <x v="2"/>
    <m/>
    <d v="2003-12-01T00:00:00"/>
    <n v="1400"/>
    <n v="715.8086336747059"/>
    <n v="0"/>
    <n v="0"/>
  </r>
  <r>
    <n v="189"/>
    <n v="616"/>
    <x v="8"/>
    <x v="1"/>
    <x v="1"/>
    <x v="8"/>
    <x v="11"/>
    <s v="Bartack machine  Durkopp 510-211"/>
    <x v="4"/>
    <x v="0"/>
    <s v="мострена бригада"/>
    <x v="0"/>
    <m/>
    <n v="25012006"/>
    <n v="7100"/>
    <n v="3630.1723564931513"/>
    <n v="118.33"/>
    <n v="0"/>
  </r>
  <r>
    <n v="190"/>
    <n v="620"/>
    <x v="3"/>
    <x v="2"/>
    <x v="2"/>
    <x v="3"/>
    <x v="72"/>
    <s v="1-needle lockstitch machine JUKI DDL 8700-7"/>
    <x v="4"/>
    <x v="0"/>
    <s v="Шевен 2бр."/>
    <x v="1"/>
    <m/>
    <n v="11052006"/>
    <n v="2145.64"/>
    <n v="1097.0483119698542"/>
    <n v="35.76"/>
    <n v="0"/>
  </r>
  <r>
    <n v="191"/>
    <n v="622"/>
    <x v="1"/>
    <x v="0"/>
    <x v="0"/>
    <x v="1"/>
    <x v="19"/>
    <s v="Ironing Table (Suction + Blowing) Indupress IPN 1260 DOB S+B"/>
    <x v="4"/>
    <x v="1"/>
    <s v="Довършителен участък "/>
    <x v="1"/>
    <m/>
    <n v="30092004"/>
    <n v="5043.6899999999996"/>
    <n v="2578.7977482705551"/>
    <n v="84.06"/>
    <n v="0"/>
  </r>
  <r>
    <n v="192"/>
    <n v="624"/>
    <x v="3"/>
    <x v="2"/>
    <x v="2"/>
    <x v="3"/>
    <x v="41"/>
    <s v="1-needle lockstitch machine JUKI DDL 9000 SS"/>
    <x v="4"/>
    <x v="0"/>
    <s v="Шевен 2бр."/>
    <x v="1"/>
    <m/>
    <n v="11052006"/>
    <n v="4866.49"/>
    <n v="2488.1968269225854"/>
    <n v="81.11"/>
    <n v="0"/>
  </r>
  <r>
    <n v="193"/>
    <n v="627"/>
    <x v="4"/>
    <x v="3"/>
    <x v="3"/>
    <x v="4"/>
    <x v="25"/>
    <s v="Hand Stitch Sewing Machine Japsew-781"/>
    <x v="4"/>
    <x v="0"/>
    <s v="Руйно-1 ет."/>
    <x v="2"/>
    <m/>
    <n v="26072005"/>
    <n v="25906.9"/>
    <n v="13245.987636962314"/>
    <n v="431.78"/>
    <n v="0"/>
  </r>
  <r>
    <n v="194"/>
    <n v="628"/>
    <x v="3"/>
    <x v="2"/>
    <x v="2"/>
    <x v="3"/>
    <x v="41"/>
    <s v="1-needle lockstitch machineJUKI DDL 9000 SS"/>
    <x v="4"/>
    <x v="13"/>
    <s v="Склад машини"/>
    <x v="1"/>
    <m/>
    <n v="11052005"/>
    <n v="4866.49"/>
    <n v="2488.1968269225854"/>
    <n v="81.11"/>
    <n v="0"/>
  </r>
  <r>
    <n v="195"/>
    <n v="632"/>
    <x v="3"/>
    <x v="2"/>
    <x v="2"/>
    <x v="3"/>
    <x v="41"/>
    <s v="1-needle lockstitch machineJUKI DDL 9000 SS"/>
    <x v="4"/>
    <x v="0"/>
    <s v="Шевен 2бр."/>
    <x v="1"/>
    <m/>
    <n v="11052006"/>
    <n v="2145.64"/>
    <n v="1097.0483119698542"/>
    <n v="35.76"/>
    <n v="0"/>
  </r>
  <r>
    <n v="196"/>
    <n v="636"/>
    <x v="3"/>
    <x v="2"/>
    <x v="2"/>
    <x v="3"/>
    <x v="72"/>
    <s v="1-needle lockstitch machine JUKI DDL 8700-7"/>
    <x v="4"/>
    <x v="0"/>
    <s v="Шевен 3бр."/>
    <x v="1"/>
    <m/>
    <n v="11052006"/>
    <n v="2145.64"/>
    <n v="1097.0483119698542"/>
    <n v="35.76"/>
    <n v="0"/>
  </r>
  <r>
    <n v="197"/>
    <n v="639"/>
    <x v="26"/>
    <x v="3"/>
    <x v="3"/>
    <x v="26"/>
    <x v="74"/>
    <s v="Heat transfer press  SESTO DNT6350PPV"/>
    <x v="4"/>
    <x v="0"/>
    <s v="Руйно- 2 ет."/>
    <x v="2"/>
    <m/>
    <n v="8092005"/>
    <n v="5385.16"/>
    <n v="2753.3885869426281"/>
    <n v="89.75"/>
    <n v="0"/>
  </r>
  <r>
    <n v="198"/>
    <n v="640"/>
    <x v="6"/>
    <x v="1"/>
    <x v="1"/>
    <x v="6"/>
    <x v="75"/>
    <s v="Button sewing machine Juki МВ-377"/>
    <x v="6"/>
    <x v="0"/>
    <s v="Руйно- 2 ет."/>
    <x v="2"/>
    <m/>
    <n v="21112005"/>
    <n v="4772"/>
    <n v="2439.8848570683544"/>
    <n v="79.53"/>
    <n v="0"/>
  </r>
  <r>
    <n v="199"/>
    <n v="643"/>
    <x v="3"/>
    <x v="2"/>
    <x v="2"/>
    <x v="3"/>
    <x v="72"/>
    <s v="1-needle lockstitch machine JUKI DDL 8700-7"/>
    <x v="4"/>
    <x v="0"/>
    <s v="Шевен 1бр."/>
    <x v="1"/>
    <m/>
    <n v="11052006"/>
    <n v="2145.64"/>
    <n v="1097.0483119698542"/>
    <n v="35.76"/>
    <n v="0"/>
  </r>
  <r>
    <n v="200"/>
    <n v="644"/>
    <x v="3"/>
    <x v="2"/>
    <x v="2"/>
    <x v="3"/>
    <x v="76"/>
    <s v="1-needle lockstitch machine JUKI DDL 9010SS"/>
    <x v="4"/>
    <x v="13"/>
    <s v="Склад машини"/>
    <x v="1"/>
    <m/>
    <n v="14092006"/>
    <n v="4866.49"/>
    <n v="2488.1968269225854"/>
    <n v="81.11"/>
    <n v="0"/>
  </r>
  <r>
    <n v="201"/>
    <n v="647"/>
    <x v="3"/>
    <x v="2"/>
    <x v="2"/>
    <x v="3"/>
    <x v="76"/>
    <s v="1-needle lockstitch machine JUKI DDL 9010SS"/>
    <x v="4"/>
    <x v="13"/>
    <s v="мострена бригада"/>
    <x v="0"/>
    <m/>
    <n v="14092006"/>
    <n v="4866.49"/>
    <n v="2488.1968269225854"/>
    <n v="81.11"/>
    <n v="0"/>
  </r>
  <r>
    <n v="202"/>
    <n v="648"/>
    <x v="2"/>
    <x v="1"/>
    <x v="1"/>
    <x v="2"/>
    <x v="3"/>
    <s v="Single blindstitch machine Strobel 103-180"/>
    <x v="3"/>
    <x v="9"/>
    <s v="Руйно- 2 ет."/>
    <x v="2"/>
    <m/>
    <n v="31102006"/>
    <n v="5317.54"/>
    <n v="2718.8150299361396"/>
    <n v="88.63"/>
    <n v="0"/>
  </r>
  <r>
    <n v="203"/>
    <n v="650"/>
    <x v="1"/>
    <x v="0"/>
    <x v="0"/>
    <x v="1"/>
    <x v="77"/>
    <s v="Ironing Table Indupress IPN1260 DOB FH 551864 - (Finish Ironing)"/>
    <x v="4"/>
    <x v="1"/>
    <s v="Склад машини"/>
    <x v="1"/>
    <m/>
    <n v="16022005"/>
    <n v="4205.03"/>
    <n v="2149.9976991865346"/>
    <n v="70.08"/>
    <n v="0"/>
  </r>
  <r>
    <n v="204"/>
    <n v="651"/>
    <x v="4"/>
    <x v="3"/>
    <x v="3"/>
    <x v="4"/>
    <x v="25"/>
    <s v="Hand Stitch Sewing Machine Japsew-781"/>
    <x v="4"/>
    <x v="0"/>
    <s v="Руйно-1 ет."/>
    <x v="2"/>
    <m/>
    <n v="1022007"/>
    <n v="26832.18"/>
    <n v="13719.07578879555"/>
    <n v="447.2"/>
    <n v="0"/>
  </r>
  <r>
    <n v="205"/>
    <n v="652"/>
    <x v="3"/>
    <x v="2"/>
    <x v="2"/>
    <x v="3"/>
    <x v="72"/>
    <s v="1-needle lockstitch machine JUKI DDL 8700-7"/>
    <x v="4"/>
    <x v="0"/>
    <s v="Шевен 1бр."/>
    <x v="1"/>
    <m/>
    <n v="8022007"/>
    <n v="2212"/>
    <n v="1130.9776412060353"/>
    <n v="36.869999999999997"/>
    <n v="0"/>
  </r>
  <r>
    <n v="206"/>
    <n v="654"/>
    <x v="1"/>
    <x v="0"/>
    <x v="0"/>
    <x v="1"/>
    <x v="78"/>
    <s v="Flat Top Ironing Table (Suction + Blowing) IPN 1250 flat S+B"/>
    <x v="4"/>
    <x v="1"/>
    <s v="Довършителен участък "/>
    <x v="1"/>
    <m/>
    <n v="16022005"/>
    <n v="4205.03"/>
    <n v="2149.9976991865346"/>
    <n v="70.08"/>
    <n v="0"/>
  </r>
  <r>
    <n v="207"/>
    <n v="655"/>
    <x v="3"/>
    <x v="2"/>
    <x v="2"/>
    <x v="3"/>
    <x v="72"/>
    <s v="1-needle lockstitch machine JUKI DDL 8700-7"/>
    <x v="4"/>
    <x v="0"/>
    <s v="Шевен 1бр."/>
    <x v="1"/>
    <m/>
    <n v="8022007"/>
    <n v="2212"/>
    <n v="1130.9776412060353"/>
    <n v="36.869999999999997"/>
    <n v="0"/>
  </r>
  <r>
    <n v="208"/>
    <n v="656"/>
    <x v="3"/>
    <x v="2"/>
    <x v="2"/>
    <x v="3"/>
    <x v="72"/>
    <s v="1-needle lockstitch machine JUKI DDL 8700-7"/>
    <x v="4"/>
    <x v="0"/>
    <s v="Шевен 1бр."/>
    <x v="1"/>
    <m/>
    <n v="8022007"/>
    <n v="2212"/>
    <n v="1130.9776412060353"/>
    <n v="36.869999999999997"/>
    <n v="0"/>
  </r>
  <r>
    <n v="209"/>
    <n v="658"/>
    <x v="28"/>
    <x v="2"/>
    <x v="2"/>
    <x v="28"/>
    <x v="79"/>
    <s v="Straight Knife Cloth Cutting Machine KM-KS-FX"/>
    <x v="4"/>
    <x v="0"/>
    <s v="Кроялен участък"/>
    <x v="3"/>
    <m/>
    <m/>
    <n v="2100"/>
    <n v="1073.7129505120588"/>
    <n v="0"/>
    <m/>
  </r>
  <r>
    <n v="210"/>
    <n v="659"/>
    <x v="3"/>
    <x v="2"/>
    <x v="2"/>
    <x v="3"/>
    <x v="72"/>
    <s v="1-needle lockstitch machine JUKI DDL 8700-7"/>
    <x v="4"/>
    <x v="0"/>
    <s v="Шевен 2бр."/>
    <x v="1"/>
    <m/>
    <n v="8022007"/>
    <n v="2212"/>
    <n v="1130.9776412060353"/>
    <n v="36.869999999999997"/>
    <n v="0"/>
  </r>
  <r>
    <n v="211"/>
    <n v="660"/>
    <x v="3"/>
    <x v="2"/>
    <x v="2"/>
    <x v="3"/>
    <x v="72"/>
    <s v="1-needle lockstitch machine JUKI DDL 8700-7"/>
    <x v="4"/>
    <x v="0"/>
    <s v="мострена бригада"/>
    <x v="0"/>
    <m/>
    <n v="8022007"/>
    <n v="2212"/>
    <n v="1130.9776412060353"/>
    <n v="36.869999999999997"/>
    <n v="0"/>
  </r>
  <r>
    <n v="212"/>
    <n v="663"/>
    <x v="3"/>
    <x v="2"/>
    <x v="2"/>
    <x v="3"/>
    <x v="72"/>
    <s v="1-needle lockstitch machine JUKI DDL 8700-7"/>
    <x v="4"/>
    <x v="0"/>
    <s v="Шевен 3бр."/>
    <x v="1"/>
    <m/>
    <n v="8022007"/>
    <n v="2212"/>
    <n v="1130.9776412060353"/>
    <n v="36.869999999999997"/>
    <n v="0"/>
  </r>
  <r>
    <n v="213"/>
    <n v="664"/>
    <x v="3"/>
    <x v="2"/>
    <x v="2"/>
    <x v="3"/>
    <x v="72"/>
    <s v="1-needle lockstitch machine JUKI DDL 8700-7"/>
    <x v="4"/>
    <x v="0"/>
    <s v="Шевен 3бр."/>
    <x v="1"/>
    <m/>
    <n v="8022007"/>
    <n v="2212"/>
    <n v="1130.9776412060353"/>
    <n v="36.869999999999997"/>
    <n v="0"/>
  </r>
  <r>
    <n v="214"/>
    <n v="665"/>
    <x v="3"/>
    <x v="2"/>
    <x v="2"/>
    <x v="3"/>
    <x v="70"/>
    <s v="1-needle lockstitch machine  Brother S7200"/>
    <x v="4"/>
    <x v="0"/>
    <s v="Руйно-1 ет."/>
    <x v="2"/>
    <m/>
    <n v="20042004"/>
    <n v="2366.5500000000002"/>
    <n v="1209.9978014449109"/>
    <n v="0"/>
    <n v="0"/>
  </r>
  <r>
    <n v="215"/>
    <n v="667"/>
    <x v="3"/>
    <x v="2"/>
    <x v="2"/>
    <x v="3"/>
    <x v="72"/>
    <s v="1-needle lockstitch machine JUKI DDL 8700-7"/>
    <x v="4"/>
    <x v="0"/>
    <s v="Шевен 3бр."/>
    <x v="1"/>
    <m/>
    <n v="8022007"/>
    <n v="2212"/>
    <n v="1130.9776412060353"/>
    <n v="36.869999999999997"/>
    <n v="0"/>
  </r>
  <r>
    <n v="216"/>
    <n v="668"/>
    <x v="3"/>
    <x v="2"/>
    <x v="2"/>
    <x v="3"/>
    <x v="72"/>
    <s v="1-needle lockstitch machine JUKI DDL 8700-7"/>
    <x v="4"/>
    <x v="0"/>
    <s v="мострена бригада"/>
    <x v="0"/>
    <m/>
    <n v="8022007"/>
    <n v="2212"/>
    <n v="1130.9776412060353"/>
    <n v="36.869999999999997"/>
    <n v="0"/>
  </r>
  <r>
    <n v="217"/>
    <n v="670"/>
    <x v="19"/>
    <x v="1"/>
    <x v="1"/>
    <x v="19"/>
    <x v="80"/>
    <s v="Universal Automatic Welt Pocket Unit BASS3200-SA"/>
    <x v="4"/>
    <x v="12"/>
    <s v="мострена бригада"/>
    <x v="0"/>
    <m/>
    <n v="3122004"/>
    <n v="61622.73"/>
    <n v="31507.201546146651"/>
    <n v="1027.05"/>
    <n v="0"/>
  </r>
  <r>
    <n v="218"/>
    <n v="671"/>
    <x v="3"/>
    <x v="2"/>
    <x v="2"/>
    <x v="3"/>
    <x v="72"/>
    <s v="1-needle lockstitch machine JUKI DDL 8700-7"/>
    <x v="4"/>
    <x v="0"/>
    <s v="Шевен 1бр."/>
    <x v="1"/>
    <m/>
    <n v="8022007"/>
    <n v="2212"/>
    <n v="1130.9776412060353"/>
    <n v="36.869999999999997"/>
    <n v="0"/>
  </r>
  <r>
    <n v="219"/>
    <n v="674"/>
    <x v="3"/>
    <x v="2"/>
    <x v="2"/>
    <x v="3"/>
    <x v="70"/>
    <s v="1-needle lockstitch machine Brother S7200"/>
    <x v="4"/>
    <x v="0"/>
    <s v="Склад машини"/>
    <x v="1"/>
    <m/>
    <n v="20042004"/>
    <n v="2366.5500000000002"/>
    <n v="1209.9978014449109"/>
    <n v="0"/>
    <n v="0"/>
  </r>
  <r>
    <n v="220"/>
    <n v="677"/>
    <x v="3"/>
    <x v="2"/>
    <x v="2"/>
    <x v="3"/>
    <x v="70"/>
    <s v="1-needle lockstitch machine Brother S7200"/>
    <x v="4"/>
    <x v="0"/>
    <s v="Склад машини"/>
    <x v="1"/>
    <m/>
    <n v="20042004"/>
    <n v="2366.5500000000002"/>
    <n v="1209.9978014449109"/>
    <n v="0"/>
    <n v="0"/>
  </r>
  <r>
    <n v="221"/>
    <n v="678"/>
    <x v="3"/>
    <x v="2"/>
    <x v="2"/>
    <x v="3"/>
    <x v="70"/>
    <s v="1-needle lockstitch machine Brother S7200"/>
    <x v="4"/>
    <x v="0"/>
    <s v="Руйно-1 ет."/>
    <x v="2"/>
    <m/>
    <n v="20042004"/>
    <n v="2366.5500000000002"/>
    <n v="1209.9978014449109"/>
    <n v="0"/>
    <n v="0"/>
  </r>
  <r>
    <n v="222"/>
    <n v="700"/>
    <x v="3"/>
    <x v="2"/>
    <x v="2"/>
    <x v="3"/>
    <x v="72"/>
    <s v="1-needle lockstitch machine JUKI DDL 8700-7"/>
    <x v="4"/>
    <x v="0"/>
    <s v="Склад машини"/>
    <x v="1"/>
    <m/>
    <n v="30052002"/>
    <n v="3106.53"/>
    <n v="1588.3435676924887"/>
    <n v="51.78"/>
    <n v="0"/>
  </r>
  <r>
    <n v="223"/>
    <n v="701"/>
    <x v="3"/>
    <x v="2"/>
    <x v="2"/>
    <x v="3"/>
    <x v="72"/>
    <s v="1-needle lockstitch machine JUKI DDL 8700-7"/>
    <x v="4"/>
    <x v="0"/>
    <s v="Шевен 3бр."/>
    <x v="1"/>
    <m/>
    <n v="30052002"/>
    <n v="3106.53"/>
    <n v="1588.3435676924887"/>
    <n v="51.78"/>
    <n v="0"/>
  </r>
  <r>
    <n v="224"/>
    <n v="702"/>
    <x v="3"/>
    <x v="2"/>
    <x v="2"/>
    <x v="3"/>
    <x v="72"/>
    <s v="1-needle lockstitch machine JUKI DDL 8700-7"/>
    <x v="4"/>
    <x v="0"/>
    <s v="Шевен 3бр."/>
    <x v="1"/>
    <m/>
    <n v="30052002"/>
    <n v="3106.53"/>
    <n v="1588.3435676924887"/>
    <n v="51.78"/>
    <n v="0"/>
  </r>
  <r>
    <n v="225"/>
    <n v="703"/>
    <x v="3"/>
    <x v="2"/>
    <x v="2"/>
    <x v="3"/>
    <x v="72"/>
    <s v="1-needle lockstitch machine JUKI DDL 8700-7"/>
    <x v="4"/>
    <x v="0"/>
    <s v="Шевен 3бр."/>
    <x v="1"/>
    <m/>
    <n v="30052002"/>
    <n v="3106.53"/>
    <n v="1588.3435676924887"/>
    <n v="51.78"/>
    <n v="0"/>
  </r>
  <r>
    <n v="226"/>
    <n v="704"/>
    <x v="3"/>
    <x v="2"/>
    <x v="2"/>
    <x v="3"/>
    <x v="72"/>
    <s v="1-needle lockstitch machine JUKI DDL 8700-7"/>
    <x v="4"/>
    <x v="0"/>
    <s v="Шевен 1бр."/>
    <x v="1"/>
    <m/>
    <n v="30052002"/>
    <n v="3106.53"/>
    <n v="1588.3435676924887"/>
    <n v="51.78"/>
    <n v="0"/>
  </r>
  <r>
    <n v="227"/>
    <n v="705"/>
    <x v="3"/>
    <x v="2"/>
    <x v="2"/>
    <x v="3"/>
    <x v="72"/>
    <s v="1-needle lockstitch machine JUKI DDL 8700-7"/>
    <x v="4"/>
    <x v="0"/>
    <s v="Склад машини"/>
    <x v="1"/>
    <m/>
    <n v="30052002"/>
    <n v="3290.97"/>
    <n v="1682.646242260319"/>
    <n v="54.85"/>
    <n v="0"/>
  </r>
  <r>
    <n v="228"/>
    <n v="706"/>
    <x v="3"/>
    <x v="2"/>
    <x v="2"/>
    <x v="3"/>
    <x v="72"/>
    <s v="1-needle lockstitch machine JUKI DDL 8700-7"/>
    <x v="4"/>
    <x v="0"/>
    <s v="мострена бригада"/>
    <x v="0"/>
    <m/>
    <s v="30 05 2002"/>
    <n v="3290.97"/>
    <n v="1682.646242260319"/>
    <n v="54.85"/>
    <n v="0"/>
  </r>
  <r>
    <n v="229"/>
    <n v="707"/>
    <x v="3"/>
    <x v="2"/>
    <x v="2"/>
    <x v="3"/>
    <x v="72"/>
    <s v="1-needle lockstitch machine JUKI DDL 8700-7"/>
    <x v="4"/>
    <x v="0"/>
    <s v="Руйно- 2 ет."/>
    <x v="2"/>
    <m/>
    <n v="30052002"/>
    <n v="3290.97"/>
    <n v="1682.646242260319"/>
    <n v="54.85"/>
    <n v="0"/>
  </r>
  <r>
    <n v="230"/>
    <n v="708"/>
    <x v="3"/>
    <x v="2"/>
    <x v="2"/>
    <x v="3"/>
    <x v="72"/>
    <s v="1-needle lockstitch machine JUKI DDL 8700-7"/>
    <x v="4"/>
    <x v="0"/>
    <s v="Шевен 2бр."/>
    <x v="1"/>
    <m/>
    <m/>
    <n v="2788.84"/>
    <n v="1425.9112499552621"/>
    <n v="0"/>
    <m/>
  </r>
  <r>
    <n v="231"/>
    <n v="709"/>
    <x v="3"/>
    <x v="2"/>
    <x v="2"/>
    <x v="3"/>
    <x v="72"/>
    <s v="1-needle lockstitch machine JUKI DDL 8700-7"/>
    <x v="4"/>
    <x v="0"/>
    <s v="мострена бригада"/>
    <x v="0"/>
    <m/>
    <m/>
    <n v="2788.84"/>
    <n v="1425.9112499552621"/>
    <n v="0"/>
    <m/>
  </r>
  <r>
    <n v="232"/>
    <n v="710"/>
    <x v="3"/>
    <x v="2"/>
    <x v="2"/>
    <x v="3"/>
    <x v="72"/>
    <s v="1-needle lockstitch machine JUKI DDL 8700-7"/>
    <x v="4"/>
    <x v="0"/>
    <s v="Руйно-1 ет."/>
    <x v="2"/>
    <m/>
    <n v="30052002"/>
    <n v="3290.97"/>
    <n v="1682.646242260319"/>
    <n v="54.85"/>
    <n v="0"/>
  </r>
  <r>
    <n v="233"/>
    <n v="711"/>
    <x v="3"/>
    <x v="2"/>
    <x v="2"/>
    <x v="3"/>
    <x v="72"/>
    <s v="1-needle lockstitch machine JUKI DDL 8700-7"/>
    <x v="4"/>
    <x v="0"/>
    <s v="Склад машини"/>
    <x v="1"/>
    <m/>
    <n v="30052002"/>
    <n v="3106.53"/>
    <n v="1588.3435676924887"/>
    <n v="51.78"/>
    <n v="0"/>
  </r>
  <r>
    <n v="234"/>
    <n v="713"/>
    <x v="3"/>
    <x v="2"/>
    <x v="2"/>
    <x v="3"/>
    <x v="72"/>
    <s v="1-needle lockstitch machine JUKI DDL 8700-7"/>
    <x v="4"/>
    <x v="0"/>
    <s v="Шевен 1бр."/>
    <x v="1"/>
    <m/>
    <m/>
    <n v="2788.84"/>
    <n v="1425.9112499552621"/>
    <n v="0"/>
    <m/>
  </r>
  <r>
    <n v="235"/>
    <n v="714"/>
    <x v="3"/>
    <x v="2"/>
    <x v="2"/>
    <x v="3"/>
    <x v="72"/>
    <s v="1-needle lockstitch machine JUKI DDL 8700-7"/>
    <x v="4"/>
    <x v="0"/>
    <s v="Руйно-1 ет."/>
    <x v="2"/>
    <m/>
    <n v="30052002"/>
    <n v="3106.53"/>
    <n v="1588.3435676924887"/>
    <n v="51.78"/>
    <n v="0"/>
  </r>
  <r>
    <n v="236"/>
    <n v="715"/>
    <x v="3"/>
    <x v="2"/>
    <x v="2"/>
    <x v="3"/>
    <x v="72"/>
    <s v="1-needle lockstitch machine JUKI DDL 8700-7"/>
    <x v="4"/>
    <x v="0"/>
    <s v="Руйно- 2 ет."/>
    <x v="2"/>
    <m/>
    <n v="30052002"/>
    <n v="3106.53"/>
    <n v="1588.3435676924887"/>
    <n v="51.78"/>
    <n v="0"/>
  </r>
  <r>
    <n v="237"/>
    <n v="716"/>
    <x v="3"/>
    <x v="2"/>
    <x v="2"/>
    <x v="3"/>
    <x v="72"/>
    <s v="1-needle lockstitch machine JUKI DDL 8700-7"/>
    <x v="4"/>
    <x v="0"/>
    <s v="Шевен 1бр."/>
    <x v="1"/>
    <m/>
    <m/>
    <n v="2788.84"/>
    <n v="1425.9112499552621"/>
    <n v="0"/>
    <n v="0"/>
  </r>
  <r>
    <n v="238"/>
    <n v="717"/>
    <x v="3"/>
    <x v="2"/>
    <x v="2"/>
    <x v="3"/>
    <x v="72"/>
    <s v="1-needle lockstitch machine JUKI DDL 8700-7"/>
    <x v="4"/>
    <x v="0"/>
    <s v="Руйно-1 ет."/>
    <x v="2"/>
    <m/>
    <n v="30052002"/>
    <n v="3290.97"/>
    <n v="1682.646242260319"/>
    <n v="54.85"/>
    <n v="0"/>
  </r>
  <r>
    <n v="239"/>
    <n v="718"/>
    <x v="3"/>
    <x v="2"/>
    <x v="2"/>
    <x v="3"/>
    <x v="72"/>
    <s v="1-needle lockstitch machine JUKI DDL 8700-7"/>
    <x v="4"/>
    <x v="0"/>
    <s v="Шевен 3бр."/>
    <x v="1"/>
    <m/>
    <n v="30052002"/>
    <n v="3106.53"/>
    <n v="1588.3435676924887"/>
    <n v="51.78"/>
    <n v="0"/>
  </r>
  <r>
    <n v="240"/>
    <n v="719"/>
    <x v="3"/>
    <x v="2"/>
    <x v="2"/>
    <x v="3"/>
    <x v="72"/>
    <s v="1-needle lockstitch machine JUKI DDL 8700-7"/>
    <x v="4"/>
    <x v="0"/>
    <s v="Склад машини"/>
    <x v="1"/>
    <m/>
    <m/>
    <n v="2788.84"/>
    <n v="1425.9112499552621"/>
    <n v="0"/>
    <n v="0"/>
  </r>
  <r>
    <n v="241"/>
    <n v="720"/>
    <x v="1"/>
    <x v="0"/>
    <x v="0"/>
    <x v="1"/>
    <x v="81"/>
    <s v="Ironing table VEIT 070316205"/>
    <x v="1"/>
    <x v="5"/>
    <s v="Руйно- 2 ет."/>
    <x v="2"/>
    <m/>
    <n v="24022005"/>
    <n v="4257.84"/>
    <n v="2176.9990234325069"/>
    <n v="70.959999999999994"/>
    <n v="0"/>
  </r>
  <r>
    <n v="242"/>
    <n v="732"/>
    <x v="2"/>
    <x v="1"/>
    <x v="1"/>
    <x v="2"/>
    <x v="82"/>
    <s v="Blindstitch machine MAYER 40464"/>
    <x v="13"/>
    <x v="3"/>
    <s v="Руйно-1 ет."/>
    <x v="2"/>
    <m/>
    <n v="15102001"/>
    <n v="3126.57"/>
    <n v="1598.589856991661"/>
    <n v="52.11"/>
    <n v="0"/>
  </r>
  <r>
    <n v="243"/>
    <n v="733"/>
    <x v="3"/>
    <x v="2"/>
    <x v="2"/>
    <x v="3"/>
    <x v="72"/>
    <s v="1-needle lockstitch machine JUKI DDL 8700-7"/>
    <x v="4"/>
    <x v="0"/>
    <s v="Шевен 2бр."/>
    <x v="1"/>
    <m/>
    <n v="30052002"/>
    <n v="3106.53"/>
    <n v="1588.3435676924887"/>
    <n v="51.78"/>
    <n v="0"/>
  </r>
  <r>
    <n v="244"/>
    <n v="735"/>
    <x v="3"/>
    <x v="2"/>
    <x v="2"/>
    <x v="3"/>
    <x v="72"/>
    <s v="1-needle lockstitch machine JUKI DDL 8700-7"/>
    <x v="4"/>
    <x v="0"/>
    <s v="мострена бригада"/>
    <x v="0"/>
    <m/>
    <n v="30052002"/>
    <n v="3106.53"/>
    <n v="1588.3435676924887"/>
    <n v="51.78"/>
    <n v="0"/>
  </r>
  <r>
    <n v="245"/>
    <n v="736"/>
    <x v="3"/>
    <x v="2"/>
    <x v="2"/>
    <x v="3"/>
    <x v="72"/>
    <s v="1-needle lockstitch machine JUKI DDL 8700-7"/>
    <x v="4"/>
    <x v="0"/>
    <s v="Руйно-1 ет."/>
    <x v="2"/>
    <m/>
    <n v="30052002"/>
    <n v="3106.53"/>
    <n v="1588.3435676924887"/>
    <n v="51.78"/>
    <n v="0"/>
  </r>
  <r>
    <n v="246"/>
    <n v="737"/>
    <x v="3"/>
    <x v="2"/>
    <x v="2"/>
    <x v="3"/>
    <x v="72"/>
    <s v="1-needle lockstitch machine JUKI DDL 8700-7"/>
    <x v="4"/>
    <x v="0"/>
    <s v="Склад машини"/>
    <x v="1"/>
    <m/>
    <n v="30052002"/>
    <n v="3106.53"/>
    <n v="1588.3435676924887"/>
    <n v="51.78"/>
    <n v="0"/>
  </r>
  <r>
    <n v="247"/>
    <n v="738"/>
    <x v="3"/>
    <x v="2"/>
    <x v="2"/>
    <x v="3"/>
    <x v="72"/>
    <s v="1-needle lockstitch machine JUKI DDL 8700-7"/>
    <x v="4"/>
    <x v="0"/>
    <s v="Шевен 1бр."/>
    <x v="1"/>
    <m/>
    <n v="30052002"/>
    <n v="3106.53"/>
    <n v="1588.3435676924887"/>
    <n v="51.78"/>
    <n v="0"/>
  </r>
  <r>
    <n v="248"/>
    <n v="739"/>
    <x v="3"/>
    <x v="2"/>
    <x v="2"/>
    <x v="3"/>
    <x v="72"/>
    <s v="1-needle lockstitch machine JUKI DDL 8700-7"/>
    <x v="4"/>
    <x v="0"/>
    <s v="Шевен 2бр."/>
    <x v="1"/>
    <m/>
    <n v="30052002"/>
    <n v="3106.53"/>
    <n v="1588.3435676924887"/>
    <n v="51.78"/>
    <n v="0"/>
  </r>
  <r>
    <n v="249"/>
    <n v="741"/>
    <x v="3"/>
    <x v="2"/>
    <x v="2"/>
    <x v="3"/>
    <x v="72"/>
    <s v="1-needle lockstitch machine JUKI DDL 8700-7"/>
    <x v="4"/>
    <x v="25"/>
    <s v="Шевен 3бр."/>
    <x v="1"/>
    <m/>
    <m/>
    <n v="8507.86"/>
    <n v="4349.9997443540597"/>
    <n v="0"/>
    <n v="0"/>
  </r>
  <r>
    <n v="250"/>
    <n v="742"/>
    <x v="3"/>
    <x v="2"/>
    <x v="2"/>
    <x v="3"/>
    <x v="72"/>
    <s v="1-needle lockstitch machine JUKI DDL 8700-7"/>
    <x v="4"/>
    <x v="0"/>
    <s v="Руйно-1 ет."/>
    <x v="2"/>
    <m/>
    <n v="30052002"/>
    <n v="3106.53"/>
    <n v="1588.3435676924887"/>
    <n v="51.78"/>
    <n v="0"/>
  </r>
  <r>
    <n v="251"/>
    <n v="743"/>
    <x v="3"/>
    <x v="2"/>
    <x v="2"/>
    <x v="3"/>
    <x v="72"/>
    <s v="1-needle lockstitch machine JUKI DDL 8700-7"/>
    <x v="4"/>
    <x v="0"/>
    <s v="Шевен 2бр."/>
    <x v="1"/>
    <m/>
    <n v="30052002"/>
    <n v="3106.53"/>
    <n v="1588.3435676924887"/>
    <n v="51.78"/>
    <n v="0"/>
  </r>
  <r>
    <n v="252"/>
    <n v="744"/>
    <x v="3"/>
    <x v="2"/>
    <x v="2"/>
    <x v="3"/>
    <x v="72"/>
    <s v="1-needle lockstitch machine JUKI DDL 8700-7"/>
    <x v="4"/>
    <x v="0"/>
    <s v="Шевен 2бр."/>
    <x v="1"/>
    <m/>
    <m/>
    <n v="2788.84"/>
    <n v="1425.9112499552621"/>
    <n v="0"/>
    <n v="0"/>
  </r>
  <r>
    <n v="253"/>
    <n v="756"/>
    <x v="10"/>
    <x v="2"/>
    <x v="2"/>
    <x v="10"/>
    <x v="83"/>
    <s v="Two-Needle 5-Thread Overlock (or Serger) Machine JUKI MO 3616: JUKI MO 3616 "/>
    <x v="10"/>
    <x v="14"/>
    <s v="Склад машини"/>
    <x v="1"/>
    <m/>
    <n v="1102002"/>
    <n v="600"/>
    <n v="306.77512871773109"/>
    <n v="0"/>
    <n v="0"/>
  </r>
  <r>
    <n v="254"/>
    <n v="760"/>
    <x v="3"/>
    <x v="2"/>
    <x v="2"/>
    <x v="3"/>
    <x v="72"/>
    <s v="1-needle lockstitch machine JUKI DDL 8700-7"/>
    <x v="35"/>
    <x v="0"/>
    <s v="мострена бригада"/>
    <x v="0"/>
    <m/>
    <n v="30052002"/>
    <n v="3106.53"/>
    <n v="1588.3435676924887"/>
    <n v="51.78"/>
    <n v="0"/>
  </r>
  <r>
    <n v="255"/>
    <n v="761"/>
    <x v="3"/>
    <x v="2"/>
    <x v="2"/>
    <x v="3"/>
    <x v="72"/>
    <s v="1-needle lockstitch machine JUKI DDL 8700-7"/>
    <x v="4"/>
    <x v="0"/>
    <s v="Склад машини"/>
    <x v="1"/>
    <m/>
    <n v="30052002"/>
    <n v="3106.53"/>
    <n v="1588.3435676924887"/>
    <n v="51.78"/>
    <n v="0"/>
  </r>
  <r>
    <n v="256"/>
    <n v="762"/>
    <x v="3"/>
    <x v="2"/>
    <x v="2"/>
    <x v="3"/>
    <x v="72"/>
    <s v="1-needle lockstitch machine JUKI DDL 8700-7"/>
    <x v="4"/>
    <x v="0"/>
    <s v="Руйно- 2 ет."/>
    <x v="2"/>
    <m/>
    <n v="30052002"/>
    <n v="3290.97"/>
    <n v="1682.646242260319"/>
    <n v="54.85"/>
    <n v="0"/>
  </r>
  <r>
    <n v="257"/>
    <n v="763"/>
    <x v="3"/>
    <x v="2"/>
    <x v="2"/>
    <x v="3"/>
    <x v="41"/>
    <s v="1-needle lockstitch machine JUKI DDL 8700-7"/>
    <x v="4"/>
    <x v="0"/>
    <s v="мострена бригада"/>
    <x v="0"/>
    <m/>
    <n v="1102002"/>
    <n v="2344.15"/>
    <n v="1198.5448633061155"/>
    <n v="0"/>
    <n v="0"/>
  </r>
  <r>
    <n v="258"/>
    <n v="764"/>
    <x v="3"/>
    <x v="2"/>
    <x v="2"/>
    <x v="3"/>
    <x v="72"/>
    <s v="1-needle lockstitch machine JUKI DDL 8700-7"/>
    <x v="4"/>
    <x v="0"/>
    <s v="Шевен 1бр."/>
    <x v="1"/>
    <m/>
    <n v="30052002"/>
    <n v="2788.84"/>
    <n v="1425.9112499552621"/>
    <n v="0"/>
    <n v="0"/>
  </r>
  <r>
    <n v="259"/>
    <n v="765"/>
    <x v="3"/>
    <x v="2"/>
    <x v="2"/>
    <x v="3"/>
    <x v="72"/>
    <s v="1-needle lockstitch machine JUKI DDL 8700-7"/>
    <x v="4"/>
    <x v="0"/>
    <s v="Шевен 2бр."/>
    <x v="1"/>
    <m/>
    <n v="30052002"/>
    <n v="3106.53"/>
    <n v="1588.3435676924887"/>
    <n v="51.78"/>
    <n v="0"/>
  </r>
  <r>
    <n v="260"/>
    <n v="767"/>
    <x v="3"/>
    <x v="2"/>
    <x v="2"/>
    <x v="3"/>
    <x v="72"/>
    <s v="1-needle lockstitch machine JUKI DDL 8700-7"/>
    <x v="4"/>
    <x v="0"/>
    <s v="мострена бригада"/>
    <x v="0"/>
    <m/>
    <n v="30052002"/>
    <n v="3106.53"/>
    <n v="1588.3435676924887"/>
    <n v="51.78"/>
    <n v="0"/>
  </r>
  <r>
    <n v="261"/>
    <n v="768"/>
    <x v="3"/>
    <x v="2"/>
    <x v="2"/>
    <x v="3"/>
    <x v="72"/>
    <s v="1-needle lockstitch machine JUKI DDL 8700-7"/>
    <x v="4"/>
    <x v="0"/>
    <s v="Шевен 2бр."/>
    <x v="1"/>
    <m/>
    <m/>
    <n v="2788.84"/>
    <n v="1425.9112499552621"/>
    <n v="0"/>
    <n v="0"/>
  </r>
  <r>
    <n v="262"/>
    <n v="769"/>
    <x v="3"/>
    <x v="2"/>
    <x v="2"/>
    <x v="3"/>
    <x v="72"/>
    <s v="1-needle lockstitch machine JUKI DDL 8700-7"/>
    <x v="4"/>
    <x v="0"/>
    <s v="Склад машини"/>
    <x v="1"/>
    <m/>
    <n v="30052002"/>
    <n v="3106.53"/>
    <n v="1588.3435676924887"/>
    <n v="51.78"/>
    <n v="0"/>
  </r>
  <r>
    <n v="263"/>
    <n v="771"/>
    <x v="3"/>
    <x v="2"/>
    <x v="2"/>
    <x v="3"/>
    <x v="72"/>
    <s v="1-needle lockstitch machine JUKI DDL 8700-7"/>
    <x v="4"/>
    <x v="0"/>
    <s v="Шевен 2бр."/>
    <x v="1"/>
    <m/>
    <m/>
    <n v="2788.84"/>
    <n v="1425.9112499552621"/>
    <n v="0"/>
    <n v="0"/>
  </r>
  <r>
    <n v="264"/>
    <n v="775"/>
    <x v="6"/>
    <x v="1"/>
    <x v="1"/>
    <x v="6"/>
    <x v="84"/>
    <s v="High-speed, Single-needle, Lockstitch Buttonholing Machine Juki MB-373"/>
    <x v="6"/>
    <x v="0"/>
    <s v="Руйно-1 ет."/>
    <x v="2"/>
    <m/>
    <n v="1102002"/>
    <n v="600"/>
    <n v="306.77512871773109"/>
    <n v="0"/>
    <n v="0"/>
  </r>
  <r>
    <n v="265"/>
    <n v="808"/>
    <x v="13"/>
    <x v="4"/>
    <x v="4"/>
    <x v="13"/>
    <x v="85"/>
    <s v="Hoffman Shrinking Control Press"/>
    <x v="36"/>
    <x v="0"/>
    <s v="Контрол платове"/>
    <x v="4"/>
    <m/>
    <n v="31072003"/>
    <n v="1387.62"/>
    <n v="709.47884018549667"/>
    <n v="23.13"/>
    <n v="0"/>
  </r>
  <r>
    <n v="266"/>
    <n v="835"/>
    <x v="29"/>
    <x v="2"/>
    <x v="2"/>
    <x v="29"/>
    <x v="86"/>
    <s v="Band Knife Cutting Machine Wastema STV492"/>
    <x v="4"/>
    <x v="0"/>
    <s v="Кроялен участък"/>
    <x v="3"/>
    <m/>
    <n v="15102001"/>
    <n v="2486.06"/>
    <n v="1271.1022941666708"/>
    <n v="41.43"/>
    <n v="0"/>
  </r>
  <r>
    <n v="267"/>
    <n v="840"/>
    <x v="20"/>
    <x v="2"/>
    <x v="2"/>
    <x v="20"/>
    <x v="87"/>
    <s v="Round Knife Cutter Kuris "/>
    <x v="37"/>
    <x v="0"/>
    <s v="Руйно- 2 ет."/>
    <x v="2"/>
    <m/>
    <m/>
    <n v="180"/>
    <n v="92.032538615319325"/>
    <n v="0"/>
    <n v="0"/>
  </r>
  <r>
    <n v="268"/>
    <n v="843"/>
    <x v="28"/>
    <x v="2"/>
    <x v="2"/>
    <x v="28"/>
    <x v="88"/>
    <s v="Straight Knife Cutting Machine SBS-B-97"/>
    <x v="4"/>
    <x v="0"/>
    <s v="Кроялен участък"/>
    <x v="3"/>
    <m/>
    <m/>
    <n v="2335"/>
    <n v="1193.8665425931702"/>
    <n v="0"/>
    <n v="0"/>
  </r>
  <r>
    <n v="269"/>
    <n v="893"/>
    <x v="1"/>
    <x v="0"/>
    <x v="0"/>
    <x v="1"/>
    <x v="89"/>
    <s v="Ironing table Veit"/>
    <x v="4"/>
    <x v="1"/>
    <s v="Руйно- 2 ет."/>
    <x v="2"/>
    <m/>
    <m/>
    <n v="4791.78"/>
    <n v="2449.9982104784158"/>
    <n v="0"/>
    <n v="0"/>
  </r>
  <r>
    <n v="270"/>
    <n v="898"/>
    <x v="6"/>
    <x v="1"/>
    <x v="1"/>
    <x v="6"/>
    <x v="90"/>
    <s v="Button Shank Wrapping Machine  &quot;ASCOLITE Mk 6&quot;"/>
    <x v="38"/>
    <x v="0"/>
    <s v="Руйно-1 ет."/>
    <x v="2"/>
    <m/>
    <n v="17062003"/>
    <n v="3200"/>
    <n v="1636.1340198278992"/>
    <n v="53.33"/>
    <n v="0"/>
  </r>
  <r>
    <n v="271"/>
    <n v="941"/>
    <x v="3"/>
    <x v="2"/>
    <x v="2"/>
    <x v="3"/>
    <x v="91"/>
    <s v="1-needle lockstitch machine JUKI DDL-8500"/>
    <x v="4"/>
    <x v="0"/>
    <s v="мострена бригада"/>
    <x v="0"/>
    <m/>
    <n v="29052000"/>
    <n v="800"/>
    <n v="409.03350495697481"/>
    <n v="13.33"/>
    <n v="0"/>
  </r>
  <r>
    <n v="272"/>
    <n v="945"/>
    <x v="3"/>
    <x v="2"/>
    <x v="2"/>
    <x v="3"/>
    <x v="91"/>
    <s v="1-needle lockstitch machine JUKI DDL-8500"/>
    <x v="4"/>
    <x v="0"/>
    <s v="мострена бригада"/>
    <x v="0"/>
    <m/>
    <n v="6032000"/>
    <n v="800"/>
    <n v="409.03350495697481"/>
    <n v="13.33"/>
    <n v="0"/>
  </r>
  <r>
    <n v="273"/>
    <n v="947"/>
    <x v="10"/>
    <x v="2"/>
    <x v="2"/>
    <x v="10"/>
    <x v="83"/>
    <s v="Двуиглов 5 конечен оверлог JUKI MO 3616"/>
    <x v="10"/>
    <x v="26"/>
    <s v="мострена бригада"/>
    <x v="0"/>
    <m/>
    <n v="26012000"/>
    <n v="1800"/>
    <n v="920.32538615319334"/>
    <n v="30"/>
    <n v="0"/>
  </r>
  <r>
    <n v="274"/>
    <n v="948"/>
    <x v="10"/>
    <x v="2"/>
    <x v="2"/>
    <x v="10"/>
    <x v="83"/>
    <s v="Двуиглов 5 конечен оверлог JUKI MO 3616"/>
    <x v="39"/>
    <x v="26"/>
    <s v="мострена бригада"/>
    <x v="0"/>
    <m/>
    <n v="20012000"/>
    <n v="1700"/>
    <n v="869.19619803357148"/>
    <n v="28.33"/>
    <n v="0"/>
  </r>
  <r>
    <n v="275"/>
    <n v="949"/>
    <x v="3"/>
    <x v="2"/>
    <x v="2"/>
    <x v="3"/>
    <x v="91"/>
    <s v="1-needle lockstitch machine JUKI DDL-8500"/>
    <x v="4"/>
    <x v="0"/>
    <s v="мострена бригада"/>
    <x v="0"/>
    <m/>
    <n v="6032000"/>
    <n v="800"/>
    <n v="409.03350495697481"/>
    <n v="13.33"/>
    <n v="0"/>
  </r>
  <r>
    <n v="276"/>
    <n v="1022"/>
    <x v="13"/>
    <x v="4"/>
    <x v="4"/>
    <x v="13"/>
    <x v="92"/>
    <s v="Seam Strength Testing Machine Zwick Z25/TN1S"/>
    <x v="40"/>
    <x v="0"/>
    <s v="Входящ контрол"/>
    <x v="4"/>
    <m/>
    <n v="31072003"/>
    <n v="4014.09"/>
    <n v="2052.3716273909286"/>
    <n v="66.900000000000006"/>
    <n v="0"/>
  </r>
  <r>
    <n v="277"/>
    <n v="1023"/>
    <x v="13"/>
    <x v="4"/>
    <x v="4"/>
    <x v="13"/>
    <x v="93"/>
    <s v="Abrasion Testing Machine Nu-Martindale"/>
    <x v="41"/>
    <x v="0"/>
    <s v="Входящ контрол"/>
    <x v="4"/>
    <m/>
    <n v="31072003"/>
    <n v="4001.28"/>
    <n v="2045.8219783928052"/>
    <n v="66.69"/>
    <n v="0"/>
  </r>
  <r>
    <n v="278"/>
    <n v="1025"/>
    <x v="10"/>
    <x v="2"/>
    <x v="2"/>
    <x v="10"/>
    <x v="94"/>
    <s v="Two-Needle 4-Thread Overlock (or Serger) Machine"/>
    <x v="42"/>
    <x v="14"/>
    <s v="Руйно-1 ет."/>
    <x v="2"/>
    <m/>
    <n v="10112003"/>
    <n v="2585"/>
    <n v="1321.6895128922249"/>
    <n v="43.08"/>
    <n v="0"/>
  </r>
  <r>
    <n v="279"/>
    <n v="1028"/>
    <x v="3"/>
    <x v="2"/>
    <x v="2"/>
    <x v="3"/>
    <x v="72"/>
    <s v="1-needle lockstitch machine JUKI DDL 8700-7"/>
    <x v="4"/>
    <x v="0"/>
    <s v="Склад машини"/>
    <x v="1"/>
    <m/>
    <n v="10112003"/>
    <n v="2585"/>
    <n v="1321.6895128922249"/>
    <n v="43.08"/>
    <n v="0"/>
  </r>
  <r>
    <n v="280"/>
    <n v="1029"/>
    <x v="3"/>
    <x v="2"/>
    <x v="2"/>
    <x v="3"/>
    <x v="72"/>
    <s v="1-needle lockstitch machine JUKI DDL 8700-7"/>
    <x v="4"/>
    <x v="0"/>
    <s v="мострена бригада"/>
    <x v="0"/>
    <m/>
    <n v="10112003"/>
    <n v="2585"/>
    <n v="1321.6895128922249"/>
    <n v="43.08"/>
    <n v="0"/>
  </r>
  <r>
    <n v="281"/>
    <n v="1030"/>
    <x v="3"/>
    <x v="2"/>
    <x v="2"/>
    <x v="3"/>
    <x v="72"/>
    <s v="1-needle lockstitch machine JUKI DDL 8700-7"/>
    <x v="4"/>
    <x v="0"/>
    <s v="Шевен 2бр."/>
    <x v="1"/>
    <m/>
    <n v="10112003"/>
    <n v="2585"/>
    <n v="1321.6895128922249"/>
    <n v="43.08"/>
    <n v="0"/>
  </r>
  <r>
    <n v="282"/>
    <n v="1031"/>
    <x v="3"/>
    <x v="2"/>
    <x v="2"/>
    <x v="3"/>
    <x v="72"/>
    <s v="1-needle lockstitch machine JUKI DDL 8700-7"/>
    <x v="4"/>
    <x v="0"/>
    <s v="Склад машини"/>
    <x v="1"/>
    <m/>
    <n v="10112003"/>
    <n v="2585"/>
    <n v="1321.6895128922249"/>
    <n v="43.08"/>
    <n v="0"/>
  </r>
  <r>
    <n v="283"/>
    <n v="1032"/>
    <x v="3"/>
    <x v="2"/>
    <x v="2"/>
    <x v="3"/>
    <x v="72"/>
    <s v="1-needle lockstitch machine JUKI DDL 8700-7"/>
    <x v="4"/>
    <x v="0"/>
    <s v="Склад машини"/>
    <x v="1"/>
    <m/>
    <n v="10112003"/>
    <n v="2585"/>
    <n v="1321.6895128922249"/>
    <n v="43.08"/>
    <n v="0"/>
  </r>
  <r>
    <n v="284"/>
    <n v="1034"/>
    <x v="3"/>
    <x v="2"/>
    <x v="2"/>
    <x v="3"/>
    <x v="72"/>
    <s v="1-needle lockstitch machine JUKI DDL 8700-7"/>
    <x v="4"/>
    <x v="0"/>
    <s v="мострена бригада"/>
    <x v="0"/>
    <m/>
    <n v="10112003"/>
    <n v="2585"/>
    <n v="1321.6895128922249"/>
    <n v="43.08"/>
    <n v="0"/>
  </r>
  <r>
    <n v="285"/>
    <n v="1038"/>
    <x v="10"/>
    <x v="2"/>
    <x v="2"/>
    <x v="10"/>
    <x v="14"/>
    <s v="High-speed, 2-Needle, 5-Thread Safety Stitch Machine JUKI MO 6716S"/>
    <x v="10"/>
    <x v="8"/>
    <s v="Руйно-1 ет."/>
    <x v="2"/>
    <m/>
    <n v="10112003"/>
    <n v="3188"/>
    <n v="1629.9985172535446"/>
    <n v="53.13"/>
    <n v="0"/>
  </r>
  <r>
    <n v="286"/>
    <n v="1039"/>
    <x v="10"/>
    <x v="2"/>
    <x v="2"/>
    <x v="10"/>
    <x v="95"/>
    <s v="JUKI MO-6700 Two-Needle 5-Thread Safety Stitch Machine"/>
    <x v="10"/>
    <x v="8"/>
    <s v="Склад машини"/>
    <x v="1"/>
    <m/>
    <n v="10112003"/>
    <n v="3188"/>
    <n v="1629.9985172535446"/>
    <n v="53.13"/>
    <n v="0"/>
  </r>
  <r>
    <n v="287"/>
    <n v="1040"/>
    <x v="21"/>
    <x v="3"/>
    <x v="3"/>
    <x v="21"/>
    <x v="96"/>
    <s v="Hook and Eye Attaching Press Gutos 5036"/>
    <x v="43"/>
    <x v="27"/>
    <s v="Руйно-1 ет."/>
    <x v="2"/>
    <m/>
    <m/>
    <n v="1080"/>
    <n v="552.19523169191598"/>
    <n v="0"/>
    <n v="0"/>
  </r>
  <r>
    <n v="288"/>
    <n v="1046"/>
    <x v="3"/>
    <x v="2"/>
    <x v="2"/>
    <x v="3"/>
    <x v="91"/>
    <s v="1-needle lockstitch machine JUKI DDL-8500"/>
    <x v="4"/>
    <x v="0"/>
    <s v="Контрол платове"/>
    <x v="4"/>
    <m/>
    <n v="1102002"/>
    <n v="800"/>
    <n v="409.03350495697481"/>
    <n v="0"/>
    <n v="0"/>
  </r>
  <r>
    <n v="289"/>
    <n v="1055"/>
    <x v="3"/>
    <x v="2"/>
    <x v="2"/>
    <x v="3"/>
    <x v="72"/>
    <s v="1-needle lockstitch machine JUKI DDL-8500 -7"/>
    <x v="4"/>
    <x v="0"/>
    <s v="Шевен 3бр."/>
    <x v="1"/>
    <m/>
    <n v="4122003"/>
    <n v="2494"/>
    <n v="1275.1619517033689"/>
    <n v="41.57"/>
    <n v="0"/>
  </r>
  <r>
    <n v="290"/>
    <n v="1056"/>
    <x v="3"/>
    <x v="2"/>
    <x v="2"/>
    <x v="3"/>
    <x v="72"/>
    <s v="1-needle lockstitch machine JUKI DDL-8500 -7"/>
    <x v="4"/>
    <x v="0"/>
    <s v="Склад машини"/>
    <x v="1"/>
    <m/>
    <n v="4122003"/>
    <n v="2494"/>
    <n v="1275.1619517033689"/>
    <n v="41.57"/>
    <n v="0"/>
  </r>
  <r>
    <n v="291"/>
    <n v="1057"/>
    <x v="3"/>
    <x v="2"/>
    <x v="2"/>
    <x v="3"/>
    <x v="72"/>
    <s v="1-needle lockstitch machine JUKI DDL-8500 -7"/>
    <x v="4"/>
    <x v="0"/>
    <s v="Склад машини"/>
    <x v="1"/>
    <m/>
    <n v="4122003"/>
    <n v="2494"/>
    <n v="1275.1619517033689"/>
    <n v="41.57"/>
    <n v="0"/>
  </r>
  <r>
    <n v="292"/>
    <n v="1058"/>
    <x v="3"/>
    <x v="2"/>
    <x v="2"/>
    <x v="3"/>
    <x v="72"/>
    <s v="1-needle lockstitch machine JUKI DDL-8500 -7"/>
    <x v="4"/>
    <x v="0"/>
    <s v="Руйно-1 ет."/>
    <x v="2"/>
    <m/>
    <n v="4122003"/>
    <n v="2494"/>
    <n v="1275.1619517033689"/>
    <n v="41.57"/>
    <n v="0"/>
  </r>
  <r>
    <n v="293"/>
    <n v="1059"/>
    <x v="3"/>
    <x v="2"/>
    <x v="2"/>
    <x v="3"/>
    <x v="72"/>
    <s v="1-needle lockstitch machine JUKI DDL-8500 -7"/>
    <x v="4"/>
    <x v="0"/>
    <s v="Склад машини"/>
    <x v="1"/>
    <m/>
    <n v="4122003"/>
    <n v="2494"/>
    <n v="1275.1619517033689"/>
    <n v="41.57"/>
    <n v="0"/>
  </r>
  <r>
    <n v="294"/>
    <n v="1060"/>
    <x v="10"/>
    <x v="2"/>
    <x v="2"/>
    <x v="10"/>
    <x v="14"/>
    <s v="Two-Needle 5-Thread Safety Stitch Machine JUKI MO 6716S"/>
    <x v="10"/>
    <x v="8"/>
    <s v="мострена бригада"/>
    <x v="0"/>
    <m/>
    <n v="4122003"/>
    <n v="2357"/>
    <n v="1205.1149639794869"/>
    <n v="39.28"/>
    <n v="0"/>
  </r>
  <r>
    <n v="295"/>
    <n v="1061"/>
    <x v="10"/>
    <x v="2"/>
    <x v="2"/>
    <x v="10"/>
    <x v="14"/>
    <s v="Two-Needle 5-Thread Safety Stitch Machine JUKI MO 6716S"/>
    <x v="10"/>
    <x v="8"/>
    <s v="Руйно- 2 ет."/>
    <x v="2"/>
    <m/>
    <n v="4122003"/>
    <n v="2357"/>
    <n v="1205.1149639794869"/>
    <n v="39.28"/>
    <n v="0"/>
  </r>
  <r>
    <n v="296"/>
    <n v="1062"/>
    <x v="10"/>
    <x v="2"/>
    <x v="2"/>
    <x v="10"/>
    <x v="97"/>
    <s v=" Single-Needle 3-Thread Overlock Machine JUKI MO 6704S"/>
    <x v="44"/>
    <x v="28"/>
    <s v="Склад машини"/>
    <x v="1"/>
    <m/>
    <n v="4122003"/>
    <n v="2741"/>
    <n v="1401.4510463588349"/>
    <n v="45.68"/>
    <n v="0"/>
  </r>
  <r>
    <n v="297"/>
    <n v="1064"/>
    <x v="1"/>
    <x v="0"/>
    <x v="0"/>
    <x v="1"/>
    <x v="19"/>
    <s v="Ironing Table INDUPRESS IPN-1260-DOB S+B "/>
    <x v="4"/>
    <x v="1"/>
    <s v="Довършителен участък "/>
    <x v="1"/>
    <m/>
    <n v="26012004"/>
    <n v="4498.41"/>
    <n v="2300.0005112918811"/>
    <n v="74.97"/>
    <n v="0"/>
  </r>
  <r>
    <n v="298"/>
    <n v="1065"/>
    <x v="1"/>
    <x v="0"/>
    <x v="0"/>
    <x v="1"/>
    <x v="19"/>
    <s v="Ironing TableINDUPRESS IPN-1260-DOB S+B "/>
    <x v="4"/>
    <x v="1"/>
    <s v="Довършителен участък "/>
    <x v="1"/>
    <m/>
    <n v="26012004"/>
    <n v="4498.41"/>
    <n v="2300.0005112918811"/>
    <n v="74.97"/>
    <n v="0"/>
  </r>
  <r>
    <n v="299"/>
    <n v="1069"/>
    <x v="3"/>
    <x v="2"/>
    <x v="2"/>
    <x v="3"/>
    <x v="98"/>
    <s v="High-speed Single-needle Lockstitch Machine with Electronic Feed  Brother S7200/403/PFL/F43"/>
    <x v="4"/>
    <x v="0"/>
    <s v="Шевен 1бр."/>
    <x v="1"/>
    <m/>
    <n v="30012004"/>
    <n v="2366.5500000000002"/>
    <n v="1209.9978014449109"/>
    <n v="0"/>
    <n v="0"/>
  </r>
  <r>
    <n v="300"/>
    <n v="1070"/>
    <x v="3"/>
    <x v="2"/>
    <x v="2"/>
    <x v="3"/>
    <x v="98"/>
    <s v="High-speed Single-needle Lockstitch Machine with Electronic Feed  Brother S7200/403/PFL/F43"/>
    <x v="4"/>
    <x v="0"/>
    <s v="Склад машини"/>
    <x v="1"/>
    <m/>
    <n v="30012004"/>
    <n v="2366.5500000000002"/>
    <n v="1209.9978014449109"/>
    <n v="0"/>
    <n v="0"/>
  </r>
  <r>
    <n v="301"/>
    <n v="1071"/>
    <x v="3"/>
    <x v="2"/>
    <x v="2"/>
    <x v="3"/>
    <x v="98"/>
    <s v="High-speed Single-needle Lockstitch Machine with Electronic Feed  Brother S7200/403/PFL/F44"/>
    <x v="4"/>
    <x v="0"/>
    <s v="Руйно-1 ет."/>
    <x v="2"/>
    <m/>
    <n v="30012004"/>
    <n v="2366.5500000000002"/>
    <n v="1209.9978014449109"/>
    <n v="0"/>
    <n v="0"/>
  </r>
  <r>
    <n v="302"/>
    <n v="1072"/>
    <x v="10"/>
    <x v="2"/>
    <x v="2"/>
    <x v="10"/>
    <x v="14"/>
    <s v="High-speed, 2-Needle, 5-Thread Safety Stitch Machine JUKI MO 6716S"/>
    <x v="10"/>
    <x v="8"/>
    <s v="Склад машини"/>
    <x v="1"/>
    <m/>
    <n v="2022004"/>
    <n v="4510"/>
    <n v="2305.9263841949455"/>
    <n v="0"/>
    <n v="0"/>
  </r>
  <r>
    <n v="303"/>
    <n v="1073"/>
    <x v="10"/>
    <x v="2"/>
    <x v="2"/>
    <x v="10"/>
    <x v="14"/>
    <s v="High-speed, 2-Needle, 5-Thread Safety Stitch Machine JUKI MO 6716S"/>
    <x v="10"/>
    <x v="8"/>
    <s v="Шевен 1бр."/>
    <x v="1"/>
    <m/>
    <n v="2022004"/>
    <n v="4510"/>
    <n v="2305.9263841949455"/>
    <n v="0"/>
    <n v="0"/>
  </r>
  <r>
    <n v="304"/>
    <n v="1086"/>
    <x v="1"/>
    <x v="0"/>
    <x v="0"/>
    <x v="1"/>
    <x v="99"/>
    <s v="Industrial Ironing Table INDUPRESS"/>
    <x v="45"/>
    <x v="0"/>
    <s v="Руйно-1 ет."/>
    <x v="2"/>
    <m/>
    <m/>
    <n v="7921"/>
    <n v="4049.9429909552468"/>
    <n v="0"/>
    <n v="0"/>
  </r>
  <r>
    <n v="305"/>
    <n v="1100"/>
    <x v="10"/>
    <x v="2"/>
    <x v="2"/>
    <x v="10"/>
    <x v="100"/>
    <s v="High-speed, 1-Needle, 3-Thread Overlock Machine JUKI MO3604"/>
    <x v="44"/>
    <x v="28"/>
    <s v="мострена бригада"/>
    <x v="0"/>
    <m/>
    <m/>
    <n v="3000"/>
    <n v="1533.8756435886555"/>
    <n v="0"/>
    <n v="0"/>
  </r>
  <r>
    <n v="306"/>
    <n v="1107"/>
    <x v="10"/>
    <x v="2"/>
    <x v="2"/>
    <x v="10"/>
    <x v="101"/>
    <s v="2-Needle, 5-Thread Safety Stitch Machine GN716-D53-MOOP"/>
    <x v="10"/>
    <x v="14"/>
    <s v="Кроялен участък"/>
    <x v="3"/>
    <m/>
    <n v="31032013"/>
    <n v="832.41"/>
    <n v="425.60447482654422"/>
    <n v="20.81"/>
    <n v="0"/>
  </r>
  <r>
    <n v="307"/>
    <n v="1108"/>
    <x v="10"/>
    <x v="2"/>
    <x v="2"/>
    <x v="10"/>
    <x v="101"/>
    <s v="2-Needle, 5-Thread Safety Stitch Machine GN716-D53-MOOP"/>
    <x v="10"/>
    <x v="14"/>
    <s v="Склад машини"/>
    <x v="1"/>
    <m/>
    <n v="31032013"/>
    <n v="832.41"/>
    <n v="425.60447482654422"/>
    <n v="20.81"/>
    <n v="0"/>
  </r>
  <r>
    <n v="308"/>
    <n v="1109"/>
    <x v="10"/>
    <x v="2"/>
    <x v="2"/>
    <x v="10"/>
    <x v="101"/>
    <s v="2-Needle, 5-Thread Safety Stitch Machine GN716-D53-MOOP"/>
    <x v="10"/>
    <x v="14"/>
    <s v="Техническа подготовка"/>
    <x v="5"/>
    <m/>
    <n v="31032013"/>
    <n v="832.41"/>
    <n v="425.60447482654422"/>
    <n v="20.81"/>
    <n v="0"/>
  </r>
  <r>
    <n v="309"/>
    <n v="1110"/>
    <x v="10"/>
    <x v="2"/>
    <x v="2"/>
    <x v="10"/>
    <x v="101"/>
    <s v="2-Needle, 5-Thread Safety Stitch Machine GN716-D53-MOOP"/>
    <x v="10"/>
    <x v="14"/>
    <s v="Склад машини"/>
    <x v="1"/>
    <m/>
    <n v="31032013"/>
    <n v="832.41"/>
    <n v="425.60447482654422"/>
    <n v="20.81"/>
    <n v="0"/>
  </r>
  <r>
    <n v="310"/>
    <n v="1111"/>
    <x v="10"/>
    <x v="2"/>
    <x v="2"/>
    <x v="10"/>
    <x v="101"/>
    <s v="2-Needle, 5-Thread Safety Stitch Machine GN716-D53-MOOP"/>
    <x v="10"/>
    <x v="14"/>
    <s v="Склад машини"/>
    <x v="1"/>
    <m/>
    <n v="31032013"/>
    <n v="832.41"/>
    <n v="425.60447482654422"/>
    <n v="20.81"/>
    <n v="0"/>
  </r>
  <r>
    <n v="311"/>
    <n v="1112"/>
    <x v="10"/>
    <x v="2"/>
    <x v="2"/>
    <x v="10"/>
    <x v="101"/>
    <s v="2-Needle, 5-Thread Safety Stitch Machine GN716-D53-MOOP"/>
    <x v="10"/>
    <x v="14"/>
    <s v="мострена бригада"/>
    <x v="0"/>
    <m/>
    <n v="31032013"/>
    <n v="832.41"/>
    <n v="425.60447482654422"/>
    <n v="20.81"/>
    <n v="0"/>
  </r>
  <r>
    <n v="312"/>
    <n v="1113"/>
    <x v="10"/>
    <x v="2"/>
    <x v="2"/>
    <x v="10"/>
    <x v="101"/>
    <s v="2-Needle, 5-Thread Safety Stitch Machine GN716-D53-MOOP"/>
    <x v="10"/>
    <x v="14"/>
    <s v="мострена бригада"/>
    <x v="0"/>
    <m/>
    <n v="31032013"/>
    <n v="832.41"/>
    <n v="425.60447482654422"/>
    <n v="20.81"/>
    <n v="0"/>
  </r>
  <r>
    <n v="313"/>
    <n v="1114"/>
    <x v="10"/>
    <x v="2"/>
    <x v="2"/>
    <x v="10"/>
    <x v="101"/>
    <s v="2-Needle, 5-Thread Safety Stitch Machine GN716-D53-MOOP"/>
    <x v="10"/>
    <x v="14"/>
    <s v="Склад машини"/>
    <x v="1"/>
    <m/>
    <n v="31032013"/>
    <n v="832.41"/>
    <n v="425.60447482654422"/>
    <n v="20.81"/>
    <n v="0"/>
  </r>
  <r>
    <n v="314"/>
    <n v="1115"/>
    <x v="10"/>
    <x v="2"/>
    <x v="2"/>
    <x v="10"/>
    <x v="101"/>
    <s v="2-Needle, 5-Thread Safety Stitch Machine GN716-D53-MOOP"/>
    <x v="10"/>
    <x v="14"/>
    <s v="Склад машини"/>
    <x v="1"/>
    <m/>
    <n v="31032013"/>
    <n v="832.41"/>
    <n v="425.60447482654422"/>
    <n v="20.81"/>
    <n v="0"/>
  </r>
  <r>
    <n v="315"/>
    <n v="1116"/>
    <x v="10"/>
    <x v="2"/>
    <x v="2"/>
    <x v="10"/>
    <x v="101"/>
    <s v="2-Needle, 5-Thread Safety Stitch Machine GN716-D53-MOOP"/>
    <x v="10"/>
    <x v="14"/>
    <s v="Склад машини"/>
    <x v="1"/>
    <m/>
    <n v="31032013"/>
    <n v="832.41"/>
    <n v="425.60447482654422"/>
    <n v="20.81"/>
    <n v="0"/>
  </r>
  <r>
    <n v="316"/>
    <n v="1117"/>
    <x v="10"/>
    <x v="2"/>
    <x v="2"/>
    <x v="10"/>
    <x v="101"/>
    <s v="2-Needle, 5-Thread Safety Stitch Machine GN716-D53-MOOP"/>
    <x v="10"/>
    <x v="14"/>
    <s v="мострена бригада"/>
    <x v="0"/>
    <m/>
    <n v="31032013"/>
    <n v="832.41"/>
    <n v="425.60447482654422"/>
    <n v="20.81"/>
    <n v="0"/>
  </r>
  <r>
    <n v="317"/>
    <n v="1118"/>
    <x v="10"/>
    <x v="2"/>
    <x v="2"/>
    <x v="10"/>
    <x v="101"/>
    <s v="2-Needle, 5-Thread Safety Stitch Machine GN716-D53-MOOP"/>
    <x v="10"/>
    <x v="14"/>
    <s v="Склад машини"/>
    <x v="1"/>
    <m/>
    <n v="31032013"/>
    <n v="832.41"/>
    <n v="425.60447482654422"/>
    <n v="20.81"/>
    <n v="0"/>
  </r>
  <r>
    <n v="318"/>
    <n v="1121"/>
    <x v="10"/>
    <x v="2"/>
    <x v="2"/>
    <x v="10"/>
    <x v="101"/>
    <s v="2-Needle, 5-Thread Safety Stitch Machine GN716-D53-MOOP"/>
    <x v="10"/>
    <x v="14"/>
    <s v="Склад машини"/>
    <x v="1"/>
    <m/>
    <n v="31032013"/>
    <n v="832.42"/>
    <n v="425.60958774535618"/>
    <n v="20.81"/>
    <n v="0"/>
  </r>
  <r>
    <n v="319"/>
    <n v="1125"/>
    <x v="3"/>
    <x v="2"/>
    <x v="2"/>
    <x v="3"/>
    <x v="102"/>
    <s v="High-speed Single-needle Lockstitch Machine with Direct Drive and Auto-trimmer Shanggong GC8880 -5-5D"/>
    <x v="4"/>
    <x v="0"/>
    <s v="Руйно- 2 ет."/>
    <x v="2"/>
    <m/>
    <n v="31032013"/>
    <n v="779.72"/>
    <n v="398.66450560631552"/>
    <n v="19.489999999999998"/>
    <n v="0"/>
  </r>
  <r>
    <n v="320"/>
    <n v="1126"/>
    <x v="3"/>
    <x v="2"/>
    <x v="2"/>
    <x v="3"/>
    <x v="102"/>
    <s v="High-speed Single-needle Lockstitch Machine with Direct Drive and Auto-trimmer Shanggong GC8880 -5-5D"/>
    <x v="4"/>
    <x v="0"/>
    <s v="Руйно- 2 ет."/>
    <x v="2"/>
    <m/>
    <n v="31032013"/>
    <n v="779.72"/>
    <n v="398.66450560631552"/>
    <n v="19.489999999999998"/>
    <n v="0"/>
  </r>
  <r>
    <n v="321"/>
    <n v="1129"/>
    <x v="3"/>
    <x v="2"/>
    <x v="2"/>
    <x v="3"/>
    <x v="102"/>
    <s v="High-speed Single-needle Lockstitch Machine with Direct Drive and Auto-trimmer Shanggong GC8880 -5-5D"/>
    <x v="4"/>
    <x v="0"/>
    <s v="Руйно- 2 ет."/>
    <x v="2"/>
    <m/>
    <n v="31032013"/>
    <n v="779.72"/>
    <n v="398.66450560631552"/>
    <n v="19.489999999999998"/>
    <n v="0"/>
  </r>
  <r>
    <n v="322"/>
    <n v="1134"/>
    <x v="3"/>
    <x v="2"/>
    <x v="2"/>
    <x v="3"/>
    <x v="102"/>
    <s v="High-speed Single-needle Lockstitch Machine with Direct Drive and Auto-trimmer Shanggong GC8880 -5-5D"/>
    <x v="4"/>
    <x v="0"/>
    <s v="Руйно- 2 ет."/>
    <x v="2"/>
    <m/>
    <n v="31032013"/>
    <n v="779.72"/>
    <n v="398.66450560631552"/>
    <n v="19.489999999999998"/>
    <n v="0"/>
  </r>
  <r>
    <n v="323"/>
    <n v="1135"/>
    <x v="3"/>
    <x v="2"/>
    <x v="2"/>
    <x v="3"/>
    <x v="102"/>
    <s v="High-speed Single-needle Lockstitch Machine with Direct Drive and Auto-trimmer Shanggong GC8880 -5-5D"/>
    <x v="4"/>
    <x v="0"/>
    <s v="Руйно- 2 ет."/>
    <x v="2"/>
    <m/>
    <n v="31032013"/>
    <n v="779.72"/>
    <n v="398.66450560631552"/>
    <n v="19.489999999999998"/>
    <n v="0"/>
  </r>
  <r>
    <n v="324"/>
    <n v="1144"/>
    <x v="3"/>
    <x v="2"/>
    <x v="2"/>
    <x v="3"/>
    <x v="102"/>
    <s v="High-speed Single-needle Lockstitch Machine with Direct Drive and Auto-trimmer Shanggong GC8880 -5-5D"/>
    <x v="4"/>
    <x v="0"/>
    <s v="Руйно-1 ет."/>
    <x v="2"/>
    <m/>
    <n v="31032013"/>
    <n v="779.72"/>
    <n v="398.66450560631552"/>
    <n v="19.489999999999998"/>
    <n v="0"/>
  </r>
  <r>
    <n v="325"/>
    <n v="1148"/>
    <x v="3"/>
    <x v="2"/>
    <x v="2"/>
    <x v="3"/>
    <x v="102"/>
    <s v="High-speed Single-needle Lockstitch Machine with Direct Drive and Auto-trimmer Shanggong GC8880 -5-5D"/>
    <x v="4"/>
    <x v="0"/>
    <s v="Руйно-1 ет."/>
    <x v="2"/>
    <m/>
    <n v="31032013"/>
    <n v="779.72"/>
    <n v="398.66450560631552"/>
    <n v="19.489999999999998"/>
    <n v="0"/>
  </r>
  <r>
    <n v="326"/>
    <n v="1155"/>
    <x v="3"/>
    <x v="2"/>
    <x v="2"/>
    <x v="3"/>
    <x v="102"/>
    <s v="High-speed Single-needle Lockstitch Machine with Direct Drive and Auto-trimmer Shanggong GC8880 -5-5D"/>
    <x v="4"/>
    <x v="0"/>
    <s v="Руйно-1 ет."/>
    <x v="2"/>
    <m/>
    <n v="31032013"/>
    <n v="779.72"/>
    <n v="398.66450560631552"/>
    <n v="19.489999999999998"/>
    <n v="0"/>
  </r>
  <r>
    <n v="327"/>
    <n v="1156"/>
    <x v="3"/>
    <x v="2"/>
    <x v="2"/>
    <x v="3"/>
    <x v="102"/>
    <s v="High-speed Single-needle Lockstitch Machine with Direct Drive and Auto-trimmer Shanggong GC8880 -5-5D"/>
    <x v="4"/>
    <x v="0"/>
    <s v="Руйно- 2 ет."/>
    <x v="2"/>
    <m/>
    <n v="31032013"/>
    <n v="779.72"/>
    <n v="398.66450560631552"/>
    <n v="19.489999999999998"/>
    <n v="0"/>
  </r>
  <r>
    <n v="328"/>
    <n v="1158"/>
    <x v="3"/>
    <x v="2"/>
    <x v="2"/>
    <x v="3"/>
    <x v="102"/>
    <s v="High-speed Single-needle Lockstitch Machine with Direct Drive and Auto-trimmer Shanggong GC8880 -5-5D"/>
    <x v="4"/>
    <x v="0"/>
    <s v="Руйно- 2 ет."/>
    <x v="2"/>
    <m/>
    <n v="31032013"/>
    <n v="779.72"/>
    <n v="398.66450560631552"/>
    <n v="19.489999999999998"/>
    <n v="0"/>
  </r>
  <r>
    <n v="329"/>
    <n v="1161"/>
    <x v="3"/>
    <x v="2"/>
    <x v="2"/>
    <x v="3"/>
    <x v="102"/>
    <s v="High-speed Single-needle Lockstitch Machine with Direct Drive and Auto-trimmer Shanggong GC8880 -5-5D"/>
    <x v="4"/>
    <x v="0"/>
    <s v="Руйно- 2 ет."/>
    <x v="2"/>
    <m/>
    <n v="31032013"/>
    <n v="779.72"/>
    <n v="398.66450560631552"/>
    <n v="19.489999999999998"/>
    <n v="0"/>
  </r>
  <r>
    <n v="330"/>
    <n v="1162"/>
    <x v="3"/>
    <x v="2"/>
    <x v="2"/>
    <x v="3"/>
    <x v="102"/>
    <s v="High-speed Single-needle Lockstitch Machine with Direct Drive and Auto-trimmer Shanggong GC8880 -5-5D"/>
    <x v="4"/>
    <x v="0"/>
    <s v="Руйно- 2 ет."/>
    <x v="2"/>
    <m/>
    <n v="31032013"/>
    <n v="779.72"/>
    <n v="398.66450560631552"/>
    <n v="19.489999999999998"/>
    <n v="0"/>
  </r>
  <r>
    <n v="331"/>
    <n v="1172"/>
    <x v="3"/>
    <x v="2"/>
    <x v="2"/>
    <x v="3"/>
    <x v="102"/>
    <s v="High-speed Single-needle Lockstitch Machine with Direct Drive and Auto-trimmer Shanggong GC8880 -5-5D"/>
    <x v="4"/>
    <x v="0"/>
    <s v="Руйно-1 ет."/>
    <x v="2"/>
    <m/>
    <n v="31032013"/>
    <n v="779.72"/>
    <n v="398.66450560631552"/>
    <n v="19.489999999999998"/>
    <n v="0"/>
  </r>
  <r>
    <n v="332"/>
    <n v="1180"/>
    <x v="3"/>
    <x v="2"/>
    <x v="2"/>
    <x v="3"/>
    <x v="102"/>
    <s v="High-speed Single-needle Lockstitch Machine with Direct Drive and Auto-trimmer Shanggong GC8880 -5-5D"/>
    <x v="4"/>
    <x v="0"/>
    <s v="Руйно-1 ет."/>
    <x v="2"/>
    <m/>
    <n v="31032013"/>
    <n v="779.72"/>
    <n v="398.66450560631552"/>
    <n v="19.489999999999998"/>
    <n v="0"/>
  </r>
  <r>
    <n v="333"/>
    <n v="1182"/>
    <x v="3"/>
    <x v="2"/>
    <x v="2"/>
    <x v="3"/>
    <x v="102"/>
    <s v="High-speed Single-needle Lockstitch Machine with Direct Drive and Auto-trimmer Shanggong GC8880 -5-5D"/>
    <x v="4"/>
    <x v="0"/>
    <s v="Руйно- 2 ет."/>
    <x v="2"/>
    <m/>
    <n v="31032013"/>
    <n v="779.72"/>
    <n v="398.66450560631552"/>
    <n v="19.489999999999998"/>
    <n v="0"/>
  </r>
  <r>
    <n v="334"/>
    <n v="1183"/>
    <x v="3"/>
    <x v="2"/>
    <x v="2"/>
    <x v="3"/>
    <x v="102"/>
    <s v="High-speed Single-needle Lockstitch Machine with Direct Drive and Auto-trimmer Shanggong GC8880 -5-5D"/>
    <x v="4"/>
    <x v="0"/>
    <s v="Руйно-1 ет."/>
    <x v="2"/>
    <m/>
    <n v="31032013"/>
    <n v="779.72"/>
    <n v="398.66450560631552"/>
    <n v="19.489999999999998"/>
    <n v="0"/>
  </r>
  <r>
    <n v="335"/>
    <n v="1184"/>
    <x v="3"/>
    <x v="2"/>
    <x v="2"/>
    <x v="3"/>
    <x v="102"/>
    <s v="High-speed Single-needle Lockstitch Machine with Direct Drive and Auto-trimmer Shanggong GC8880 -5-5D"/>
    <x v="4"/>
    <x v="0"/>
    <s v="Руйно- 2 ет."/>
    <x v="2"/>
    <m/>
    <n v="31032013"/>
    <n v="779.72"/>
    <n v="398.66450560631552"/>
    <n v="19.489999999999998"/>
    <n v="0"/>
  </r>
  <r>
    <n v="336"/>
    <n v="1189"/>
    <x v="3"/>
    <x v="2"/>
    <x v="2"/>
    <x v="3"/>
    <x v="102"/>
    <s v="High-speed Single-needle Lockstitch Machine with Direct Drive and Auto-trimmer Shanggong GC8880 -5-5D"/>
    <x v="4"/>
    <x v="0"/>
    <s v="Руйно- 2 ет."/>
    <x v="2"/>
    <m/>
    <n v="31032013"/>
    <n v="779.72"/>
    <n v="398.66450560631552"/>
    <n v="19.489999999999998"/>
    <n v="0"/>
  </r>
  <r>
    <n v="337"/>
    <n v="1192"/>
    <x v="1"/>
    <x v="0"/>
    <x v="0"/>
    <x v="1"/>
    <x v="103"/>
    <s v="Ironing Table (Skirt, Dress, Trousers) Veit 124184"/>
    <x v="4"/>
    <x v="29"/>
    <s v="Руйно- 2 ет."/>
    <x v="2"/>
    <m/>
    <n v="7052013"/>
    <n v="12429"/>
    <n v="6354.8467913877994"/>
    <n v="310.73"/>
    <n v="0"/>
  </r>
  <r>
    <n v="338"/>
    <n v="1193"/>
    <x v="1"/>
    <x v="0"/>
    <x v="0"/>
    <x v="1"/>
    <x v="103"/>
    <s v="Ironing Table (Skirt, Dress, Trousers) Veit 124184"/>
    <x v="4"/>
    <x v="29"/>
    <s v="Руйно- 2 ет."/>
    <x v="2"/>
    <m/>
    <n v="7052013"/>
    <n v="12429"/>
    <n v="6354.8467913877994"/>
    <n v="310.73"/>
    <n v="0"/>
  </r>
  <r>
    <n v="339"/>
    <n v="1194"/>
    <x v="1"/>
    <x v="0"/>
    <x v="0"/>
    <x v="1"/>
    <x v="103"/>
    <s v="Ironing Table (Skirt, Dress, Trousers) Veit 124184"/>
    <x v="4"/>
    <x v="29"/>
    <s v="Руйно- 2 ет."/>
    <x v="2"/>
    <m/>
    <n v="7052013"/>
    <n v="12429"/>
    <n v="6354.8467913877994"/>
    <n v="310.73"/>
    <n v="0"/>
  </r>
  <r>
    <n v="340"/>
    <n v="1195"/>
    <x v="1"/>
    <x v="0"/>
    <x v="0"/>
    <x v="1"/>
    <x v="51"/>
    <s v="Industrial Ironing Table Veit 126470"/>
    <x v="46"/>
    <x v="0"/>
    <s v="Склад машини"/>
    <x v="1"/>
    <m/>
    <n v="7052013"/>
    <n v="20049"/>
    <n v="10250.890926102984"/>
    <n v="501.23"/>
    <n v="0"/>
  </r>
  <r>
    <n v="341"/>
    <n v="1196"/>
    <x v="1"/>
    <x v="0"/>
    <x v="0"/>
    <x v="1"/>
    <x v="51"/>
    <s v="Industrial Ironing Table Veit 126470"/>
    <x v="46"/>
    <x v="0"/>
    <s v="Склад машини"/>
    <x v="1"/>
    <m/>
    <n v="7052013"/>
    <n v="20049"/>
    <n v="10250.890926102984"/>
    <n v="501.23"/>
    <n v="0"/>
  </r>
  <r>
    <n v="342"/>
    <n v="1197"/>
    <x v="17"/>
    <x v="4"/>
    <x v="4"/>
    <x v="17"/>
    <x v="104"/>
    <s v="Automatic Bagging/Packaging Machine Polypack"/>
    <x v="4"/>
    <x v="0"/>
    <s v="ЦОЕ"/>
    <x v="1"/>
    <m/>
    <n v="7052013"/>
    <n v="344599"/>
    <n v="176190.6709683357"/>
    <n v="8614.98"/>
    <n v="0"/>
  </r>
  <r>
    <n v="343"/>
    <n v="1199"/>
    <x v="2"/>
    <x v="1"/>
    <x v="1"/>
    <x v="2"/>
    <x v="23"/>
    <s v="Single blindstitch machine Strobel KL45-223"/>
    <x v="13"/>
    <x v="9"/>
    <s v="Склад машини"/>
    <x v="1"/>
    <m/>
    <n v="7052013"/>
    <n v="16843"/>
    <n v="8611.6891549879074"/>
    <n v="421.08"/>
    <n v="0"/>
  </r>
  <r>
    <n v="344"/>
    <n v="1200"/>
    <x v="2"/>
    <x v="1"/>
    <x v="1"/>
    <x v="2"/>
    <x v="23"/>
    <s v="Single blindstitch machine Strobel KL45-223"/>
    <x v="13"/>
    <x v="9"/>
    <s v="Шевен 2бр."/>
    <x v="1"/>
    <m/>
    <n v="7052013"/>
    <n v="16843"/>
    <n v="8611.6891549879074"/>
    <n v="421.08"/>
    <n v="0"/>
  </r>
  <r>
    <n v="345"/>
    <n v="1201"/>
    <x v="2"/>
    <x v="1"/>
    <x v="1"/>
    <x v="2"/>
    <x v="23"/>
    <s v="Single blindstitch machine Strobel KL45-223"/>
    <x v="13"/>
    <x v="9"/>
    <s v="Шевен 3бр."/>
    <x v="1"/>
    <m/>
    <n v="7052013"/>
    <n v="16843"/>
    <n v="8611.6891549879074"/>
    <n v="421.08"/>
    <n v="0"/>
  </r>
  <r>
    <n v="346"/>
    <n v="1202"/>
    <x v="2"/>
    <x v="1"/>
    <x v="1"/>
    <x v="2"/>
    <x v="23"/>
    <s v="Single blindstitch machine Strobel KL45-223"/>
    <x v="13"/>
    <x v="9"/>
    <s v="Склад машини"/>
    <x v="1"/>
    <m/>
    <n v="7052013"/>
    <n v="16843"/>
    <n v="8611.6891549879074"/>
    <n v="421.08"/>
    <n v="0"/>
  </r>
  <r>
    <n v="347"/>
    <n v="1203"/>
    <x v="18"/>
    <x v="1"/>
    <x v="1"/>
    <x v="18"/>
    <x v="105"/>
    <s v="Sleeve Setting Machine JUKI DP-2100"/>
    <x v="4"/>
    <x v="0"/>
    <s v="мострена бригада"/>
    <x v="0"/>
    <m/>
    <n v="7052013"/>
    <n v="29390"/>
    <n v="15026.868388356861"/>
    <n v="734.75"/>
    <n v="0"/>
  </r>
  <r>
    <n v="348"/>
    <n v="1204"/>
    <x v="6"/>
    <x v="1"/>
    <x v="1"/>
    <x v="6"/>
    <x v="16"/>
    <s v="Button sewing machine Juki МВ-377"/>
    <x v="6"/>
    <x v="0"/>
    <s v="Шевен 1бр."/>
    <x v="1"/>
    <m/>
    <n v="7052013"/>
    <n v="4893"/>
    <n v="2501.7511746930973"/>
    <n v="122.33"/>
    <n v="0"/>
  </r>
  <r>
    <n v="349"/>
    <n v="1205"/>
    <x v="6"/>
    <x v="1"/>
    <x v="1"/>
    <x v="6"/>
    <x v="16"/>
    <s v="Button sewing machine Juki МВ-377"/>
    <x v="6"/>
    <x v="0"/>
    <s v="Склад машини"/>
    <x v="1"/>
    <m/>
    <n v="7052013"/>
    <n v="4893"/>
    <n v="2501.7511746930973"/>
    <n v="122.33"/>
    <n v="0"/>
  </r>
  <r>
    <n v="350"/>
    <n v="1206"/>
    <x v="30"/>
    <x v="1"/>
    <x v="1"/>
    <x v="30"/>
    <x v="106"/>
    <s v="Programmable Pattern Sewer JUKI AMS-210EN"/>
    <x v="47"/>
    <x v="0"/>
    <s v="Склад машини"/>
    <x v="1"/>
    <m/>
    <n v="7052013"/>
    <n v="28498"/>
    <n v="14570.796030329835"/>
    <n v="712.45"/>
    <n v="0"/>
  </r>
  <r>
    <n v="351"/>
    <n v="1207"/>
    <x v="10"/>
    <x v="2"/>
    <x v="2"/>
    <x v="10"/>
    <x v="97"/>
    <s v="1-Needle, 3-Thread Overlock (Serger) Machine JUKI MO 6704S"/>
    <x v="44"/>
    <x v="14"/>
    <s v="Руйно-1 ет."/>
    <x v="2"/>
    <m/>
    <n v="7052013"/>
    <n v="3847"/>
    <n v="1966.9398669618527"/>
    <n v="96.18"/>
    <n v="0"/>
  </r>
  <r>
    <n v="352"/>
    <n v="1208"/>
    <x v="10"/>
    <x v="2"/>
    <x v="2"/>
    <x v="10"/>
    <x v="97"/>
    <s v="1-Needle, 3-Thread Overlock (Serger) Machine JUKI MO 6704S"/>
    <x v="44"/>
    <x v="14"/>
    <s v="Руйно- 2 ет."/>
    <x v="2"/>
    <m/>
    <n v="7052013"/>
    <n v="3847"/>
    <n v="1966.9398669618527"/>
    <n v="96.18"/>
    <n v="0"/>
  </r>
  <r>
    <n v="353"/>
    <n v="1209"/>
    <x v="10"/>
    <x v="2"/>
    <x v="2"/>
    <x v="10"/>
    <x v="97"/>
    <s v="1-Needle, 3-Thread Overlock (Serger) Machine JUKI MO 6704S"/>
    <x v="44"/>
    <x v="14"/>
    <s v="Руйно-1 ет."/>
    <x v="2"/>
    <m/>
    <n v="7052013"/>
    <n v="3847"/>
    <n v="1966.9398669618527"/>
    <n v="96.18"/>
    <n v="0"/>
  </r>
  <r>
    <n v="354"/>
    <n v="1210"/>
    <x v="10"/>
    <x v="2"/>
    <x v="2"/>
    <x v="10"/>
    <x v="107"/>
    <s v="3-Needle, 6-Thread Overlock / Safety Stitch Machine JUKI MO6743S"/>
    <x v="48"/>
    <x v="14"/>
    <s v="мострена бригада"/>
    <x v="2"/>
    <m/>
    <n v="7052013"/>
    <n v="4598"/>
    <n v="2350.9200697402125"/>
    <n v="114.95"/>
    <n v="0"/>
  </r>
  <r>
    <n v="355"/>
    <n v="1211"/>
    <x v="31"/>
    <x v="3"/>
    <x v="3"/>
    <x v="31"/>
    <x v="108"/>
    <s v="Automatic Belt-Loop Attaching Machine JUKI AB-1351N"/>
    <x v="4"/>
    <x v="0"/>
    <s v="Руйно- 2 ет."/>
    <x v="2"/>
    <m/>
    <n v="7052013"/>
    <n v="42489"/>
    <n v="21724.280740146129"/>
    <n v="1062.23"/>
    <n v="0"/>
  </r>
  <r>
    <n v="356"/>
    <n v="1212"/>
    <x v="8"/>
    <x v="1"/>
    <x v="1"/>
    <x v="8"/>
    <x v="24"/>
    <s v="Bartack machine Juki LK-1900ASS"/>
    <x v="4"/>
    <x v="0"/>
    <s v="Руйно- 2 ет."/>
    <x v="2"/>
    <m/>
    <n v="7052013"/>
    <n v="7997"/>
    <n v="4088.8011739261592"/>
    <n v="199.93"/>
    <n v="0"/>
  </r>
  <r>
    <n v="357"/>
    <n v="1213"/>
    <x v="8"/>
    <x v="1"/>
    <x v="1"/>
    <x v="8"/>
    <x v="24"/>
    <s v="Bartack machine Juki LK-1900ASS"/>
    <x v="4"/>
    <x v="0"/>
    <s v="Руйно- 2 ет."/>
    <x v="2"/>
    <m/>
    <n v="7052013"/>
    <n v="7997"/>
    <n v="4088.8011739261592"/>
    <n v="199.93"/>
    <n v="0"/>
  </r>
  <r>
    <n v="358"/>
    <n v="1214"/>
    <x v="8"/>
    <x v="1"/>
    <x v="1"/>
    <x v="8"/>
    <x v="24"/>
    <s v="Bartack machine  Juki LK-1900ASS"/>
    <x v="4"/>
    <x v="0"/>
    <s v="Руйно-1 ет."/>
    <x v="2"/>
    <m/>
    <n v="7052013"/>
    <n v="7997"/>
    <n v="4088.8011739261592"/>
    <n v="199.93"/>
    <n v="0"/>
  </r>
  <r>
    <n v="359"/>
    <n v="1215"/>
    <x v="10"/>
    <x v="2"/>
    <x v="2"/>
    <x v="10"/>
    <x v="14"/>
    <s v="2-Needle, 5-Thread Safety Stitch Machine GN716-D53-MOOP"/>
    <x v="10"/>
    <x v="14"/>
    <s v="Руйно-1 ет."/>
    <x v="2"/>
    <m/>
    <n v="7052013"/>
    <n v="3998"/>
    <n v="2044.1449410224816"/>
    <n v="99.95"/>
    <n v="0"/>
  </r>
  <r>
    <n v="360"/>
    <n v="1216"/>
    <x v="10"/>
    <x v="2"/>
    <x v="2"/>
    <x v="10"/>
    <x v="14"/>
    <s v="2-Needle, 5-Thread Safety Stitch Machine GN716-D53-MOOP"/>
    <x v="10"/>
    <x v="14"/>
    <s v="Руйно-1 ет."/>
    <x v="2"/>
    <m/>
    <n v="7052013"/>
    <n v="3998"/>
    <n v="2044.1449410224816"/>
    <n v="99.95"/>
    <n v="0"/>
  </r>
  <r>
    <n v="361"/>
    <n v="1217"/>
    <x v="10"/>
    <x v="2"/>
    <x v="2"/>
    <x v="10"/>
    <x v="14"/>
    <s v="2-Needle, 5-Thread Safety Stitch Machine GN716-D53-MOOP"/>
    <x v="10"/>
    <x v="14"/>
    <s v="Руйно- 2 ет."/>
    <x v="2"/>
    <m/>
    <n v="7052013"/>
    <n v="3998"/>
    <n v="2044.1449410224816"/>
    <n v="99.95"/>
    <n v="0"/>
  </r>
  <r>
    <n v="362"/>
    <n v="1218"/>
    <x v="10"/>
    <x v="2"/>
    <x v="2"/>
    <x v="10"/>
    <x v="14"/>
    <s v="2-Needle, 5-Thread Safety Stitch Machine GN716-D53-MOOP"/>
    <x v="10"/>
    <x v="14"/>
    <s v="Руйно-1 ет."/>
    <x v="2"/>
    <m/>
    <n v="7052013"/>
    <n v="3998"/>
    <n v="2044.1449410224816"/>
    <n v="99.95"/>
    <n v="0"/>
  </r>
  <r>
    <n v="363"/>
    <n v="1219"/>
    <x v="10"/>
    <x v="2"/>
    <x v="2"/>
    <x v="10"/>
    <x v="14"/>
    <s v="2-Needle, 5-Thread Safety Stitch Machine GN716-D53-MOOP"/>
    <x v="10"/>
    <x v="14"/>
    <s v="Руйно- 2 ет."/>
    <x v="2"/>
    <m/>
    <n v="7052013"/>
    <n v="3998"/>
    <n v="2044.1449410224816"/>
    <n v="99.95"/>
    <n v="0"/>
  </r>
  <r>
    <n v="364"/>
    <n v="1220"/>
    <x v="10"/>
    <x v="2"/>
    <x v="2"/>
    <x v="10"/>
    <x v="14"/>
    <s v="2-Needle, 5-Thread Safety Stitch Machine GN716-D53-MOOP"/>
    <x v="10"/>
    <x v="14"/>
    <s v="Шевен 1бр."/>
    <x v="1"/>
    <m/>
    <n v="7052013"/>
    <n v="3998"/>
    <n v="2044.1449410224816"/>
    <n v="99.95"/>
    <n v="0"/>
  </r>
  <r>
    <n v="365"/>
    <n v="1221"/>
    <x v="10"/>
    <x v="2"/>
    <x v="2"/>
    <x v="10"/>
    <x v="14"/>
    <s v="2-Needle, 5-Thread Safety Stitch Machine GN716-D53-MOOP"/>
    <x v="10"/>
    <x v="14"/>
    <s v="Руйно- 2 ет."/>
    <x v="2"/>
    <m/>
    <n v="7052013"/>
    <n v="3998"/>
    <n v="2044.1449410224816"/>
    <n v="99.95"/>
    <n v="0"/>
  </r>
  <r>
    <n v="366"/>
    <n v="1222"/>
    <x v="10"/>
    <x v="2"/>
    <x v="2"/>
    <x v="10"/>
    <x v="14"/>
    <s v="2-Needle, 5-Thread Safety Stitch Machine GN716-D53-MOOP"/>
    <x v="10"/>
    <x v="14"/>
    <s v="Руйно-1 ет."/>
    <x v="2"/>
    <m/>
    <n v="7052013"/>
    <n v="3998"/>
    <n v="2044.1449410224816"/>
    <n v="99.95"/>
    <n v="0"/>
  </r>
  <r>
    <n v="367"/>
    <n v="1223"/>
    <x v="2"/>
    <x v="1"/>
    <x v="1"/>
    <x v="2"/>
    <x v="109"/>
    <s v="Strobel 103-258 Blindstitch Belt-Loop Attaching Machine."/>
    <x v="49"/>
    <x v="3"/>
    <s v="Руйно- 2 ет."/>
    <x v="2"/>
    <m/>
    <n v="7052013"/>
    <n v="26992"/>
    <n v="13800.790457248329"/>
    <n v="674.8"/>
    <n v="0"/>
  </r>
  <r>
    <n v="368"/>
    <n v="1224"/>
    <x v="3"/>
    <x v="2"/>
    <x v="2"/>
    <x v="3"/>
    <x v="110"/>
    <s v="JUKI DLN-9010A-SS Single-Needle, Direct-Drive, High-Speed, Needle-Feed Lockstitch Machine"/>
    <x v="4"/>
    <x v="30"/>
    <s v="Руйно- 2 ет."/>
    <x v="2"/>
    <m/>
    <n v="7052013"/>
    <n v="8395"/>
    <n v="4292.2953426422546"/>
    <n v="209.88"/>
    <n v="0"/>
  </r>
  <r>
    <n v="369"/>
    <n v="1225"/>
    <x v="3"/>
    <x v="2"/>
    <x v="2"/>
    <x v="3"/>
    <x v="110"/>
    <s v="JUKI DLN-9010A-SS Single-Needle, Direct-Drive, High-Speed, Needle-Feed Lockstitch Machine"/>
    <x v="4"/>
    <x v="30"/>
    <s v="Руйно- 2 ет."/>
    <x v="2"/>
    <m/>
    <n v="7052013"/>
    <n v="8395"/>
    <n v="4292.2953426422546"/>
    <n v="209.88"/>
    <n v="0"/>
  </r>
  <r>
    <n v="370"/>
    <n v="1226"/>
    <x v="3"/>
    <x v="2"/>
    <x v="2"/>
    <x v="3"/>
    <x v="110"/>
    <s v="JUKI DLN-9010A-SS Single-Needle, Direct-Drive, High-Speed, Needle-Feed Lockstitch Machine"/>
    <x v="4"/>
    <x v="30"/>
    <s v="Руйно- 2 ет."/>
    <x v="2"/>
    <m/>
    <n v="7052013"/>
    <n v="8395"/>
    <n v="4292.2953426422546"/>
    <n v="209.88"/>
    <n v="0"/>
  </r>
  <r>
    <n v="371"/>
    <n v="1227"/>
    <x v="3"/>
    <x v="2"/>
    <x v="2"/>
    <x v="3"/>
    <x v="110"/>
    <s v="JUKI DLN-9010A-SS Single-Needle, Direct-Drive, High-Speed, Needle-Feed Lockstitch Machine"/>
    <x v="4"/>
    <x v="30"/>
    <s v="Руйно- 2 ет."/>
    <x v="2"/>
    <m/>
    <n v="7052013"/>
    <n v="8395"/>
    <n v="4292.2953426422546"/>
    <n v="209.88"/>
    <n v="0"/>
  </r>
  <r>
    <n v="372"/>
    <n v="1228"/>
    <x v="3"/>
    <x v="2"/>
    <x v="2"/>
    <x v="3"/>
    <x v="110"/>
    <s v="JUKI DLN-9010A-SS Single-Needle, Direct-Drive, High-Speed, Needle-Feed Lockstitch Machine"/>
    <x v="4"/>
    <x v="30"/>
    <s v="Руйно-1 ет."/>
    <x v="2"/>
    <m/>
    <n v="7052013"/>
    <n v="8395"/>
    <n v="4292.2953426422546"/>
    <n v="209.88"/>
    <n v="0"/>
  </r>
  <r>
    <n v="373"/>
    <n v="1229"/>
    <x v="3"/>
    <x v="2"/>
    <x v="2"/>
    <x v="3"/>
    <x v="111"/>
    <s v="JUKI DLN-6390 Single-Needle, Cylinder-Bed, Needle-Feed Lockstitch Machine for Bottom Hemming"/>
    <x v="50"/>
    <x v="30"/>
    <s v="Руйно- 2 ет."/>
    <x v="2"/>
    <m/>
    <n v="7082013"/>
    <n v="10415"/>
    <n v="5325.104942658616"/>
    <n v="260.38"/>
    <n v="0"/>
  </r>
  <r>
    <n v="374"/>
    <n v="1230"/>
    <x v="27"/>
    <x v="3"/>
    <x v="3"/>
    <x v="27"/>
    <x v="112"/>
    <s v="JUKI MF-7523 High-speed, Flat-bed, Top and Bottom Coverstitch Machine"/>
    <x v="51"/>
    <x v="24"/>
    <s v="Руйно- 2 ет."/>
    <x v="2"/>
    <m/>
    <n v="2092013"/>
    <n v="4991"/>
    <n v="2551.8577790503264"/>
    <n v="124.78"/>
    <n v="0"/>
  </r>
  <r>
    <n v="375"/>
    <n v="1231"/>
    <x v="27"/>
    <x v="3"/>
    <x v="3"/>
    <x v="27"/>
    <x v="112"/>
    <s v="JUKI MF-7523 High-speed, Flat-bed, Top and Bottom Coverstitch Machine"/>
    <x v="51"/>
    <x v="24"/>
    <s v="Склад машини"/>
    <x v="1"/>
    <m/>
    <n v="2092013"/>
    <n v="4991"/>
    <n v="2551.8577790503264"/>
    <n v="124.78"/>
    <n v="0"/>
  </r>
  <r>
    <n v="376"/>
    <n v="1232"/>
    <x v="22"/>
    <x v="1"/>
    <x v="1"/>
    <x v="22"/>
    <x v="113"/>
    <s v="BROTHER DA-9280-7 Three-Needle, Feed-Off-The-Arm, Double Chainstitch Machine (for extra heavy materials)"/>
    <x v="52"/>
    <x v="0"/>
    <s v="Руйно-1 ет."/>
    <x v="2"/>
    <m/>
    <n v="2092013"/>
    <n v="8212"/>
    <n v="4198.7289283833461"/>
    <n v="205.3"/>
    <n v="0"/>
  </r>
  <r>
    <n v="377"/>
    <n v="1233"/>
    <x v="22"/>
    <x v="1"/>
    <x v="1"/>
    <x v="22"/>
    <x v="113"/>
    <s v="BROTHER DA-9280-7 Three-Needle, Feed-Off-The-Arm, Double Chainstitch Machine (for extra heavy materials)"/>
    <x v="52"/>
    <x v="0"/>
    <s v="Склад машини"/>
    <x v="1"/>
    <m/>
    <n v="2092013"/>
    <n v="8212"/>
    <n v="4198.7289283833461"/>
    <n v="205.3"/>
    <n v="0"/>
  </r>
  <r>
    <n v="378"/>
    <n v="1234"/>
    <x v="22"/>
    <x v="1"/>
    <x v="1"/>
    <x v="22"/>
    <x v="113"/>
    <s v="BROTHER DA-9280-7 Three-Needle, Feed-Off-The-Arm, Double Chainstitch Machine (for extra heavy materials)"/>
    <x v="52"/>
    <x v="0"/>
    <s v="Склад машини"/>
    <x v="1"/>
    <m/>
    <n v="2092013"/>
    <n v="8212"/>
    <n v="4198.7289283833461"/>
    <n v="205.3"/>
    <n v="0"/>
  </r>
  <r>
    <n v="379"/>
    <n v="1235"/>
    <x v="11"/>
    <x v="2"/>
    <x v="2"/>
    <x v="11"/>
    <x v="114"/>
    <s v="Conveyor Belt EN063.00BO8 for Fusing Press (Inv. No. 538)"/>
    <x v="26"/>
    <x v="31"/>
    <s v="Кроялен участък"/>
    <x v="3"/>
    <m/>
    <n v="2092013"/>
    <n v="6800"/>
    <n v="3476.7847921342859"/>
    <n v="170"/>
    <n v="0"/>
  </r>
  <r>
    <n v="380"/>
    <n v="1237"/>
    <x v="32"/>
    <x v="5"/>
    <x v="5"/>
    <x v="32"/>
    <x v="115"/>
    <s v="500-Liter Piston Air Compressor"/>
    <x v="53"/>
    <x v="32"/>
    <s v="Руйно-компресорно"/>
    <x v="2"/>
    <m/>
    <n v="18122013"/>
    <n v="3750"/>
    <n v="1917.3445544858193"/>
    <n v="93.75"/>
    <n v="0"/>
  </r>
  <r>
    <n v="381"/>
    <n v="1238"/>
    <x v="4"/>
    <x v="3"/>
    <x v="3"/>
    <x v="4"/>
    <x v="116"/>
    <s v="Hand stitch sewing machine  Sanggong"/>
    <x v="4"/>
    <x v="0"/>
    <s v="мострена бригада"/>
    <x v="0"/>
    <m/>
    <n v="30122013"/>
    <n v="5642.78"/>
    <n v="2885.1076013763977"/>
    <n v="141.07"/>
    <n v="0"/>
  </r>
  <r>
    <n v="382"/>
    <n v="1239"/>
    <x v="4"/>
    <x v="3"/>
    <x v="3"/>
    <x v="4"/>
    <x v="116"/>
    <s v="Hand stitch sewing machine  Sanggong"/>
    <x v="4"/>
    <x v="0"/>
    <s v="Руйно-1 ет."/>
    <x v="2"/>
    <m/>
    <n v="30122013"/>
    <n v="5642.78"/>
    <n v="2885.1076013763977"/>
    <n v="141.07"/>
    <n v="0"/>
  </r>
  <r>
    <n v="383"/>
    <n v="1240"/>
    <x v="4"/>
    <x v="3"/>
    <x v="3"/>
    <x v="4"/>
    <x v="116"/>
    <s v="Hand stitch sewing machine  Sanggong"/>
    <x v="4"/>
    <x v="0"/>
    <s v="Руйно-1 ет."/>
    <x v="2"/>
    <m/>
    <n v="30122013"/>
    <n v="5642.77"/>
    <n v="2885.1024884575859"/>
    <n v="141.07"/>
    <n v="0"/>
  </r>
  <r>
    <n v="384"/>
    <n v="1241"/>
    <x v="4"/>
    <x v="3"/>
    <x v="3"/>
    <x v="4"/>
    <x v="116"/>
    <s v="Hand stitch sewing machine  Sanggong"/>
    <x v="4"/>
    <x v="0"/>
    <s v="Руйно-1 ет."/>
    <x v="2"/>
    <m/>
    <n v="30122013"/>
    <n v="5642.77"/>
    <n v="2885.1024884575859"/>
    <n v="141.07"/>
    <n v="0"/>
  </r>
  <r>
    <n v="385"/>
    <n v="1242"/>
    <x v="21"/>
    <x v="3"/>
    <x v="3"/>
    <x v="21"/>
    <x v="45"/>
    <s v="Pneumatic Grommet/Eyelet Press, 420 kg Force, Model JLQ03-80."/>
    <x v="25"/>
    <x v="16"/>
    <s v="Склад машини"/>
    <x v="1"/>
    <m/>
    <n v="12022014"/>
    <n v="911.67"/>
    <n v="466.1294693301565"/>
    <n v="22.79"/>
    <n v="0"/>
  </r>
  <r>
    <n v="386"/>
    <n v="1243"/>
    <x v="21"/>
    <x v="3"/>
    <x v="3"/>
    <x v="21"/>
    <x v="117"/>
    <s v="Pneumatic Hook-and-Eye (Wire Button) Attaching Machine, Model JLQ01-TH"/>
    <x v="43"/>
    <x v="16"/>
    <s v="Руйно- 2 ет."/>
    <x v="2"/>
    <m/>
    <n v="26022014"/>
    <n v="875"/>
    <n v="447.3803960466912"/>
    <n v="21.88"/>
    <n v="0"/>
  </r>
  <r>
    <n v="387"/>
    <n v="1244"/>
    <x v="21"/>
    <x v="3"/>
    <x v="3"/>
    <x v="21"/>
    <x v="117"/>
    <s v="Pneumatic Hook-and-Eye (Wire Button) Attaching Machine, Model JLQ01-TH"/>
    <x v="43"/>
    <x v="16"/>
    <s v="мострена бригада"/>
    <x v="0"/>
    <m/>
    <n v="26022014"/>
    <n v="875"/>
    <n v="447.3803960466912"/>
    <n v="21.88"/>
    <n v="0"/>
  </r>
  <r>
    <n v="388"/>
    <n v="1245"/>
    <x v="10"/>
    <x v="2"/>
    <x v="2"/>
    <x v="10"/>
    <x v="94"/>
    <s v="JUKI MO-6714S High-speed, 2-Needle, 4-Thread Overlock/Safety Stitch Machine"/>
    <x v="42"/>
    <x v="14"/>
    <s v="мострена бригада"/>
    <x v="0"/>
    <m/>
    <n v="10042014"/>
    <n v="2355.0500000000002"/>
    <n v="1204.1179448111545"/>
    <n v="58.88"/>
    <n v="0"/>
  </r>
  <r>
    <n v="389"/>
    <n v="1246"/>
    <x v="10"/>
    <x v="2"/>
    <x v="2"/>
    <x v="10"/>
    <x v="97"/>
    <s v="1-Needle, 3-Thread Overlock (Serger) Machine JUKI MO 6704S"/>
    <x v="44"/>
    <x v="14"/>
    <s v="Шевен 1бр."/>
    <x v="1"/>
    <m/>
    <n v="10042014"/>
    <n v="2331.3000000000002"/>
    <n v="1191.9747626327444"/>
    <n v="58.28"/>
    <n v="0"/>
  </r>
  <r>
    <n v="390"/>
    <n v="1247"/>
    <x v="10"/>
    <x v="2"/>
    <x v="2"/>
    <x v="10"/>
    <x v="97"/>
    <s v="1-Needle, 3-Thread Overlock (Serger) Machine JUKI MO 6704S"/>
    <x v="44"/>
    <x v="14"/>
    <s v="Шевен 1бр."/>
    <x v="1"/>
    <m/>
    <n v="10042014"/>
    <n v="2331.3000000000002"/>
    <n v="1191.9747626327444"/>
    <n v="58.28"/>
    <n v="0"/>
  </r>
  <r>
    <n v="391"/>
    <n v="1248"/>
    <x v="10"/>
    <x v="2"/>
    <x v="2"/>
    <x v="10"/>
    <x v="14"/>
    <s v="2-Needle 5-Thread Overlock/Safety Stitch Machine JUKI MO-6716S"/>
    <x v="10"/>
    <x v="14"/>
    <s v="Шевен 3бр."/>
    <x v="1"/>
    <m/>
    <n v="10042014"/>
    <n v="2461.4499999999998"/>
    <n v="1258.5194009704319"/>
    <n v="61.54"/>
    <n v="0"/>
  </r>
  <r>
    <n v="392"/>
    <n v="1249"/>
    <x v="10"/>
    <x v="2"/>
    <x v="2"/>
    <x v="10"/>
    <x v="14"/>
    <s v="2-Needle 5-Thread Overlock/Safety Stitch Machine JUKI MO-6716S"/>
    <x v="10"/>
    <x v="14"/>
    <s v="Техническа подготовка"/>
    <x v="5"/>
    <m/>
    <n v="10042014"/>
    <n v="2461.4499999999998"/>
    <n v="1258.5194009704319"/>
    <n v="61.54"/>
    <n v="0"/>
  </r>
  <r>
    <n v="393"/>
    <n v="1250"/>
    <x v="10"/>
    <x v="2"/>
    <x v="2"/>
    <x v="10"/>
    <x v="14"/>
    <s v="2-Needle 5-Thread Overlock/Safety Stitch Machine JUKI MO-6716S"/>
    <x v="10"/>
    <x v="14"/>
    <s v="Шевен 2бр."/>
    <x v="1"/>
    <m/>
    <n v="10042014"/>
    <n v="2461.4499999999998"/>
    <n v="1258.5194009704319"/>
    <n v="61.54"/>
    <n v="0"/>
  </r>
  <r>
    <n v="394"/>
    <n v="1251"/>
    <x v="10"/>
    <x v="2"/>
    <x v="2"/>
    <x v="10"/>
    <x v="14"/>
    <s v="2-Needle 5-Thread Overlock/Safety Stitch Machine JUKI MO-6716S"/>
    <x v="10"/>
    <x v="14"/>
    <s v="Шевен 2бр."/>
    <x v="1"/>
    <m/>
    <n v="10042014"/>
    <n v="2461.4499999999998"/>
    <n v="1258.5194009704319"/>
    <n v="61.54"/>
    <n v="0"/>
  </r>
  <r>
    <n v="395"/>
    <n v="1252"/>
    <x v="10"/>
    <x v="2"/>
    <x v="2"/>
    <x v="10"/>
    <x v="14"/>
    <s v="2-Needle 5-Thread Overlock/Safety Stitch Machine JUKI MO-6716S"/>
    <x v="10"/>
    <x v="14"/>
    <s v="Шевен 1бр."/>
    <x v="1"/>
    <m/>
    <n v="10042014"/>
    <n v="2461.4499999999998"/>
    <n v="1258.5194009704319"/>
    <n v="61.54"/>
    <n v="0"/>
  </r>
  <r>
    <n v="396"/>
    <n v="1253"/>
    <x v="10"/>
    <x v="2"/>
    <x v="2"/>
    <x v="10"/>
    <x v="14"/>
    <s v="2-Needle 5-Thread Overlock/Safety Stitch Machine JUKI MO-6716S"/>
    <x v="10"/>
    <x v="14"/>
    <s v="Шевен 1бр."/>
    <x v="1"/>
    <m/>
    <n v="10042014"/>
    <n v="2461.4499999999998"/>
    <n v="1258.5194009704319"/>
    <n v="61.54"/>
    <n v="0"/>
  </r>
  <r>
    <n v="397"/>
    <n v="1254"/>
    <x v="3"/>
    <x v="2"/>
    <x v="2"/>
    <x v="3"/>
    <x v="55"/>
    <s v="1 - needle lockstitch machine  Durkopp 281"/>
    <x v="4"/>
    <x v="0"/>
    <s v="Шевен 3бр."/>
    <x v="1"/>
    <m/>
    <n v="10042014"/>
    <n v="1554.88"/>
    <n v="794.99752023437622"/>
    <n v="38.869999999999997"/>
    <n v="0"/>
  </r>
  <r>
    <n v="398"/>
    <n v="1256"/>
    <x v="3"/>
    <x v="2"/>
    <x v="2"/>
    <x v="3"/>
    <x v="55"/>
    <s v="1 - needle lockstitch machine  Durkopp 281"/>
    <x v="4"/>
    <x v="0"/>
    <s v="Руйно-1 ет."/>
    <x v="2"/>
    <m/>
    <n v="10042014"/>
    <n v="1554.88"/>
    <n v="794.99752023437622"/>
    <n v="38.869999999999997"/>
    <n v="0"/>
  </r>
  <r>
    <n v="399"/>
    <n v="1257"/>
    <x v="3"/>
    <x v="2"/>
    <x v="2"/>
    <x v="3"/>
    <x v="55"/>
    <s v="1 - needle lockstitch machine  Durkopp 281"/>
    <x v="4"/>
    <x v="0"/>
    <s v="Руйно-1 ет."/>
    <x v="2"/>
    <m/>
    <n v="10042014"/>
    <n v="1554.88"/>
    <n v="794.99752023437622"/>
    <n v="38.869999999999997"/>
    <n v="0"/>
  </r>
  <r>
    <n v="400"/>
    <n v="1258"/>
    <x v="3"/>
    <x v="2"/>
    <x v="2"/>
    <x v="3"/>
    <x v="55"/>
    <s v="1 - needle lockstitch machine  Durkopp 281"/>
    <x v="4"/>
    <x v="0"/>
    <s v="Руйно- 2 ет."/>
    <x v="2"/>
    <m/>
    <n v="10042014"/>
    <n v="1554.88"/>
    <n v="794.99752023437622"/>
    <n v="38.869999999999997"/>
    <n v="0"/>
  </r>
  <r>
    <n v="401"/>
    <n v="1259"/>
    <x v="3"/>
    <x v="2"/>
    <x v="2"/>
    <x v="3"/>
    <x v="55"/>
    <s v="1 - needle lockstitch machine  Durkopp 281"/>
    <x v="4"/>
    <x v="0"/>
    <s v="Руйно-1 ет."/>
    <x v="2"/>
    <m/>
    <n v="10042014"/>
    <n v="1554.88"/>
    <n v="794.99752023437622"/>
    <n v="38.869999999999997"/>
    <n v="0"/>
  </r>
  <r>
    <n v="402"/>
    <n v="1260"/>
    <x v="3"/>
    <x v="2"/>
    <x v="2"/>
    <x v="3"/>
    <x v="55"/>
    <s v="1 - needle lockstitch machine  Durkopp 281"/>
    <x v="4"/>
    <x v="0"/>
    <s v="Руйно-1 ет."/>
    <x v="2"/>
    <m/>
    <n v="10042014"/>
    <n v="1554.88"/>
    <n v="794.99752023437622"/>
    <n v="38.869999999999997"/>
    <n v="0"/>
  </r>
  <r>
    <n v="403"/>
    <n v="1261"/>
    <x v="3"/>
    <x v="2"/>
    <x v="2"/>
    <x v="3"/>
    <x v="55"/>
    <s v="1 - needle lockstitch machine  Durkopp 281"/>
    <x v="4"/>
    <x v="0"/>
    <s v="Склад машини"/>
    <x v="1"/>
    <m/>
    <n v="10042014"/>
    <n v="1554.88"/>
    <n v="794.99752023437622"/>
    <n v="38.869999999999997"/>
    <n v="0"/>
  </r>
  <r>
    <n v="404"/>
    <n v="1262"/>
    <x v="3"/>
    <x v="2"/>
    <x v="2"/>
    <x v="3"/>
    <x v="55"/>
    <s v="1 - needle lockstitch machine  Durkopp 281"/>
    <x v="4"/>
    <x v="0"/>
    <s v="Руйно-1 ет."/>
    <x v="2"/>
    <m/>
    <n v="10042014"/>
    <n v="1554.88"/>
    <n v="794.99752023437622"/>
    <n v="38.869999999999997"/>
    <n v="0"/>
  </r>
  <r>
    <n v="405"/>
    <n v="1263"/>
    <x v="3"/>
    <x v="2"/>
    <x v="2"/>
    <x v="3"/>
    <x v="55"/>
    <s v="1 - needle lockstitch machine  Durkopp 281"/>
    <x v="4"/>
    <x v="0"/>
    <s v="Склад машини"/>
    <x v="1"/>
    <m/>
    <n v="10042014"/>
    <n v="1554.88"/>
    <n v="794.99752023437622"/>
    <n v="38.869999999999997"/>
    <n v="0"/>
  </r>
  <r>
    <n v="406"/>
    <n v="1264"/>
    <x v="3"/>
    <x v="2"/>
    <x v="2"/>
    <x v="3"/>
    <x v="55"/>
    <s v="1 - needle lockstitch machine  Durkopp 281"/>
    <x v="4"/>
    <x v="0"/>
    <s v="Руйно"/>
    <x v="2"/>
    <m/>
    <n v="10042014"/>
    <n v="1554.88"/>
    <n v="794.99752023437622"/>
    <n v="38.869999999999997"/>
    <n v="0"/>
  </r>
  <r>
    <n v="407"/>
    <n v="1265"/>
    <x v="3"/>
    <x v="2"/>
    <x v="2"/>
    <x v="3"/>
    <x v="55"/>
    <s v="1 - needle lockstitch machine  Durkopp 281"/>
    <x v="4"/>
    <x v="0"/>
    <s v="Шевен 2бр."/>
    <x v="1"/>
    <m/>
    <n v="10042014"/>
    <n v="1554.88"/>
    <n v="794.99752023437622"/>
    <n v="38.869999999999997"/>
    <n v="0"/>
  </r>
  <r>
    <n v="408"/>
    <n v="1267"/>
    <x v="3"/>
    <x v="2"/>
    <x v="2"/>
    <x v="3"/>
    <x v="55"/>
    <s v="1 - needle lockstitch machine  Durkopp 281"/>
    <x v="4"/>
    <x v="0"/>
    <s v="Руйно- 2 ет."/>
    <x v="2"/>
    <m/>
    <n v="10042014"/>
    <n v="1554.88"/>
    <n v="794.99752023437622"/>
    <n v="38.869999999999997"/>
    <n v="0"/>
  </r>
  <r>
    <n v="409"/>
    <n v="1268"/>
    <x v="3"/>
    <x v="2"/>
    <x v="2"/>
    <x v="3"/>
    <x v="55"/>
    <s v="1 - needle lockstitch machine  Durkopp 281"/>
    <x v="4"/>
    <x v="0"/>
    <s v="Руйно-1 ет."/>
    <x v="2"/>
    <m/>
    <n v="10042014"/>
    <n v="1554.88"/>
    <n v="794.99752023437622"/>
    <n v="38.869999999999997"/>
    <n v="0"/>
  </r>
  <r>
    <n v="410"/>
    <n v="1269"/>
    <x v="3"/>
    <x v="2"/>
    <x v="2"/>
    <x v="3"/>
    <x v="55"/>
    <s v="1 - needle lockstitch machine  Durkopp 281"/>
    <x v="4"/>
    <x v="0"/>
    <s v="Руйно-1 ет."/>
    <x v="2"/>
    <m/>
    <n v="10042014"/>
    <n v="1554.88"/>
    <n v="794.99752023437622"/>
    <n v="38.869999999999997"/>
    <n v="0"/>
  </r>
  <r>
    <n v="411"/>
    <n v="1270"/>
    <x v="3"/>
    <x v="2"/>
    <x v="2"/>
    <x v="3"/>
    <x v="55"/>
    <s v="1 - needle lockstitch machine  Durkopp 281"/>
    <x v="4"/>
    <x v="0"/>
    <s v="Руйно- 2 ет."/>
    <x v="2"/>
    <m/>
    <n v="10042014"/>
    <n v="1554.88"/>
    <n v="794.99752023437622"/>
    <n v="38.869999999999997"/>
    <n v="0"/>
  </r>
  <r>
    <n v="412"/>
    <n v="1271"/>
    <x v="3"/>
    <x v="2"/>
    <x v="2"/>
    <x v="3"/>
    <x v="55"/>
    <s v="1 - needle lockstitch machine  Durkopp 281"/>
    <x v="4"/>
    <x v="0"/>
    <s v="Шевен 3бр."/>
    <x v="1"/>
    <m/>
    <n v="10042014"/>
    <n v="1554.88"/>
    <n v="794.99752023437622"/>
    <n v="38.869999999999997"/>
    <n v="0"/>
  </r>
  <r>
    <n v="413"/>
    <n v="1272"/>
    <x v="3"/>
    <x v="2"/>
    <x v="2"/>
    <x v="3"/>
    <x v="55"/>
    <s v="1 - needle lockstitch machine  Durkopp 281"/>
    <x v="4"/>
    <x v="0"/>
    <s v="Шевен 1бр."/>
    <x v="1"/>
    <m/>
    <n v="10042014"/>
    <n v="1554.88"/>
    <n v="794.99752023437622"/>
    <n v="38.869999999999997"/>
    <n v="0"/>
  </r>
  <r>
    <n v="414"/>
    <n v="1273"/>
    <x v="3"/>
    <x v="2"/>
    <x v="2"/>
    <x v="3"/>
    <x v="55"/>
    <s v="1 - needle lockstitch machine  Durkopp 281"/>
    <x v="4"/>
    <x v="0"/>
    <s v="Руйно-1 ет."/>
    <x v="2"/>
    <m/>
    <n v="10042014"/>
    <n v="1554.88"/>
    <n v="794.99752023437622"/>
    <n v="38.869999999999997"/>
    <n v="0"/>
  </r>
  <r>
    <n v="415"/>
    <n v="1274"/>
    <x v="22"/>
    <x v="1"/>
    <x v="1"/>
    <x v="22"/>
    <x v="60"/>
    <s v="Chainstitch sewing machine DURKOPP 173"/>
    <x v="29"/>
    <x v="20"/>
    <s v="Руйно- 2 ет."/>
    <x v="2"/>
    <m/>
    <n v="10042014"/>
    <n v="10000.16"/>
    <n v="5113.0006186631763"/>
    <n v="250"/>
    <n v="0"/>
  </r>
  <r>
    <n v="416"/>
    <n v="1275"/>
    <x v="22"/>
    <x v="1"/>
    <x v="1"/>
    <x v="22"/>
    <x v="60"/>
    <s v="Chainstitch sewing machine DURKOPP 173"/>
    <x v="29"/>
    <x v="20"/>
    <s v="мострена бригада"/>
    <x v="0"/>
    <m/>
    <n v="10042014"/>
    <n v="10000.16"/>
    <n v="5113.0006186631763"/>
    <n v="250"/>
    <n v="0"/>
  </r>
  <r>
    <n v="417"/>
    <n v="1276"/>
    <x v="3"/>
    <x v="2"/>
    <x v="2"/>
    <x v="3"/>
    <x v="118"/>
    <s v="1 - needle lockstitch machine  Durkopp 272"/>
    <x v="4"/>
    <x v="13"/>
    <s v="Склад машини"/>
    <x v="1"/>
    <m/>
    <n v="10042014"/>
    <n v="4694"/>
    <n v="2400.0040903350496"/>
    <n v="117.35"/>
    <n v="0"/>
  </r>
  <r>
    <n v="418"/>
    <n v="1277"/>
    <x v="3"/>
    <x v="2"/>
    <x v="2"/>
    <x v="3"/>
    <x v="118"/>
    <s v="1 - needle lockstitch machine  Durkopp 272"/>
    <x v="4"/>
    <x v="13"/>
    <s v="Склад машини"/>
    <x v="1"/>
    <m/>
    <n v="10042014"/>
    <n v="4694"/>
    <n v="2400.0040903350496"/>
    <n v="117.35"/>
    <n v="0"/>
  </r>
  <r>
    <n v="419"/>
    <n v="1278"/>
    <x v="3"/>
    <x v="2"/>
    <x v="2"/>
    <x v="3"/>
    <x v="118"/>
    <s v="1 - needle lockstitch machine  Durkopp 272"/>
    <x v="4"/>
    <x v="13"/>
    <s v="Склад машини"/>
    <x v="1"/>
    <m/>
    <n v="10042014"/>
    <n v="4694"/>
    <n v="2400.0040903350496"/>
    <n v="117.35"/>
    <n v="0"/>
  </r>
  <r>
    <n v="420"/>
    <n v="1279"/>
    <x v="3"/>
    <x v="2"/>
    <x v="2"/>
    <x v="3"/>
    <x v="118"/>
    <s v="1 - needle lockstitch machine  Durkopp 272"/>
    <x v="4"/>
    <x v="13"/>
    <s v="Склад машини"/>
    <x v="1"/>
    <m/>
    <n v="10042014"/>
    <n v="4694"/>
    <n v="2400.0040903350496"/>
    <n v="117.35"/>
    <n v="0"/>
  </r>
  <r>
    <n v="421"/>
    <n v="1280"/>
    <x v="3"/>
    <x v="2"/>
    <x v="2"/>
    <x v="3"/>
    <x v="13"/>
    <s v="1 - needle lockstitch machine  Durkopp 275"/>
    <x v="9"/>
    <x v="11"/>
    <s v="мострена бригада"/>
    <x v="0"/>
    <m/>
    <n v="10042014"/>
    <n v="9974.73"/>
    <n v="5099.9984661243561"/>
    <n v="249.37"/>
    <n v="0"/>
  </r>
  <r>
    <n v="422"/>
    <n v="1281"/>
    <x v="3"/>
    <x v="2"/>
    <x v="2"/>
    <x v="3"/>
    <x v="13"/>
    <s v="1 - needle lockstitch machine  Durkopp 275"/>
    <x v="9"/>
    <x v="11"/>
    <s v="Руйно-1 ет."/>
    <x v="2"/>
    <m/>
    <n v="10042014"/>
    <n v="9974.73"/>
    <n v="5099.9984661243561"/>
    <n v="249.37"/>
    <n v="0"/>
  </r>
  <r>
    <n v="423"/>
    <n v="1282"/>
    <x v="1"/>
    <x v="0"/>
    <x v="0"/>
    <x v="1"/>
    <x v="119"/>
    <s v="Ironing table Veit Uniset S 126449"/>
    <x v="1"/>
    <x v="2"/>
    <s v="Шевен 1бр."/>
    <x v="1"/>
    <m/>
    <n v="10042014"/>
    <n v="6271.05"/>
    <n v="3206.3369515755462"/>
    <n v="156.78"/>
    <n v="0"/>
  </r>
  <r>
    <n v="424"/>
    <n v="1283"/>
    <x v="1"/>
    <x v="0"/>
    <x v="0"/>
    <x v="1"/>
    <x v="63"/>
    <s v="Ironing table Veit S126449"/>
    <x v="2"/>
    <x v="5"/>
    <s v="мострена бригада"/>
    <x v="0"/>
    <m/>
    <n v="10042014"/>
    <n v="6271.05"/>
    <n v="3206.3369515755462"/>
    <n v="156.78"/>
    <n v="0"/>
  </r>
  <r>
    <n v="425"/>
    <n v="1284"/>
    <x v="1"/>
    <x v="0"/>
    <x v="0"/>
    <x v="1"/>
    <x v="63"/>
    <s v="Ironing tableVeit S126449"/>
    <x v="2"/>
    <x v="5"/>
    <s v="Склад машини"/>
    <x v="1"/>
    <m/>
    <n v="10042014"/>
    <n v="6271.05"/>
    <n v="3206.3369515755462"/>
    <n v="156.78"/>
    <n v="0"/>
  </r>
  <r>
    <n v="426"/>
    <n v="1285"/>
    <x v="1"/>
    <x v="0"/>
    <x v="0"/>
    <x v="1"/>
    <x v="120"/>
    <s v="Ironing table Veit S124856"/>
    <x v="1"/>
    <x v="5"/>
    <s v="Склад машини"/>
    <x v="1"/>
    <m/>
    <n v="10042014"/>
    <n v="5693.43"/>
    <n v="2911.0045351589865"/>
    <n v="142.34"/>
    <n v="0"/>
  </r>
  <r>
    <n v="427"/>
    <n v="1286"/>
    <x v="1"/>
    <x v="0"/>
    <x v="0"/>
    <x v="1"/>
    <x v="57"/>
    <s v="Ironing tableVeit 126461"/>
    <x v="2"/>
    <x v="2"/>
    <s v="Шевен 1бр."/>
    <x v="1"/>
    <m/>
    <n v="10042014"/>
    <n v="5693.43"/>
    <n v="2911.0045351589865"/>
    <n v="142.34"/>
    <n v="0"/>
  </r>
  <r>
    <n v="428"/>
    <n v="1287"/>
    <x v="1"/>
    <x v="0"/>
    <x v="0"/>
    <x v="1"/>
    <x v="120"/>
    <s v="Ironing table Veit S124856"/>
    <x v="1"/>
    <x v="5"/>
    <s v="Склад машини"/>
    <x v="1"/>
    <m/>
    <n v="10042014"/>
    <n v="5693.43"/>
    <n v="2911.0045351589865"/>
    <n v="142.34"/>
    <n v="0"/>
  </r>
  <r>
    <n v="429"/>
    <n v="1288"/>
    <x v="1"/>
    <x v="0"/>
    <x v="0"/>
    <x v="1"/>
    <x v="120"/>
    <s v="Ironing table Veit S124856"/>
    <x v="1"/>
    <x v="5"/>
    <s v="Склад машини"/>
    <x v="1"/>
    <m/>
    <n v="10042014"/>
    <n v="5693.43"/>
    <n v="2911.0045351589865"/>
    <n v="142.34"/>
    <n v="0"/>
  </r>
  <r>
    <n v="430"/>
    <n v="1289"/>
    <x v="1"/>
    <x v="0"/>
    <x v="0"/>
    <x v="1"/>
    <x v="58"/>
    <s v="Ironing table Veit Uniset S+B"/>
    <x v="1"/>
    <x v="18"/>
    <s v="Довършителен участък "/>
    <x v="1"/>
    <m/>
    <n v="10042014"/>
    <n v="5928.12"/>
    <n v="3030.9996267569268"/>
    <n v="148.19999999999999"/>
    <n v="0"/>
  </r>
  <r>
    <n v="431"/>
    <n v="1290"/>
    <x v="1"/>
    <x v="0"/>
    <x v="0"/>
    <x v="1"/>
    <x v="121"/>
    <s v="Ironing table Veit S126442"/>
    <x v="1"/>
    <x v="5"/>
    <s v="Руйно-1 ет."/>
    <x v="2"/>
    <m/>
    <n v="10042014"/>
    <n v="5928.12"/>
    <n v="3030.9996267569268"/>
    <n v="148.19999999999999"/>
    <n v="0"/>
  </r>
  <r>
    <n v="432"/>
    <n v="1291"/>
    <x v="2"/>
    <x v="1"/>
    <x v="1"/>
    <x v="2"/>
    <x v="23"/>
    <s v="Single-needle blindstitch machine Strobel KL45-223"/>
    <x v="13"/>
    <x v="9"/>
    <s v="Руйно-1 ет."/>
    <x v="2"/>
    <m/>
    <n v="10042014"/>
    <n v="12712.9"/>
    <n v="6500.0025564594062"/>
    <n v="317.82"/>
    <n v="0"/>
  </r>
  <r>
    <n v="433"/>
    <n v="1292"/>
    <x v="2"/>
    <x v="1"/>
    <x v="1"/>
    <x v="2"/>
    <x v="122"/>
    <s v="Single-needle blindstitch machine Strobel VEB103-191"/>
    <x v="54"/>
    <x v="33"/>
    <s v="Руйно-1 ет."/>
    <x v="2"/>
    <m/>
    <n v="10042014"/>
    <n v="12468.42"/>
    <n v="6375.0019173445544"/>
    <n v="311.70999999999998"/>
    <n v="0"/>
  </r>
  <r>
    <n v="434"/>
    <n v="1293"/>
    <x v="8"/>
    <x v="1"/>
    <x v="1"/>
    <x v="8"/>
    <x v="123"/>
    <s v="Bartack machine Durkopp Adler 512-211"/>
    <x v="4"/>
    <x v="0"/>
    <s v="Руйно- 1ет."/>
    <x v="2"/>
    <m/>
    <n v="10042014"/>
    <n v="6610.7"/>
    <n v="3379.9972390238413"/>
    <n v="165.27"/>
    <n v="0"/>
  </r>
  <r>
    <n v="435"/>
    <n v="1294"/>
    <x v="16"/>
    <x v="0"/>
    <x v="0"/>
    <x v="16"/>
    <x v="124"/>
    <s v="Multiform Finisher / Steam Mannequin VEIT 8363"/>
    <x v="55"/>
    <x v="0"/>
    <s v="Довършителен участък "/>
    <x v="1"/>
    <m/>
    <n v="21052014"/>
    <n v="23274.38"/>
    <n v="11900.001533875644"/>
    <n v="581.86"/>
    <n v="0"/>
  </r>
  <r>
    <n v="436"/>
    <n v="1295"/>
    <x v="10"/>
    <x v="2"/>
    <x v="2"/>
    <x v="10"/>
    <x v="97"/>
    <s v="1-Needle 3-Thread Overlock Machine JUKI MO-6704S"/>
    <x v="44"/>
    <x v="14"/>
    <s v="Шевен 2бр."/>
    <x v="1"/>
    <m/>
    <n v="3092014"/>
    <n v="2331.3000000000002"/>
    <n v="1191.9747626327444"/>
    <n v="58.28"/>
    <n v="0"/>
  </r>
  <r>
    <n v="437"/>
    <n v="1296"/>
    <x v="10"/>
    <x v="2"/>
    <x v="2"/>
    <x v="10"/>
    <x v="97"/>
    <s v="1-Needle 3-Thread Overlock Machine JUKI MO-6704S"/>
    <x v="44"/>
    <x v="14"/>
    <s v="Шевен 3бр."/>
    <x v="1"/>
    <m/>
    <n v="3092014"/>
    <n v="2331.3000000000002"/>
    <n v="1191.9747626327444"/>
    <n v="58.28"/>
    <n v="0"/>
  </r>
  <r>
    <n v="438"/>
    <n v="1297"/>
    <x v="10"/>
    <x v="2"/>
    <x v="2"/>
    <x v="10"/>
    <x v="107"/>
    <s v="3-Needle 6-Thread Overlock/Safety Stitch Machine JUKI MO-6743S"/>
    <x v="48"/>
    <x v="8"/>
    <s v="Склад машини"/>
    <x v="1"/>
    <m/>
    <n v="3092014"/>
    <n v="3215.75"/>
    <n v="1644.1868669567396"/>
    <n v="80.39"/>
    <n v="0"/>
  </r>
  <r>
    <n v="439"/>
    <n v="1298"/>
    <x v="10"/>
    <x v="2"/>
    <x v="2"/>
    <x v="10"/>
    <x v="107"/>
    <s v="3-Needle 6-Thread Overlock/Safety Stitch Machine JUKI MO-6743S"/>
    <x v="48"/>
    <x v="8"/>
    <s v="Склад машини"/>
    <x v="1"/>
    <m/>
    <n v="3092014"/>
    <n v="3215.75"/>
    <n v="1644.1868669567396"/>
    <n v="80.39"/>
    <n v="0"/>
  </r>
  <r>
    <n v="440"/>
    <n v="1299"/>
    <x v="10"/>
    <x v="2"/>
    <x v="2"/>
    <x v="10"/>
    <x v="107"/>
    <s v="3-Needle 6-Thread Overlock/Safety Stitch Machine JUKI MO-6743S"/>
    <x v="48"/>
    <x v="8"/>
    <s v="Руйно- 2 ет."/>
    <x v="2"/>
    <m/>
    <n v="3092014"/>
    <n v="3215.75"/>
    <n v="1644.1868669567396"/>
    <n v="80.39"/>
    <n v="0"/>
  </r>
  <r>
    <n v="441"/>
    <n v="1300"/>
    <x v="10"/>
    <x v="2"/>
    <x v="2"/>
    <x v="10"/>
    <x v="107"/>
    <s v="3-Needle 6-Thread Overlock/Safety Stitch Machine JUKI MO-6743S"/>
    <x v="48"/>
    <x v="8"/>
    <s v="Склад машини"/>
    <x v="1"/>
    <m/>
    <n v="3092014"/>
    <n v="3215.75"/>
    <n v="1644.1868669567396"/>
    <n v="80.39"/>
    <n v="0"/>
  </r>
  <r>
    <n v="442"/>
    <n v="1301"/>
    <x v="10"/>
    <x v="2"/>
    <x v="2"/>
    <x v="10"/>
    <x v="94"/>
    <s v="High-speed, 2-Needle, 4-Thread Overlock/Safety Stitch Machine JUKI MO-6714S"/>
    <x v="42"/>
    <x v="14"/>
    <s v="Шевен 2бр."/>
    <x v="1"/>
    <m/>
    <n v="3092014"/>
    <n v="2355.0500000000002"/>
    <n v="1204.1179448111545"/>
    <n v="58.88"/>
    <n v="0"/>
  </r>
  <r>
    <n v="443"/>
    <n v="1302"/>
    <x v="10"/>
    <x v="2"/>
    <x v="2"/>
    <x v="10"/>
    <x v="125"/>
    <s v="2-Needle 5-Thread Overlock/Safety Stitch Machine JUKI MO-6916R"/>
    <x v="56"/>
    <x v="26"/>
    <s v="мострена бригада"/>
    <x v="0"/>
    <m/>
    <n v="3092014"/>
    <n v="6412.5"/>
    <n v="3278.6591881707509"/>
    <n v="160.31"/>
    <n v="0"/>
  </r>
  <r>
    <n v="444"/>
    <n v="1303"/>
    <x v="10"/>
    <x v="2"/>
    <x v="2"/>
    <x v="10"/>
    <x v="125"/>
    <s v="2-Needle 5-Thread Overlock/Safety Stitch Machine JUKI MO-6916R"/>
    <x v="56"/>
    <x v="26"/>
    <s v="Шевен 2бр."/>
    <x v="1"/>
    <m/>
    <n v="3092014"/>
    <n v="6412.5"/>
    <n v="3278.6591881707509"/>
    <n v="160.31"/>
    <n v="0"/>
  </r>
  <r>
    <n v="445"/>
    <n v="1304"/>
    <x v="22"/>
    <x v="1"/>
    <x v="1"/>
    <x v="22"/>
    <x v="60"/>
    <s v="Chainstitch sewing machine Durkopp 173"/>
    <x v="29"/>
    <x v="20"/>
    <s v="Руйно- 2 ет."/>
    <x v="2"/>
    <m/>
    <n v="26082014"/>
    <n v="10000.16"/>
    <n v="5113.0006186631763"/>
    <n v="250"/>
    <n v="0"/>
  </r>
  <r>
    <n v="446"/>
    <n v="1305"/>
    <x v="22"/>
    <x v="1"/>
    <x v="1"/>
    <x v="22"/>
    <x v="60"/>
    <s v="Chainstitch sewing machine Durkopp 173"/>
    <x v="29"/>
    <x v="20"/>
    <s v="Склад машини"/>
    <x v="1"/>
    <m/>
    <n v="26082014"/>
    <n v="10000.16"/>
    <n v="5113.0006186631763"/>
    <n v="250"/>
    <n v="0"/>
  </r>
  <r>
    <n v="447"/>
    <n v="1306"/>
    <x v="3"/>
    <x v="2"/>
    <x v="2"/>
    <x v="3"/>
    <x v="55"/>
    <s v="1-Needle Lockstitch Machine Dürkopp Adler 281"/>
    <x v="4"/>
    <x v="13"/>
    <s v="Склад машини"/>
    <x v="1"/>
    <m/>
    <n v="26082014"/>
    <n v="4693.99"/>
    <n v="2399.9989774162377"/>
    <n v="117.35"/>
    <n v="0"/>
  </r>
  <r>
    <n v="448"/>
    <n v="1307"/>
    <x v="2"/>
    <x v="1"/>
    <x v="1"/>
    <x v="2"/>
    <x v="23"/>
    <s v="Single-needle blindstitch machine Strobel KL45-223"/>
    <x v="13"/>
    <x v="9"/>
    <s v="Руйно-1 ет."/>
    <x v="2"/>
    <m/>
    <n v="26082014"/>
    <n v="12712.9"/>
    <n v="6500.0025564594062"/>
    <n v="317.82"/>
    <n v="0"/>
  </r>
  <r>
    <n v="449"/>
    <n v="1308"/>
    <x v="2"/>
    <x v="1"/>
    <x v="1"/>
    <x v="2"/>
    <x v="126"/>
    <s v="Blindstitch Machine Strobel VEB100-2"/>
    <x v="57"/>
    <x v="9"/>
    <s v="Склад машини"/>
    <x v="1"/>
    <m/>
    <n v="26082014"/>
    <n v="9564"/>
    <n v="4889.995551760634"/>
    <n v="239.1"/>
    <n v="0"/>
  </r>
  <r>
    <n v="450"/>
    <n v="1309"/>
    <x v="8"/>
    <x v="1"/>
    <x v="1"/>
    <x v="8"/>
    <x v="123"/>
    <s v="Bartack machine Durkopp Adler 512-211"/>
    <x v="4"/>
    <x v="0"/>
    <s v="Склад машини"/>
    <x v="1"/>
    <m/>
    <n v="26082014"/>
    <n v="6610.7"/>
    <n v="3379.9972390238413"/>
    <n v="165.27"/>
    <n v="0"/>
  </r>
  <r>
    <n v="451"/>
    <n v="1310"/>
    <x v="1"/>
    <x v="0"/>
    <x v="0"/>
    <x v="1"/>
    <x v="63"/>
    <s v="Industrial Ironing Table Veit S126449"/>
    <x v="2"/>
    <x v="5"/>
    <s v="Склад машини"/>
    <x v="1"/>
    <m/>
    <n v="26082014"/>
    <n v="6271.04"/>
    <n v="3206.3318386567339"/>
    <n v="156.78"/>
    <n v="0"/>
  </r>
  <r>
    <n v="452"/>
    <n v="1311"/>
    <x v="1"/>
    <x v="0"/>
    <x v="0"/>
    <x v="1"/>
    <x v="127"/>
    <s v="Industrial Ironing Table Veit S126449"/>
    <x v="1"/>
    <x v="5"/>
    <s v="Склад машини"/>
    <x v="1"/>
    <m/>
    <n v="26082014"/>
    <n v="6271.04"/>
    <n v="3206.3318386567339"/>
    <n v="156.78"/>
    <n v="0"/>
  </r>
  <r>
    <n v="453"/>
    <n v="1312"/>
    <x v="1"/>
    <x v="0"/>
    <x v="0"/>
    <x v="1"/>
    <x v="57"/>
    <s v="Industrial Ironing Table Veit 126461"/>
    <x v="2"/>
    <x v="2"/>
    <s v="Шевен 3бр."/>
    <x v="1"/>
    <m/>
    <n v="26082014"/>
    <n v="6271.04"/>
    <n v="3206.3318386567339"/>
    <n v="156.78"/>
    <n v="0"/>
  </r>
  <r>
    <n v="454"/>
    <n v="1313"/>
    <x v="1"/>
    <x v="0"/>
    <x v="0"/>
    <x v="1"/>
    <x v="120"/>
    <s v="Industrial Ironing Table Veit S124856"/>
    <x v="1"/>
    <x v="5"/>
    <s v="Склад машини"/>
    <x v="1"/>
    <m/>
    <n v="26082014"/>
    <n v="5693.42"/>
    <n v="2910.9994222401742"/>
    <n v="142.34"/>
    <n v="0"/>
  </r>
  <r>
    <n v="455"/>
    <n v="1314"/>
    <x v="1"/>
    <x v="0"/>
    <x v="0"/>
    <x v="1"/>
    <x v="120"/>
    <s v="Industrial Ironing Table Veit S124856"/>
    <x v="1"/>
    <x v="5"/>
    <s v="Техническа подготовка"/>
    <x v="5"/>
    <m/>
    <n v="26082014"/>
    <n v="5693.42"/>
    <n v="2910.9994222401742"/>
    <n v="142.34"/>
    <n v="0"/>
  </r>
  <r>
    <n v="456"/>
    <n v="1315"/>
    <x v="22"/>
    <x v="1"/>
    <x v="1"/>
    <x v="22"/>
    <x v="128"/>
    <s v="1-Needle, Double Chainstitch  JUKI MH481-54U"/>
    <x v="29"/>
    <x v="34"/>
    <s v="Склад машини"/>
    <x v="1"/>
    <m/>
    <n v="11082014"/>
    <n v="8933.7999999999993"/>
    <n v="4567.7794082307764"/>
    <n v="223.35"/>
    <n v="0"/>
  </r>
  <r>
    <n v="457"/>
    <n v="1316"/>
    <x v="22"/>
    <x v="1"/>
    <x v="1"/>
    <x v="22"/>
    <x v="129"/>
    <s v="Single-Needle Double Chainstitch Machine Dürkopp Adler 171"/>
    <x v="29"/>
    <x v="35"/>
    <s v="Руйно-1 ет."/>
    <x v="2"/>
    <m/>
    <n v="12082014"/>
    <n v="9485.7800000000007"/>
    <n v="4850.0023008134658"/>
    <n v="237.14"/>
    <n v="0"/>
  </r>
  <r>
    <n v="458"/>
    <n v="1317"/>
    <x v="28"/>
    <x v="2"/>
    <x v="2"/>
    <x v="28"/>
    <x v="79"/>
    <s v="Straight Knife Cutting Machine"/>
    <x v="4"/>
    <x v="0"/>
    <s v="Кроялен участък"/>
    <x v="3"/>
    <m/>
    <n v="15082014"/>
    <n v="2800"/>
    <n v="1431.6172673494118"/>
    <n v="70"/>
    <n v="0"/>
  </r>
  <r>
    <n v="459"/>
    <n v="1318"/>
    <x v="3"/>
    <x v="2"/>
    <x v="2"/>
    <x v="3"/>
    <x v="55"/>
    <s v="Single-Needle Lockstitch Machine Dürkopp Adler 281"/>
    <x v="4"/>
    <x v="0"/>
    <s v="Руйно-1 ет."/>
    <x v="2"/>
    <m/>
    <n v="26082014"/>
    <n v="1554.88"/>
    <n v="794.99752023437622"/>
    <n v="38.869999999999997"/>
    <n v="0"/>
  </r>
  <r>
    <n v="460"/>
    <n v="1319"/>
    <x v="3"/>
    <x v="2"/>
    <x v="2"/>
    <x v="3"/>
    <x v="55"/>
    <s v="Single-Needle Lockstitch Machine Dürkopp Adler 281"/>
    <x v="4"/>
    <x v="0"/>
    <s v="Руйно-1 ет."/>
    <x v="2"/>
    <m/>
    <n v="26082014"/>
    <n v="1554.88"/>
    <n v="794.99752023437622"/>
    <n v="38.869999999999997"/>
    <n v="0"/>
  </r>
  <r>
    <n v="461"/>
    <n v="1320"/>
    <x v="3"/>
    <x v="2"/>
    <x v="2"/>
    <x v="3"/>
    <x v="55"/>
    <s v="Single-Needle Lockstitch Machine Dürkopp Adler 281"/>
    <x v="4"/>
    <x v="0"/>
    <s v="Склад машини"/>
    <x v="1"/>
    <m/>
    <n v="26082014"/>
    <n v="1554.88"/>
    <n v="794.99752023437622"/>
    <n v="38.869999999999997"/>
    <n v="0"/>
  </r>
  <r>
    <n v="462"/>
    <n v="1321"/>
    <x v="3"/>
    <x v="2"/>
    <x v="2"/>
    <x v="3"/>
    <x v="55"/>
    <s v="Single-Needle Lockstitch Machine Dürkopp Adler 281"/>
    <x v="4"/>
    <x v="0"/>
    <s v="Склад машини"/>
    <x v="1"/>
    <m/>
    <n v="26082014"/>
    <n v="1554.88"/>
    <n v="794.99752023437622"/>
    <n v="38.869999999999997"/>
    <n v="0"/>
  </r>
  <r>
    <n v="463"/>
    <n v="1322"/>
    <x v="3"/>
    <x v="2"/>
    <x v="2"/>
    <x v="3"/>
    <x v="55"/>
    <s v="Single-Needle Lockstitch Machine Dürkopp Adler 281"/>
    <x v="4"/>
    <x v="0"/>
    <s v="Шевен 2бр."/>
    <x v="1"/>
    <m/>
    <n v="26082014"/>
    <n v="1554.88"/>
    <n v="794.99752023437622"/>
    <n v="38.869999999999997"/>
    <n v="0"/>
  </r>
  <r>
    <n v="464"/>
    <n v="1323"/>
    <x v="3"/>
    <x v="2"/>
    <x v="2"/>
    <x v="3"/>
    <x v="55"/>
    <s v="Single-Needle Lockstitch Machine Dürkopp Adler 281"/>
    <x v="4"/>
    <x v="0"/>
    <s v="Склад машини"/>
    <x v="1"/>
    <m/>
    <n v="26082014"/>
    <n v="1554.88"/>
    <n v="794.99752023437622"/>
    <n v="38.869999999999997"/>
    <n v="0"/>
  </r>
  <r>
    <n v="465"/>
    <n v="1324"/>
    <x v="3"/>
    <x v="2"/>
    <x v="2"/>
    <x v="3"/>
    <x v="55"/>
    <s v="Single-Needle Lockstitch Machine Dürkopp Adler 281"/>
    <x v="4"/>
    <x v="0"/>
    <s v="Руйно-1 ет."/>
    <x v="2"/>
    <m/>
    <n v="26082014"/>
    <n v="1554.88"/>
    <n v="794.99752023437622"/>
    <n v="38.869999999999997"/>
    <n v="0"/>
  </r>
  <r>
    <n v="466"/>
    <n v="1325"/>
    <x v="3"/>
    <x v="2"/>
    <x v="2"/>
    <x v="3"/>
    <x v="55"/>
    <s v="Single-Needle Lockstitch Machine Dürkopp Adler 281"/>
    <x v="4"/>
    <x v="0"/>
    <s v="Шевен 1бр."/>
    <x v="1"/>
    <m/>
    <n v="26082014"/>
    <n v="1554.88"/>
    <n v="794.99752023437622"/>
    <n v="38.869999999999997"/>
    <n v="0"/>
  </r>
  <r>
    <n v="467"/>
    <n v="1326"/>
    <x v="3"/>
    <x v="2"/>
    <x v="2"/>
    <x v="3"/>
    <x v="55"/>
    <s v="Single-Needle Lockstitch Machine Dürkopp Adler 281"/>
    <x v="4"/>
    <x v="0"/>
    <s v="Руйно- 2 ет."/>
    <x v="2"/>
    <m/>
    <n v="26082014"/>
    <n v="1554.88"/>
    <n v="794.99752023437622"/>
    <n v="38.869999999999997"/>
    <n v="0"/>
  </r>
  <r>
    <n v="468"/>
    <n v="1327"/>
    <x v="3"/>
    <x v="2"/>
    <x v="2"/>
    <x v="3"/>
    <x v="55"/>
    <s v="Single-Needle Lockstitch Machine Dürkopp Adler 281"/>
    <x v="4"/>
    <x v="0"/>
    <s v="Руйно-1 ет."/>
    <x v="2"/>
    <m/>
    <n v="26082014"/>
    <n v="1554.88"/>
    <n v="794.99752023437622"/>
    <n v="38.869999999999997"/>
    <n v="0"/>
  </r>
  <r>
    <n v="469"/>
    <n v="1328"/>
    <x v="3"/>
    <x v="2"/>
    <x v="2"/>
    <x v="3"/>
    <x v="55"/>
    <s v="Single-Needle Lockstitch Machine Dürkopp Adler 281"/>
    <x v="4"/>
    <x v="0"/>
    <s v="Руйно-1 ет."/>
    <x v="2"/>
    <m/>
    <n v="26082014"/>
    <n v="1554.88"/>
    <n v="794.99752023437622"/>
    <n v="38.869999999999997"/>
    <n v="0"/>
  </r>
  <r>
    <n v="470"/>
    <n v="1329"/>
    <x v="3"/>
    <x v="2"/>
    <x v="2"/>
    <x v="3"/>
    <x v="55"/>
    <s v="Single-Needle Lockstitch Machine Dürkopp Adler 281"/>
    <x v="4"/>
    <x v="0"/>
    <s v="Приемателен контрол"/>
    <x v="1"/>
    <m/>
    <n v="26082014"/>
    <n v="1554.88"/>
    <n v="794.99752023437622"/>
    <n v="38.869999999999997"/>
    <n v="0"/>
  </r>
  <r>
    <n v="471"/>
    <n v="1330"/>
    <x v="3"/>
    <x v="2"/>
    <x v="2"/>
    <x v="3"/>
    <x v="55"/>
    <s v="Single-Needle Lockstitch Machine Dürkopp Adler 281"/>
    <x v="4"/>
    <x v="0"/>
    <s v="Склад машини"/>
    <x v="1"/>
    <m/>
    <n v="26082014"/>
    <n v="1554.88"/>
    <n v="794.99752023437622"/>
    <n v="38.869999999999997"/>
    <n v="0"/>
  </r>
  <r>
    <n v="472"/>
    <n v="1331"/>
    <x v="3"/>
    <x v="2"/>
    <x v="2"/>
    <x v="3"/>
    <x v="55"/>
    <s v="Single-Needle Lockstitch Machine Dürkopp Adler 281"/>
    <x v="4"/>
    <x v="0"/>
    <s v="Руйно-1 ет."/>
    <x v="2"/>
    <m/>
    <n v="26082014"/>
    <n v="1554.88"/>
    <n v="794.99752023437622"/>
    <n v="38.869999999999997"/>
    <n v="0"/>
  </r>
  <r>
    <n v="473"/>
    <n v="1332"/>
    <x v="3"/>
    <x v="2"/>
    <x v="2"/>
    <x v="3"/>
    <x v="55"/>
    <s v="Single-Needle Lockstitch Machine Dürkopp Adler 281"/>
    <x v="4"/>
    <x v="0"/>
    <s v="Склад машини"/>
    <x v="1"/>
    <m/>
    <n v="26082014"/>
    <n v="1554.88"/>
    <n v="794.99752023437622"/>
    <n v="38.869999999999997"/>
    <n v="0"/>
  </r>
  <r>
    <n v="474"/>
    <n v="1333"/>
    <x v="3"/>
    <x v="2"/>
    <x v="2"/>
    <x v="3"/>
    <x v="55"/>
    <s v="Single-Needle Lockstitch Machine Dürkopp Adler 281"/>
    <x v="4"/>
    <x v="0"/>
    <s v="Техническа подготовка"/>
    <x v="5"/>
    <m/>
    <n v="26082014"/>
    <n v="1554.88"/>
    <n v="794.99752023437622"/>
    <n v="38.869999999999997"/>
    <n v="0"/>
  </r>
  <r>
    <n v="475"/>
    <n v="1334"/>
    <x v="3"/>
    <x v="2"/>
    <x v="2"/>
    <x v="3"/>
    <x v="55"/>
    <s v="Single-Needle Lockstitch Machine Dürkopp Adler 281"/>
    <x v="4"/>
    <x v="0"/>
    <s v="Руйно-1 ет."/>
    <x v="2"/>
    <m/>
    <n v="26082014"/>
    <n v="1554.88"/>
    <n v="794.99752023437622"/>
    <n v="38.869999999999997"/>
    <n v="0"/>
  </r>
  <r>
    <n v="476"/>
    <n v="1335"/>
    <x v="3"/>
    <x v="2"/>
    <x v="2"/>
    <x v="3"/>
    <x v="55"/>
    <s v="Single-Needle Lockstitch Machine Dürkopp Adler 281"/>
    <x v="4"/>
    <x v="0"/>
    <s v="Склад машини"/>
    <x v="1"/>
    <m/>
    <n v="26082014"/>
    <n v="1554.88"/>
    <n v="794.99752023437622"/>
    <n v="38.869999999999997"/>
    <n v="0"/>
  </r>
  <r>
    <n v="477"/>
    <n v="1336"/>
    <x v="3"/>
    <x v="2"/>
    <x v="2"/>
    <x v="3"/>
    <x v="55"/>
    <s v="Single-Needle Lockstitch Machine Dürkopp Adler 281"/>
    <x v="4"/>
    <x v="0"/>
    <s v="Руйно-1 ет."/>
    <x v="2"/>
    <m/>
    <n v="26082014"/>
    <n v="1554.88"/>
    <n v="794.99752023437622"/>
    <n v="38.869999999999997"/>
    <n v="0"/>
  </r>
  <r>
    <n v="478"/>
    <n v="1337"/>
    <x v="3"/>
    <x v="2"/>
    <x v="2"/>
    <x v="3"/>
    <x v="55"/>
    <s v="Single-Needle Lockstitch Machine Dürkopp Adler 281"/>
    <x v="4"/>
    <x v="0"/>
    <s v="Руйно-1 ет."/>
    <x v="2"/>
    <m/>
    <n v="26082014"/>
    <n v="1554.88"/>
    <n v="794.99752023437622"/>
    <n v="38.869999999999997"/>
    <n v="0"/>
  </r>
  <r>
    <n v="479"/>
    <n v="1338"/>
    <x v="3"/>
    <x v="2"/>
    <x v="2"/>
    <x v="3"/>
    <x v="55"/>
    <s v="Single-Needle Lockstitch Machine Dürkopp Adler 281"/>
    <x v="4"/>
    <x v="0"/>
    <s v="Руйно- 2 ет."/>
    <x v="2"/>
    <m/>
    <n v="26082014"/>
    <n v="1554.88"/>
    <n v="794.99752023437622"/>
    <n v="38.869999999999997"/>
    <n v="0"/>
  </r>
  <r>
    <n v="480"/>
    <n v="1339"/>
    <x v="3"/>
    <x v="2"/>
    <x v="2"/>
    <x v="3"/>
    <x v="55"/>
    <s v="Single-Needle Lockstitch Machine Dürkopp Adler 281"/>
    <x v="4"/>
    <x v="0"/>
    <s v="Руйно-1 ет."/>
    <x v="2"/>
    <m/>
    <n v="26082014"/>
    <n v="1554.88"/>
    <n v="794.99752023437622"/>
    <n v="38.869999999999997"/>
    <n v="0"/>
  </r>
  <r>
    <n v="481"/>
    <n v="1340"/>
    <x v="3"/>
    <x v="2"/>
    <x v="2"/>
    <x v="3"/>
    <x v="55"/>
    <s v="Single-Needle Lockstitch Machine Dürkopp Adler 281"/>
    <x v="4"/>
    <x v="0"/>
    <s v="Приемателен контрол"/>
    <x v="1"/>
    <m/>
    <n v="26082014"/>
    <n v="1554.88"/>
    <n v="794.99752023437622"/>
    <n v="38.869999999999997"/>
    <n v="0"/>
  </r>
  <r>
    <n v="482"/>
    <n v="1341"/>
    <x v="3"/>
    <x v="2"/>
    <x v="2"/>
    <x v="3"/>
    <x v="55"/>
    <s v="Single-Needle Lockstitch Machine Dürkopp Adler 281"/>
    <x v="4"/>
    <x v="0"/>
    <s v="Руйно-1 ет."/>
    <x v="2"/>
    <m/>
    <n v="26082014"/>
    <n v="1554.88"/>
    <n v="794.99752023437622"/>
    <n v="38.869999999999997"/>
    <n v="0"/>
  </r>
  <r>
    <n v="483"/>
    <n v="1342"/>
    <x v="3"/>
    <x v="2"/>
    <x v="2"/>
    <x v="3"/>
    <x v="55"/>
    <s v="Single-Needle Lockstitch Machine Dürkopp Adler 281"/>
    <x v="4"/>
    <x v="0"/>
    <s v="Руйно-1 ет."/>
    <x v="2"/>
    <m/>
    <n v="26082014"/>
    <n v="1554.88"/>
    <n v="794.99752023437622"/>
    <n v="38.869999999999997"/>
    <n v="0"/>
  </r>
  <r>
    <n v="484"/>
    <n v="1343"/>
    <x v="3"/>
    <x v="2"/>
    <x v="2"/>
    <x v="3"/>
    <x v="55"/>
    <s v="Single-Needle Lockstitch Machine Dürkopp Adler 281"/>
    <x v="4"/>
    <x v="0"/>
    <s v="Руйно- 2 ет."/>
    <x v="2"/>
    <m/>
    <n v="26082014"/>
    <n v="1554.88"/>
    <n v="794.99752023437622"/>
    <n v="38.869999999999997"/>
    <n v="0"/>
  </r>
  <r>
    <n v="485"/>
    <n v="1344"/>
    <x v="3"/>
    <x v="2"/>
    <x v="2"/>
    <x v="3"/>
    <x v="55"/>
    <s v="Single-Needle Lockstitch Machine Dürkopp Adler 281"/>
    <x v="4"/>
    <x v="0"/>
    <s v="Руйно- 2 ет."/>
    <x v="2"/>
    <m/>
    <n v="26082014"/>
    <n v="1554.88"/>
    <n v="794.99752023437622"/>
    <n v="38.869999999999997"/>
    <n v="0"/>
  </r>
  <r>
    <n v="486"/>
    <n v="1345"/>
    <x v="3"/>
    <x v="2"/>
    <x v="2"/>
    <x v="3"/>
    <x v="55"/>
    <s v="Single-Needle Lockstitch Machine Dürkopp Adler 281"/>
    <x v="4"/>
    <x v="0"/>
    <s v="Руйно-1 ет."/>
    <x v="2"/>
    <m/>
    <n v="26082014"/>
    <n v="1554.88"/>
    <n v="794.99752023437622"/>
    <n v="38.869999999999997"/>
    <n v="0"/>
  </r>
  <r>
    <n v="487"/>
    <n v="1346"/>
    <x v="3"/>
    <x v="2"/>
    <x v="2"/>
    <x v="3"/>
    <x v="55"/>
    <s v="Single-Needle Lockstitch Machine Dürkopp Adler 281"/>
    <x v="4"/>
    <x v="0"/>
    <s v="Шевен 3бр."/>
    <x v="1"/>
    <m/>
    <n v="26082014"/>
    <n v="1554.88"/>
    <n v="794.99752023437622"/>
    <n v="38.869999999999997"/>
    <n v="0"/>
  </r>
  <r>
    <n v="488"/>
    <n v="1347"/>
    <x v="1"/>
    <x v="0"/>
    <x v="0"/>
    <x v="1"/>
    <x v="130"/>
    <s v="Ironing Table Veit S124856"/>
    <x v="2"/>
    <x v="5"/>
    <s v="Техническа подготовка"/>
    <x v="5"/>
    <m/>
    <n v="26082014"/>
    <n v="5693.42"/>
    <n v="2910.9994222401742"/>
    <n v="142.34"/>
    <n v="0"/>
  </r>
  <r>
    <n v="489"/>
    <n v="1348"/>
    <x v="1"/>
    <x v="0"/>
    <x v="0"/>
    <x v="1"/>
    <x v="120"/>
    <s v="Ironing Table Veit S124856"/>
    <x v="1"/>
    <x v="5"/>
    <s v="Руйно-1 ет."/>
    <x v="2"/>
    <m/>
    <n v="26082014"/>
    <n v="5693.42"/>
    <n v="2910.9994222401742"/>
    <n v="142.34"/>
    <n v="0"/>
  </r>
  <r>
    <n v="490"/>
    <n v="1349"/>
    <x v="1"/>
    <x v="0"/>
    <x v="0"/>
    <x v="1"/>
    <x v="121"/>
    <s v="Ironing Table Veit S126442"/>
    <x v="1"/>
    <x v="5"/>
    <s v="Руйно-1 ет."/>
    <x v="2"/>
    <m/>
    <n v="26082014"/>
    <n v="5928.12"/>
    <n v="3030.9996267569268"/>
    <n v="148.19999999999999"/>
    <n v="0"/>
  </r>
  <r>
    <n v="491"/>
    <n v="1350"/>
    <x v="1"/>
    <x v="0"/>
    <x v="0"/>
    <x v="1"/>
    <x v="58"/>
    <s v="Ironing Table Veit Uniset S+B (Suction and Blowing)"/>
    <x v="1"/>
    <x v="18"/>
    <s v="Довършителен участък "/>
    <x v="1"/>
    <m/>
    <n v="26082014"/>
    <n v="5928.12"/>
    <n v="3030.9996267569268"/>
    <n v="148.19999999999999"/>
    <n v="0"/>
  </r>
  <r>
    <n v="492"/>
    <n v="1351"/>
    <x v="3"/>
    <x v="2"/>
    <x v="2"/>
    <x v="3"/>
    <x v="131"/>
    <s v="Single-Needle Lockstitch Machine with Bottom/Needle Feed Durkopp DA 275-140342"/>
    <x v="58"/>
    <x v="36"/>
    <s v="мострена бригада"/>
    <x v="0"/>
    <m/>
    <n v="26082014"/>
    <n v="8947.92"/>
    <n v="4574.9988495932676"/>
    <n v="223.7"/>
    <n v="0"/>
  </r>
  <r>
    <n v="493"/>
    <n v="1352"/>
    <x v="3"/>
    <x v="2"/>
    <x v="2"/>
    <x v="3"/>
    <x v="13"/>
    <s v="1-needle lockstitch machine Dürkopp 275"/>
    <x v="59"/>
    <x v="11"/>
    <s v="Руйно-1 ет."/>
    <x v="2"/>
    <m/>
    <n v="26082014"/>
    <n v="9974.73"/>
    <n v="5099.9984661243561"/>
    <n v="249.37"/>
    <n v="0"/>
  </r>
  <r>
    <n v="494"/>
    <n v="1353"/>
    <x v="3"/>
    <x v="2"/>
    <x v="2"/>
    <x v="3"/>
    <x v="132"/>
    <s v="1-needle lockstitch machine Dürkopp 273"/>
    <x v="4"/>
    <x v="25"/>
    <s v="Склад машини"/>
    <x v="1"/>
    <m/>
    <n v="26082014"/>
    <n v="8507.86"/>
    <n v="4349.9997443540597"/>
    <n v="212.7"/>
    <n v="0"/>
  </r>
  <r>
    <n v="495"/>
    <n v="1354"/>
    <x v="2"/>
    <x v="1"/>
    <x v="1"/>
    <x v="2"/>
    <x v="133"/>
    <s v="Blindstitch Machine Strobel 100-4"/>
    <x v="60"/>
    <x v="3"/>
    <s v="Склад машини"/>
    <x v="1"/>
    <m/>
    <n v="26082014"/>
    <n v="8194.93"/>
    <n v="4190.001175971327"/>
    <n v="204.87"/>
    <n v="0"/>
  </r>
  <r>
    <n v="496"/>
    <n v="1355"/>
    <x v="3"/>
    <x v="2"/>
    <x v="2"/>
    <x v="3"/>
    <x v="55"/>
    <s v="Single-Needle Lockstitch Machine Dürkopp Adler 281"/>
    <x v="4"/>
    <x v="0"/>
    <s v="Руйно- 2 ет."/>
    <x v="2"/>
    <m/>
    <n v="26082014"/>
    <n v="1554.88"/>
    <n v="794.99752023437622"/>
    <n v="38.869999999999997"/>
    <n v="0"/>
  </r>
  <r>
    <n v="497"/>
    <n v="1356"/>
    <x v="29"/>
    <x v="2"/>
    <x v="2"/>
    <x v="29"/>
    <x v="134"/>
    <s v="Band Knife Cutting Machine Kuris TexKnite 492KR"/>
    <x v="4"/>
    <x v="0"/>
    <s v="Кроялен участък"/>
    <x v="3"/>
    <m/>
    <n v="18092014"/>
    <n v="21033"/>
    <n v="10754.002137200063"/>
    <n v="525.83000000000004"/>
    <n v="0"/>
  </r>
  <r>
    <n v="498"/>
    <n v="1357"/>
    <x v="33"/>
    <x v="3"/>
    <x v="3"/>
    <x v="33"/>
    <x v="135"/>
    <s v="Double Face Slitting / Separating / Splitting Machine Tecmic MR10"/>
    <x v="4"/>
    <x v="0"/>
    <s v="Склад машини"/>
    <x v="1"/>
    <m/>
    <n v="27012015"/>
    <n v="28058.34"/>
    <n v="14346.001441843106"/>
    <n v="701.46"/>
    <n v="0"/>
  </r>
  <r>
    <n v="499"/>
    <n v="1358"/>
    <x v="21"/>
    <x v="3"/>
    <x v="3"/>
    <x v="21"/>
    <x v="117"/>
    <s v="Pneumatic Hook-and-Eye Attaching Machine, Model JLQ01-TH"/>
    <x v="43"/>
    <x v="16"/>
    <s v="Руйно"/>
    <x v="2"/>
    <m/>
    <n v="19012015"/>
    <n v="916.67"/>
    <n v="468.68592873613761"/>
    <n v="22.92"/>
    <n v="0"/>
  </r>
  <r>
    <n v="500"/>
    <n v="1359"/>
    <x v="26"/>
    <x v="3"/>
    <x v="3"/>
    <x v="26"/>
    <x v="136"/>
    <s v="Press for heat transfer OZER OM-1001"/>
    <x v="4"/>
    <x v="0"/>
    <s v="Шевен 1бр."/>
    <x v="1"/>
    <m/>
    <n v="11022015"/>
    <n v="3600"/>
    <n v="1840.6507723063867"/>
    <n v="90"/>
    <n v="0"/>
  </r>
  <r>
    <n v="501"/>
    <n v="1360"/>
    <x v="21"/>
    <x v="3"/>
    <x v="3"/>
    <x v="21"/>
    <x v="137"/>
    <s v="Pneumatic Hook-and-Eye Attaching Machine"/>
    <x v="43"/>
    <x v="27"/>
    <s v="Склад машини"/>
    <x v="1"/>
    <m/>
    <n v="14032013"/>
    <n v="1080"/>
    <n v="552.19523169191598"/>
    <n v="27"/>
    <n v="0"/>
  </r>
  <r>
    <n v="502"/>
    <n v="1361"/>
    <x v="21"/>
    <x v="3"/>
    <x v="3"/>
    <x v="21"/>
    <x v="137"/>
    <s v="Pneumatic Hook-and-Eye Attaching Machine"/>
    <x v="43"/>
    <x v="27"/>
    <s v="Склад машини"/>
    <x v="1"/>
    <m/>
    <n v="14032013"/>
    <n v="1080"/>
    <n v="552.19523169191598"/>
    <n v="27"/>
    <n v="0"/>
  </r>
  <r>
    <n v="503"/>
    <n v="1362"/>
    <x v="10"/>
    <x v="2"/>
    <x v="2"/>
    <x v="10"/>
    <x v="138"/>
    <s v="2-Needle 5-Thread Overlock/Safety Stitch Machine JACK 788-02X 250"/>
    <x v="61"/>
    <x v="26"/>
    <s v="Руйно- 2 ет."/>
    <x v="2"/>
    <m/>
    <n v="18052015"/>
    <n v="1525"/>
    <n v="779.72011882423317"/>
    <n v="38.130000000000003"/>
    <n v="0"/>
  </r>
  <r>
    <n v="504"/>
    <n v="1367"/>
    <x v="34"/>
    <x v="4"/>
    <x v="4"/>
    <x v="34"/>
    <x v="139"/>
    <s v="Textile Cutting Machine Rexel PP-2/B"/>
    <x v="4"/>
    <x v="0"/>
    <s v="Склад Тъкани"/>
    <x v="1"/>
    <m/>
    <n v="8092015"/>
    <n v="5196"/>
    <n v="2656.6726146955511"/>
    <n v="129.9"/>
    <n v="0"/>
  </r>
  <r>
    <n v="505"/>
    <n v="1371"/>
    <x v="5"/>
    <x v="1"/>
    <x v="1"/>
    <x v="5"/>
    <x v="140"/>
    <s v="Buttonhole Machine JUKI LBH-1790"/>
    <x v="62"/>
    <x v="19"/>
    <s v="мострена бригада"/>
    <x v="0"/>
    <m/>
    <n v="18122015"/>
    <n v="7915"/>
    <n v="4046.8752396680693"/>
    <n v="197.88"/>
    <n v="0"/>
  </r>
  <r>
    <n v="506"/>
    <n v="1375"/>
    <x v="11"/>
    <x v="2"/>
    <x v="2"/>
    <x v="11"/>
    <x v="141"/>
    <s v="Spreading Table with Conveyor Belt"/>
    <x v="63"/>
    <x v="37"/>
    <s v="Кроялен участък"/>
    <x v="3"/>
    <m/>
    <n v="6012016"/>
    <n v="12908.48"/>
    <n v="6600.0010225837623"/>
    <n v="322.70999999999998"/>
    <n v="0"/>
  </r>
  <r>
    <n v="507"/>
    <n v="1378"/>
    <x v="35"/>
    <x v="3"/>
    <x v="3"/>
    <x v="35"/>
    <x v="142"/>
    <s v="Zig-Zag Sewing Machine Brother"/>
    <x v="64"/>
    <x v="0"/>
    <s v="Руйно- 2 ет."/>
    <x v="2"/>
    <m/>
    <n v="3022016"/>
    <n v="7980"/>
    <n v="4080.1092119458235"/>
    <n v="199.5"/>
    <n v="0"/>
  </r>
  <r>
    <n v="508"/>
    <n v="1379"/>
    <x v="4"/>
    <x v="3"/>
    <x v="3"/>
    <x v="4"/>
    <x v="143"/>
    <s v="Hand stitch sewing machine  SLDE360"/>
    <x v="65"/>
    <x v="0"/>
    <s v="Склад машини"/>
    <x v="1"/>
    <m/>
    <n v="31032016"/>
    <n v="23836.25"/>
    <n v="12187.281103163363"/>
    <n v="595.91"/>
    <n v="0"/>
  </r>
  <r>
    <n v="509"/>
    <n v="1380"/>
    <x v="4"/>
    <x v="3"/>
    <x v="3"/>
    <x v="4"/>
    <x v="144"/>
    <s v="Hand stitch sewing machine  SLDE313"/>
    <x v="65"/>
    <x v="0"/>
    <s v="Склад машини"/>
    <x v="1"/>
    <m/>
    <n v="31032016"/>
    <n v="24432.68"/>
    <n v="12492.230919865224"/>
    <n v="610.82000000000005"/>
    <n v="0"/>
  </r>
  <r>
    <n v="510"/>
    <n v="1381"/>
    <x v="36"/>
    <x v="3"/>
    <x v="3"/>
    <x v="36"/>
    <x v="145"/>
    <s v="Zig-Zag Cutting Machine SIDECUT 10"/>
    <x v="4"/>
    <x v="0"/>
    <s v="Склад машини"/>
    <x v="1"/>
    <m/>
    <n v="9052016"/>
    <n v="4596.6000000000004"/>
    <n v="2350.2042611065381"/>
    <n v="114.92"/>
    <n v="0"/>
  </r>
  <r>
    <n v="511"/>
    <n v="1382"/>
    <x v="19"/>
    <x v="1"/>
    <x v="1"/>
    <x v="19"/>
    <x v="146"/>
    <s v="Welt pocket automatic machine Durkopp-Beisler 100-68"/>
    <x v="4"/>
    <x v="12"/>
    <s v="Шевен 2бр."/>
    <x v="1"/>
    <m/>
    <n v="3052016"/>
    <n v="43028.26"/>
    <n v="22000"/>
    <n v="1075.71"/>
    <n v="0"/>
  </r>
  <r>
    <n v="512"/>
    <n v="1383"/>
    <x v="1"/>
    <x v="0"/>
    <x v="0"/>
    <x v="1"/>
    <x v="147"/>
    <s v="Ironing Table VEIT UNISET DOB S+B (Suction and Blowing) 4255-S126442"/>
    <x v="1"/>
    <x v="1"/>
    <s v="Руйно- 2 ет."/>
    <x v="2"/>
    <m/>
    <n v="18052016"/>
    <n v="5928.12"/>
    <n v="3030.9996267569268"/>
    <n v="148.19999999999999"/>
    <n v="0"/>
  </r>
  <r>
    <n v="513"/>
    <n v="1384"/>
    <x v="1"/>
    <x v="0"/>
    <x v="0"/>
    <x v="1"/>
    <x v="147"/>
    <s v="Ironing Table VEIT UNISET DOB S+B (Suction and Blowing) 4255-S126442"/>
    <x v="1"/>
    <x v="1"/>
    <s v="Руйно-1 ет."/>
    <x v="2"/>
    <m/>
    <n v="18052016"/>
    <n v="5928.12"/>
    <n v="3030.9996267569268"/>
    <n v="148.19999999999999"/>
    <n v="0"/>
  </r>
  <r>
    <n v="514"/>
    <n v="1385"/>
    <x v="10"/>
    <x v="2"/>
    <x v="2"/>
    <x v="10"/>
    <x v="107"/>
    <s v="3-Needle 6-Thread Overlock/Safety Stitch Machine JUKI MO-6743S"/>
    <x v="48"/>
    <x v="8"/>
    <s v="Руйно-1 ет."/>
    <x v="2"/>
    <m/>
    <n v="26052016"/>
    <n v="2872"/>
    <n v="1468.4302827955396"/>
    <n v="71.8"/>
    <n v="0"/>
  </r>
  <r>
    <n v="515"/>
    <n v="1386"/>
    <x v="10"/>
    <x v="2"/>
    <x v="2"/>
    <x v="10"/>
    <x v="107"/>
    <s v="3-Needle 6-Thread Overlock/Safety Stitch Machine JUKI MO-6743S"/>
    <x v="48"/>
    <x v="8"/>
    <s v="Руйно-1 ет."/>
    <x v="2"/>
    <m/>
    <n v="26052016"/>
    <n v="2872"/>
    <n v="1468.4302827955396"/>
    <n v="71.8"/>
    <n v="0"/>
  </r>
  <r>
    <n v="516"/>
    <n v="1387"/>
    <x v="5"/>
    <x v="1"/>
    <x v="1"/>
    <x v="5"/>
    <x v="148"/>
    <s v="Buttonhole Machine Dürkopp  540-500-1"/>
    <x v="66"/>
    <x v="19"/>
    <s v="Руйно- 2 ет."/>
    <x v="2"/>
    <m/>
    <n v="21072016"/>
    <n v="13299.65"/>
    <n v="6800.0030677512868"/>
    <n v="332.49"/>
    <n v="0"/>
  </r>
  <r>
    <n v="517"/>
    <n v="1388"/>
    <x v="6"/>
    <x v="1"/>
    <x v="1"/>
    <x v="6"/>
    <x v="149"/>
    <s v="Button sewing machine Siruba RT1906ASS"/>
    <x v="27"/>
    <x v="6"/>
    <s v="мострена бригада"/>
    <x v="0"/>
    <m/>
    <n v="3082016"/>
    <n v="6000"/>
    <n v="3067.751287177311"/>
    <n v="150"/>
    <n v="0"/>
  </r>
  <r>
    <n v="518"/>
    <n v="1391"/>
    <x v="10"/>
    <x v="2"/>
    <x v="2"/>
    <x v="10"/>
    <x v="107"/>
    <s v="3-Needle 6-Thread Overlock/Safety Stitch Machine JUKI MO-6743S"/>
    <x v="48"/>
    <x v="14"/>
    <s v="Склад машини"/>
    <x v="1"/>
    <m/>
    <n v="31102016"/>
    <n v="3484"/>
    <n v="1781.3409140876252"/>
    <n v="87.1"/>
    <n v="0"/>
  </r>
  <r>
    <n v="519"/>
    <n v="1392"/>
    <x v="37"/>
    <x v="3"/>
    <x v="3"/>
    <x v="37"/>
    <x v="150"/>
    <s v="Heated Centering Device"/>
    <x v="4"/>
    <x v="0"/>
    <s v="Кроялен участък"/>
    <x v="3"/>
    <m/>
    <n v="28112016"/>
    <n v="1200"/>
    <n v="613.55025743546219"/>
    <n v="30"/>
    <n v="0"/>
  </r>
  <r>
    <n v="520"/>
    <n v="1393"/>
    <x v="6"/>
    <x v="1"/>
    <x v="1"/>
    <x v="6"/>
    <x v="151"/>
    <s v="Button Shank Wrapping Machine ASCOLITE BSS Mk13"/>
    <x v="38"/>
    <x v="0"/>
    <s v="Шевен СМ"/>
    <x v="1"/>
    <m/>
    <n v="28022017"/>
    <n v="10757"/>
    <n v="5499.9667660277228"/>
    <n v="268.93"/>
    <n v="0"/>
  </r>
  <r>
    <n v="521"/>
    <n v="1394"/>
    <x v="22"/>
    <x v="1"/>
    <x v="1"/>
    <x v="22"/>
    <x v="152"/>
    <s v="Dürkopp Adler 610 Automatic Pocket Welt Machine with Workstation for Pre-Setting"/>
    <x v="67"/>
    <x v="34"/>
    <s v="Шевен 2бр."/>
    <x v="1"/>
    <m/>
    <n v="23032017"/>
    <n v="26599.29"/>
    <n v="13600.001022583763"/>
    <n v="664.98"/>
    <n v="0"/>
  </r>
  <r>
    <n v="522"/>
    <n v="1395"/>
    <x v="28"/>
    <x v="2"/>
    <x v="2"/>
    <x v="28"/>
    <x v="79"/>
    <s v="Straight Knife Cutting Machine KM-KS-FX"/>
    <x v="4"/>
    <x v="0"/>
    <s v="Кроялен участък"/>
    <x v="3"/>
    <m/>
    <n v="29032017"/>
    <n v="2940"/>
    <n v="1503.1981307168824"/>
    <n v="73.5"/>
    <n v="0"/>
  </r>
  <r>
    <n v="523"/>
    <n v="1396"/>
    <x v="22"/>
    <x v="1"/>
    <x v="1"/>
    <x v="22"/>
    <x v="152"/>
    <s v="Dürkopp Adler 610 Automatic Pocket Welt Machine with Workstation for Pre-Setting"/>
    <x v="67"/>
    <x v="34"/>
    <s v="Шевен 1бр."/>
    <x v="1"/>
    <m/>
    <n v="4042017"/>
    <n v="29924.2"/>
    <n v="15300.000511291883"/>
    <n v="748.11"/>
    <n v="0"/>
  </r>
  <r>
    <n v="524"/>
    <n v="1397"/>
    <x v="32"/>
    <x v="5"/>
    <x v="5"/>
    <x v="32"/>
    <x v="153"/>
    <s v="Belt-Driven Screw Compressor, Model 37-8"/>
    <x v="53"/>
    <x v="38"/>
    <s v="Шевен участък"/>
    <x v="1"/>
    <m/>
    <n v="3052017"/>
    <n v="18786"/>
    <n v="9605.1292801521613"/>
    <n v="656.63"/>
    <n v="0"/>
  </r>
  <r>
    <n v="525"/>
    <n v="1399"/>
    <x v="10"/>
    <x v="2"/>
    <x v="2"/>
    <x v="10"/>
    <x v="154"/>
    <s v="2-Needle 4-Thread Overlock Machine SIRUBA"/>
    <x v="68"/>
    <x v="26"/>
    <s v="Руйно"/>
    <x v="2"/>
    <m/>
    <n v="14062017"/>
    <n v="2200"/>
    <n v="1124.8421386316807"/>
    <n v="55"/>
    <n v="0"/>
  </r>
  <r>
    <n v="526"/>
    <n v="1400"/>
    <x v="10"/>
    <x v="2"/>
    <x v="2"/>
    <x v="10"/>
    <x v="155"/>
    <s v="2-Needle 4-Thread Overlock Machine SIRUBA"/>
    <x v="68"/>
    <x v="26"/>
    <s v="Шевен 2бр."/>
    <x v="1"/>
    <m/>
    <n v="14062017"/>
    <n v="2200"/>
    <n v="1124.8421386316807"/>
    <n v="55"/>
    <n v="0"/>
  </r>
  <r>
    <n v="527"/>
    <n v="1401"/>
    <x v="27"/>
    <x v="3"/>
    <x v="3"/>
    <x v="27"/>
    <x v="112"/>
    <s v="Coverstitch Machine JUKI MF-7523"/>
    <x v="51"/>
    <x v="24"/>
    <s v="Руйно- 2 ет."/>
    <x v="2"/>
    <m/>
    <n v="19062017"/>
    <n v="4937"/>
    <n v="2524.2480174657308"/>
    <n v="123.43"/>
    <n v="0"/>
  </r>
  <r>
    <n v="528"/>
    <n v="1402"/>
    <x v="22"/>
    <x v="1"/>
    <x v="1"/>
    <x v="22"/>
    <x v="152"/>
    <s v="Dürkopp Adler 610 Automatic Pocket Welt Machine with Workstation for Pre-Setting"/>
    <x v="67"/>
    <x v="34"/>
    <s v="Шевен 3бр."/>
    <x v="1"/>
    <m/>
    <n v="26062017"/>
    <n v="29924.2"/>
    <n v="15300.000511291883"/>
    <n v="748.11"/>
    <n v="0"/>
  </r>
  <r>
    <n v="529"/>
    <n v="1404"/>
    <x v="3"/>
    <x v="2"/>
    <x v="2"/>
    <x v="3"/>
    <x v="156"/>
    <s v="Single-Needle Lockstitch Machine Dürkopp Adler 550-5-5-2"/>
    <x v="69"/>
    <x v="13"/>
    <s v="Руйно- 2 ет."/>
    <x v="2"/>
    <m/>
    <n v="1082017"/>
    <n v="10561.48"/>
    <n v="5399.9989774162377"/>
    <n v="264.04000000000002"/>
    <n v="0"/>
  </r>
  <r>
    <n v="530"/>
    <n v="1405"/>
    <x v="3"/>
    <x v="2"/>
    <x v="2"/>
    <x v="3"/>
    <x v="156"/>
    <s v="Single-Needle Lockstitch Machine Dürkopp Adler 550-5-5-2"/>
    <x v="69"/>
    <x v="13"/>
    <s v="Руйно- 2 ет."/>
    <x v="2"/>
    <m/>
    <n v="12092017"/>
    <n v="10561.48"/>
    <n v="5399.9989774162377"/>
    <n v="264.04000000000002"/>
    <n v="0"/>
  </r>
  <r>
    <n v="531"/>
    <n v="1409"/>
    <x v="6"/>
    <x v="1"/>
    <x v="1"/>
    <x v="6"/>
    <x v="157"/>
    <s v="Button sewing machine Siruba RT-468G"/>
    <x v="27"/>
    <x v="6"/>
    <s v="Руйно-1 ет."/>
    <x v="2"/>
    <m/>
    <n v="12042018"/>
    <n v="6270"/>
    <n v="3205.80009510029"/>
    <n v="156.75"/>
    <n v="0"/>
  </r>
  <r>
    <n v="532"/>
    <n v="1410"/>
    <x v="6"/>
    <x v="1"/>
    <x v="1"/>
    <x v="6"/>
    <x v="157"/>
    <s v="Button sewing machine Siruba RT-468G"/>
    <x v="27"/>
    <x v="6"/>
    <s v="Склад машини"/>
    <x v="1"/>
    <m/>
    <n v="20042018"/>
    <n v="6270"/>
    <n v="3205.80009510029"/>
    <n v="156.75"/>
    <n v="0"/>
  </r>
  <r>
    <n v="533"/>
    <n v="1414"/>
    <x v="10"/>
    <x v="2"/>
    <x v="2"/>
    <x v="10"/>
    <x v="155"/>
    <s v="2-Needle 4-Thread Overlock Machine SIRUBA"/>
    <x v="68"/>
    <x v="26"/>
    <s v="мострена бригада"/>
    <x v="0"/>
    <m/>
    <d v="2018-06-18T00:00:00"/>
    <n v="2200"/>
    <n v="1124.8421386316807"/>
    <n v="55"/>
    <n v="0"/>
  </r>
  <r>
    <n v="534"/>
    <n v="1418"/>
    <x v="29"/>
    <x v="2"/>
    <x v="2"/>
    <x v="29"/>
    <x v="158"/>
    <s v="Band Knife Cutting Machine Safak120"/>
    <x v="4"/>
    <x v="0"/>
    <s v="Кроялен участък"/>
    <x v="3"/>
    <m/>
    <m/>
    <n v="8624"/>
    <n v="4409.3811834361886"/>
    <n v="215.6"/>
    <n v="0"/>
  </r>
  <r>
    <n v="535"/>
    <n v="1421"/>
    <x v="28"/>
    <x v="2"/>
    <x v="2"/>
    <x v="28"/>
    <x v="159"/>
    <s v="Straight Knife Cutting Machine KM-JNR"/>
    <x v="4"/>
    <x v="0"/>
    <s v="Кроялен участък"/>
    <x v="3"/>
    <m/>
    <d v="2018-09-03T00:00:00"/>
    <n v="1500"/>
    <n v="766.93782179432776"/>
    <n v="37.5"/>
    <n v="0"/>
  </r>
  <r>
    <n v="536"/>
    <n v="1466"/>
    <x v="15"/>
    <x v="2"/>
    <x v="2"/>
    <x v="15"/>
    <x v="160"/>
    <s v="Fusing Press  MESERMAK MSR-600"/>
    <x v="70"/>
    <x v="0"/>
    <s v="Контрол платове"/>
    <x v="4"/>
    <m/>
    <d v="2018-11-23T00:00:00"/>
    <n v="7350"/>
    <n v="3757.995326792206"/>
    <n v="183.75"/>
    <n v="0"/>
  </r>
  <r>
    <n v="537"/>
    <n v="1479"/>
    <x v="32"/>
    <x v="5"/>
    <x v="5"/>
    <x v="32"/>
    <x v="161"/>
    <s v="Pressurized Air Tank / Air Receiver 500l"/>
    <x v="71"/>
    <x v="39"/>
    <s v="Административна сграда"/>
    <x v="0"/>
    <m/>
    <d v="2018-12-12T00:00:00"/>
    <n v="1695"/>
    <n v="866.6397386275903"/>
    <n v="0"/>
    <n v="0"/>
  </r>
  <r>
    <n v="538"/>
    <n v="1480"/>
    <x v="32"/>
    <x v="5"/>
    <x v="5"/>
    <x v="32"/>
    <x v="162"/>
    <s v="Refrigerating Air Dryer MKE 100"/>
    <x v="72"/>
    <x v="0"/>
    <s v="Административна сграда"/>
    <x v="0"/>
    <m/>
    <d v="2018-12-12T00:00:00"/>
    <n v="2185"/>
    <n v="1117.1727604137375"/>
    <n v="0"/>
    <n v="0"/>
  </r>
  <r>
    <n v="539"/>
    <n v="1481"/>
    <x v="21"/>
    <x v="3"/>
    <x v="3"/>
    <x v="21"/>
    <x v="163"/>
    <s v="Pneumatic Press Sakura"/>
    <x v="43"/>
    <x v="16"/>
    <s v="Склад машини"/>
    <x v="1"/>
    <m/>
    <d v="2018-12-11T00:00:00"/>
    <n v="1943.62"/>
    <n v="993.75712613059409"/>
    <n v="48.59"/>
    <n v="0"/>
  </r>
  <r>
    <n v="540"/>
    <n v="1486"/>
    <x v="38"/>
    <x v="4"/>
    <x v="4"/>
    <x v="38"/>
    <x v="164"/>
    <s v="Laser Cutting and Engraving Machine"/>
    <x v="73"/>
    <x v="0"/>
    <s v="Техническа подготовка"/>
    <x v="5"/>
    <m/>
    <d v="2019-01-03T00:00:00"/>
    <n v="22891.25"/>
    <n v="11704.110275432937"/>
    <n v="572.28"/>
    <n v="0"/>
  </r>
  <r>
    <n v="541"/>
    <n v="1499"/>
    <x v="23"/>
    <x v="5"/>
    <x v="5"/>
    <x v="23"/>
    <x v="165"/>
    <s v="Steam generator Indupress Maxi24/24"/>
    <x v="4"/>
    <x v="0"/>
    <s v="Административна сграда"/>
    <x v="0"/>
    <m/>
    <m/>
    <n v="13024"/>
    <n v="6659.0654606995495"/>
    <n v="0"/>
    <n v="0"/>
  </r>
  <r>
    <n v="542"/>
    <n v="1514"/>
    <x v="39"/>
    <x v="1"/>
    <x v="1"/>
    <x v="39"/>
    <x v="166"/>
    <s v="Programmable Pattern Sewing Machine for Large Elements ZOJE ZJ-M5-S900H-SF "/>
    <x v="73"/>
    <x v="3"/>
    <s v="Склад машини"/>
    <x v="1"/>
    <m/>
    <d v="2019-10-24T00:00:00"/>
    <n v="15016.31"/>
    <n v="7677.7173885255879"/>
    <n v="375.41"/>
    <n v="0"/>
  </r>
  <r>
    <n v="543"/>
    <n v="1515"/>
    <x v="39"/>
    <x v="1"/>
    <x v="1"/>
    <x v="39"/>
    <x v="167"/>
    <s v="Programmable Pattern Sewing Machine for Large Elements ZOJE ZJ-M5-S900H-SF LK2"/>
    <x v="73"/>
    <x v="40"/>
    <s v="Руйно- 2 ет."/>
    <x v="2"/>
    <m/>
    <d v="2019-10-24T00:00:00"/>
    <n v="17926.330000000002"/>
    <n v="9165.5869886442088"/>
    <n v="448.16"/>
    <n v="0"/>
  </r>
  <r>
    <n v="544"/>
    <n v="1516"/>
    <x v="2"/>
    <x v="1"/>
    <x v="1"/>
    <x v="2"/>
    <x v="126"/>
    <s v="Blindstitch Machine Strobel 100-2"/>
    <x v="3"/>
    <x v="9"/>
    <s v="Руйно-1 ет."/>
    <x v="2"/>
    <m/>
    <d v="2019-08-13T00:00:00"/>
    <n v="9798.7099999999991"/>
    <n v="5010.0008691961975"/>
    <n v="244.97"/>
    <n v="0"/>
  </r>
  <r>
    <n v="545"/>
    <n v="1520"/>
    <x v="2"/>
    <x v="1"/>
    <x v="1"/>
    <x v="2"/>
    <x v="126"/>
    <s v="Blindstitch Machine Strobel 100-2"/>
    <x v="3"/>
    <x v="9"/>
    <s v="Руйно-1 ет."/>
    <x v="2"/>
    <m/>
    <d v="2019-10-07T00:00:00"/>
    <n v="12439.1"/>
    <n v="6360.0108393878818"/>
    <n v="310.98"/>
    <n v="0"/>
  </r>
  <r>
    <n v="546"/>
    <n v="1547"/>
    <x v="4"/>
    <x v="3"/>
    <x v="3"/>
    <x v="4"/>
    <x v="168"/>
    <s v="Handstitch sewing machine Robotechnology-RT 783F"/>
    <x v="74"/>
    <x v="0"/>
    <s v="мострена бригада"/>
    <x v="0"/>
    <m/>
    <d v="2020-03-18T00:00:00"/>
    <n v="2560"/>
    <n v="1308.9072158623194"/>
    <n v="64"/>
    <n v="0"/>
  </r>
  <r>
    <n v="547"/>
    <n v="1548"/>
    <x v="27"/>
    <x v="3"/>
    <x v="3"/>
    <x v="27"/>
    <x v="169"/>
    <s v="Multi-Needle Double Chainstitch Machine VC008-12064P/VSC"/>
    <x v="75"/>
    <x v="41"/>
    <s v="мострена бригада"/>
    <x v="0"/>
    <m/>
    <d v="2020-03-18T00:00:00"/>
    <n v="4140"/>
    <n v="2116.7483881523444"/>
    <n v="103.5"/>
    <n v="0"/>
  </r>
  <r>
    <n v="548"/>
    <n v="1549"/>
    <x v="39"/>
    <x v="1"/>
    <x v="1"/>
    <x v="39"/>
    <x v="167"/>
    <s v=" Sewing Machine (Long Arm) ZJ-M5-S900H-SF-LK2"/>
    <x v="73"/>
    <x v="40"/>
    <s v="Шевен 2бр."/>
    <x v="1"/>
    <m/>
    <d v="2020-02-14T00:00:00"/>
    <n v="17858.009999999998"/>
    <n v="9130.6555273208814"/>
    <n v="446.45"/>
    <n v="0"/>
  </r>
  <r>
    <n v="549"/>
    <n v="1550"/>
    <x v="39"/>
    <x v="1"/>
    <x v="1"/>
    <x v="39"/>
    <x v="167"/>
    <s v=" Sewing Machine (Long Arm) ZJ-M5-S900H-SF-LK2"/>
    <x v="73"/>
    <x v="40"/>
    <s v="Руйно-1 ет."/>
    <x v="2"/>
    <m/>
    <d v="2020-02-14T00:00:00"/>
    <n v="17858.009999999998"/>
    <n v="9130.6555273208814"/>
    <n v="446.45"/>
    <n v="0"/>
  </r>
  <r>
    <n v="550"/>
    <n v="1551"/>
    <x v="39"/>
    <x v="1"/>
    <x v="1"/>
    <x v="39"/>
    <x v="167"/>
    <s v=" Sewing Machine (Long Arm) ZJ-M5-S900H-SF-LK2"/>
    <x v="73"/>
    <x v="40"/>
    <s v="Шевен 1бр."/>
    <x v="1"/>
    <m/>
    <d v="2020-02-14T00:00:00"/>
    <n v="17858.009999999998"/>
    <n v="9130.6555273208814"/>
    <n v="446.45"/>
    <n v="0"/>
  </r>
  <r>
    <n v="551"/>
    <n v="1552"/>
    <x v="39"/>
    <x v="1"/>
    <x v="1"/>
    <x v="39"/>
    <x v="167"/>
    <s v=" Sewing Machine (Long Arm) ZJ-M5-S900H-SF-LK2"/>
    <x v="73"/>
    <x v="40"/>
    <s v="Шевен 3бр."/>
    <x v="1"/>
    <m/>
    <d v="2020-02-14T00:00:00"/>
    <n v="17825.91"/>
    <n v="9114.2430579344837"/>
    <n v="445.65"/>
    <n v="0"/>
  </r>
  <r>
    <n v="552"/>
    <n v="1553"/>
    <x v="39"/>
    <x v="1"/>
    <x v="1"/>
    <x v="39"/>
    <x v="167"/>
    <s v=" Sewing Machine (Long Arm) ZJ-M5-S900H-SF-LK2"/>
    <x v="73"/>
    <x v="40"/>
    <s v="Шевен 2бр."/>
    <x v="1"/>
    <m/>
    <d v="2020-02-14T00:00:00"/>
    <n v="17825.91"/>
    <n v="9114.2430579344837"/>
    <n v="445.65"/>
    <n v="0"/>
  </r>
  <r>
    <n v="553"/>
    <n v="1554"/>
    <x v="39"/>
    <x v="1"/>
    <x v="1"/>
    <x v="39"/>
    <x v="167"/>
    <s v=" Sewing Machine (Long Arm) ZJ-M5-S900H-SF-LK2"/>
    <x v="73"/>
    <x v="40"/>
    <s v="Шевен 2бр."/>
    <x v="1"/>
    <m/>
    <d v="2020-02-14T00:00:00"/>
    <n v="17825.91"/>
    <n v="9114.2430579344837"/>
    <n v="445.65"/>
    <n v="0"/>
  </r>
  <r>
    <n v="554"/>
    <n v="1555"/>
    <x v="39"/>
    <x v="1"/>
    <x v="1"/>
    <x v="39"/>
    <x v="167"/>
    <s v=" Sewing Machine (Long Arm) ZJ-M5-S900H-SF-LK2"/>
    <x v="73"/>
    <x v="40"/>
    <s v="Шевен 1бр."/>
    <x v="1"/>
    <m/>
    <d v="2020-02-14T00:00:00"/>
    <n v="17825.91"/>
    <n v="9114.2430579344837"/>
    <n v="445.65"/>
    <n v="0"/>
  </r>
  <r>
    <n v="555"/>
    <n v="1567"/>
    <x v="5"/>
    <x v="1"/>
    <x v="1"/>
    <x v="5"/>
    <x v="140"/>
    <s v="Buttonhole Machine JUKI LBH-1790"/>
    <x v="62"/>
    <x v="19"/>
    <s v="Шевен 3бр."/>
    <x v="1"/>
    <m/>
    <d v="2020-10-01T00:00:00"/>
    <n v="7638"/>
    <n v="3905.2473885767167"/>
    <n v="190.95"/>
    <n v="0"/>
  </r>
  <r>
    <n v="556"/>
    <n v="1570"/>
    <x v="27"/>
    <x v="3"/>
    <x v="3"/>
    <x v="27"/>
    <x v="170"/>
    <s v="Automatic Cylindrical Bed Coverstitch Machine Siruba FOO7KD-W122-356/FHA/UTG/DFKH1"/>
    <x v="51"/>
    <x v="24"/>
    <s v="мострена бригада"/>
    <x v="0"/>
    <m/>
    <d v="2021-02-01T00:00:00"/>
    <n v="4500"/>
    <n v="2300.8134653829834"/>
    <n v="112.5"/>
    <n v="0"/>
  </r>
  <r>
    <n v="557"/>
    <n v="1571"/>
    <x v="27"/>
    <x v="3"/>
    <x v="3"/>
    <x v="27"/>
    <x v="170"/>
    <s v="Automatic Cylindrical Bed Coverstitch Machine Siruba FOO7KD-W122-356/FHA/UTG/DFKH1"/>
    <x v="51"/>
    <x v="24"/>
    <s v="Шевен 1бр."/>
    <x v="1"/>
    <m/>
    <d v="2021-02-01T00:00:00"/>
    <n v="4500"/>
    <n v="2300.8134653829834"/>
    <n v="112.5"/>
    <n v="0"/>
  </r>
  <r>
    <n v="558"/>
    <n v="1572"/>
    <x v="27"/>
    <x v="3"/>
    <x v="3"/>
    <x v="27"/>
    <x v="170"/>
    <s v="Automatic Cylindrical Bed Coverstitch Machine Siruba FOO7KD-W122-356/FHA/UTG/DFKH1"/>
    <x v="51"/>
    <x v="24"/>
    <s v="Склад машини"/>
    <x v="1"/>
    <m/>
    <d v="2021-02-01T00:00:00"/>
    <n v="4500"/>
    <n v="2300.8134653829834"/>
    <n v="112.5"/>
    <n v="0"/>
  </r>
  <r>
    <n v="559"/>
    <n v="1573"/>
    <x v="10"/>
    <x v="2"/>
    <x v="2"/>
    <x v="10"/>
    <x v="171"/>
    <s v="2-Needle 5-Thread Safety Stitch Overlock Machine Robotechnology RT-65-TAD/EUT"/>
    <x v="56"/>
    <x v="8"/>
    <s v="Шевен 2бр."/>
    <x v="1"/>
    <m/>
    <d v="2021-02-05T00:00:00"/>
    <n v="3150"/>
    <n v="1610.5694257680882"/>
    <n v="78.75"/>
    <n v="0"/>
  </r>
  <r>
    <n v="560"/>
    <n v="1575"/>
    <x v="10"/>
    <x v="2"/>
    <x v="2"/>
    <x v="10"/>
    <x v="172"/>
    <s v="2-Needle 4-Thread Overlock Machine 747L-514M-3-24"/>
    <x v="42"/>
    <x v="14"/>
    <s v="Руйно- 2 ет."/>
    <x v="2"/>
    <m/>
    <d v="2021-04-28T00:00:00"/>
    <n v="2570"/>
    <n v="1314.0201346742815"/>
    <n v="64.25"/>
    <n v="0"/>
  </r>
  <r>
    <n v="561"/>
    <n v="1576"/>
    <x v="10"/>
    <x v="2"/>
    <x v="2"/>
    <x v="10"/>
    <x v="172"/>
    <s v="2-Needle 4-Thread Overlock Machine 747L-514M-3-24"/>
    <x v="42"/>
    <x v="14"/>
    <s v="Руйно-1 ет."/>
    <x v="2"/>
    <m/>
    <d v="2021-04-28T00:00:00"/>
    <n v="2570"/>
    <n v="1314.0201346742815"/>
    <n v="64.25"/>
    <n v="0"/>
  </r>
  <r>
    <n v="562"/>
    <n v="1577"/>
    <x v="10"/>
    <x v="2"/>
    <x v="2"/>
    <x v="10"/>
    <x v="172"/>
    <s v="2-Needle 4-Thread Overlock Machine 747L-514M-3-24"/>
    <x v="42"/>
    <x v="14"/>
    <s v="Шевен 3бр."/>
    <x v="1"/>
    <m/>
    <d v="2021-04-28T00:00:00"/>
    <n v="2570"/>
    <n v="1314.0201346742815"/>
    <n v="64.25"/>
    <n v="0"/>
  </r>
  <r>
    <n v="563"/>
    <n v="1578"/>
    <x v="10"/>
    <x v="2"/>
    <x v="2"/>
    <x v="10"/>
    <x v="172"/>
    <s v="2-Needle 4-Thread Overlock Machine 747L-514M-3-24"/>
    <x v="42"/>
    <x v="14"/>
    <s v="Руйно- 2 ет."/>
    <x v="2"/>
    <m/>
    <d v="2021-04-28T00:00:00"/>
    <n v="2570"/>
    <n v="1314.0201346742815"/>
    <n v="64.25"/>
    <n v="0"/>
  </r>
  <r>
    <n v="564"/>
    <n v="1579"/>
    <x v="10"/>
    <x v="2"/>
    <x v="2"/>
    <x v="10"/>
    <x v="172"/>
    <s v="2-Needle 4-Thread Overlock Machine 747L-514M-3-24"/>
    <x v="42"/>
    <x v="14"/>
    <s v="Руйно-1 ет."/>
    <x v="2"/>
    <m/>
    <d v="2021-04-28T00:00:00"/>
    <n v="2570"/>
    <n v="1314.0201346742815"/>
    <n v="64.25"/>
    <n v="0"/>
  </r>
  <r>
    <n v="565"/>
    <n v="1580"/>
    <x v="10"/>
    <x v="2"/>
    <x v="2"/>
    <x v="10"/>
    <x v="172"/>
    <s v="2-Needle 4-Thread Overlock Machine 747L-514M-3-24"/>
    <x v="42"/>
    <x v="14"/>
    <s v="Шевен 2бр."/>
    <x v="1"/>
    <m/>
    <d v="2021-04-28T00:00:00"/>
    <n v="2570"/>
    <n v="1314.0201346742815"/>
    <n v="64.25"/>
    <n v="0"/>
  </r>
  <r>
    <n v="566"/>
    <n v="1581"/>
    <x v="10"/>
    <x v="2"/>
    <x v="2"/>
    <x v="10"/>
    <x v="172"/>
    <s v="2-Needle 4-Thread Overlock Machine 747L-514M-3-24"/>
    <x v="42"/>
    <x v="14"/>
    <s v="Шевен 1бр."/>
    <x v="1"/>
    <m/>
    <d v="2021-04-28T00:00:00"/>
    <n v="2570"/>
    <n v="1314.0201346742815"/>
    <n v="64.25"/>
    <n v="0"/>
  </r>
  <r>
    <n v="567"/>
    <n v="1582"/>
    <x v="10"/>
    <x v="2"/>
    <x v="2"/>
    <x v="10"/>
    <x v="172"/>
    <s v="2-Needle 4-Thread Overlock Machine 747L-514M-3-24"/>
    <x v="42"/>
    <x v="14"/>
    <s v="мострена бригада"/>
    <x v="0"/>
    <m/>
    <d v="2021-04-28T00:00:00"/>
    <n v="2570"/>
    <n v="1314.0201346742815"/>
    <n v="64.25"/>
    <n v="0"/>
  </r>
  <r>
    <n v="568"/>
    <n v="1583"/>
    <x v="10"/>
    <x v="2"/>
    <x v="2"/>
    <x v="10"/>
    <x v="172"/>
    <s v="2-Needle 4-Thread Overlock Machine 747L-514M-3-24"/>
    <x v="42"/>
    <x v="14"/>
    <s v="Шевен 3бр."/>
    <x v="1"/>
    <m/>
    <d v="2021-04-06T00:00:00"/>
    <n v="2570"/>
    <n v="1314.0201346742815"/>
    <n v="64.25"/>
    <n v="0"/>
  </r>
  <r>
    <n v="569"/>
    <n v="1584"/>
    <x v="10"/>
    <x v="2"/>
    <x v="2"/>
    <x v="10"/>
    <x v="172"/>
    <s v="2-Needle 4-Thread Overlock Machine 747L-514M-3-24"/>
    <x v="76"/>
    <x v="14"/>
    <s v="Руйно- 2 ет."/>
    <x v="2"/>
    <m/>
    <d v="2021-04-06T00:00:00"/>
    <n v="2570"/>
    <n v="1314.0201346742815"/>
    <n v="64.25"/>
    <n v="0"/>
  </r>
  <r>
    <n v="570"/>
    <n v="1586"/>
    <x v="4"/>
    <x v="3"/>
    <x v="3"/>
    <x v="4"/>
    <x v="173"/>
    <s v="Hand stitch sewing machine  Japsew 785-D"/>
    <x v="77"/>
    <x v="0"/>
    <s v="Склад машини"/>
    <x v="1"/>
    <m/>
    <d v="2021-09-09T00:00:00"/>
    <n v="11559"/>
    <n v="5910.0228547470897"/>
    <n v="288.98"/>
    <n v="0"/>
  </r>
  <r>
    <n v="571"/>
    <n v="1587"/>
    <x v="4"/>
    <x v="3"/>
    <x v="3"/>
    <x v="4"/>
    <x v="173"/>
    <s v="Hand stitch sewing machine  Japsew 785-D"/>
    <x v="77"/>
    <x v="0"/>
    <s v="Руйно- 2 ет."/>
    <x v="2"/>
    <m/>
    <d v="2021-09-09T00:00:00"/>
    <n v="11559"/>
    <n v="5910.0228547470897"/>
    <n v="288.98"/>
    <n v="0"/>
  </r>
  <r>
    <n v="572"/>
    <n v="1588"/>
    <x v="39"/>
    <x v="1"/>
    <x v="1"/>
    <x v="39"/>
    <x v="174"/>
    <s v=" Sewing Machine (Long Arm) ZJ-M6-S900-SF-LK2-V2"/>
    <x v="73"/>
    <x v="40"/>
    <s v="Склад машини"/>
    <x v="1"/>
    <m/>
    <d v="2021-09-17T00:00:00"/>
    <n v="16565.41"/>
    <n v="8469.759641686649"/>
    <n v="414.14"/>
    <n v="0"/>
  </r>
  <r>
    <n v="573"/>
    <n v="1589"/>
    <x v="39"/>
    <x v="1"/>
    <x v="1"/>
    <x v="39"/>
    <x v="174"/>
    <s v=" Sewing Machine (Long Arm) ZJ-M6-S900-SF-LK2-V2"/>
    <x v="73"/>
    <x v="40"/>
    <s v="Руйно-1 ет."/>
    <x v="2"/>
    <m/>
    <d v="2021-09-17T00:00:00"/>
    <n v="16565.41"/>
    <n v="8469.759641686649"/>
    <n v="414.14"/>
    <n v="0"/>
  </r>
  <r>
    <n v="574"/>
    <n v="1590"/>
    <x v="39"/>
    <x v="1"/>
    <x v="1"/>
    <x v="39"/>
    <x v="174"/>
    <s v=" Sewing Machine (Long Arm) ZJ-M6-S900-SF-LK2-V2"/>
    <x v="73"/>
    <x v="40"/>
    <s v="Руйно-1 ет."/>
    <x v="2"/>
    <m/>
    <d v="2021-09-17T00:00:00"/>
    <n v="16565.41"/>
    <n v="8469.759641686649"/>
    <n v="414.14"/>
    <n v="0"/>
  </r>
  <r>
    <n v="575"/>
    <n v="1591"/>
    <x v="13"/>
    <x v="4"/>
    <x v="4"/>
    <x v="13"/>
    <x v="175"/>
    <s v="Fabric Inspection and Rewinding Machine (IQC) CANKUR MAKINA ESK6-E"/>
    <x v="78"/>
    <x v="0"/>
    <s v="Входящ контрол"/>
    <x v="4"/>
    <m/>
    <d v="2021-09-29T00:00:00"/>
    <n v="49085.599999999999"/>
    <n v="25097.0687636451"/>
    <n v="1227.1400000000001"/>
    <n v="0"/>
  </r>
  <r>
    <n v="576"/>
    <n v="1594"/>
    <x v="39"/>
    <x v="1"/>
    <x v="1"/>
    <x v="39"/>
    <x v="174"/>
    <s v="Sewing Machine (Long Arm) ZJ-M6-S900H-SF-LK2-V2"/>
    <x v="73"/>
    <x v="40"/>
    <s v="Техническа подготовка"/>
    <x v="5"/>
    <m/>
    <d v="2021-11-26T00:00:00"/>
    <n v="16975.560000000001"/>
    <n v="8679.4660067592795"/>
    <n v="424.39"/>
    <n v="0"/>
  </r>
  <r>
    <n v="577"/>
    <n v="1595"/>
    <x v="5"/>
    <x v="1"/>
    <x v="1"/>
    <x v="5"/>
    <x v="140"/>
    <s v="Buttonhole Machine JUKI LBH-1790AN"/>
    <x v="62"/>
    <x v="19"/>
    <s v="Руйно- 2 ет."/>
    <x v="2"/>
    <m/>
    <d v="2021-11-26T00:00:00"/>
    <n v="8150"/>
    <n v="4167.0288317491804"/>
    <n v="203.75"/>
    <n v="0"/>
  </r>
  <r>
    <n v="578"/>
    <n v="1596"/>
    <x v="32"/>
    <x v="5"/>
    <x v="5"/>
    <x v="32"/>
    <x v="176"/>
    <s v="Air Compressor Cube10SD"/>
    <x v="53"/>
    <x v="38"/>
    <s v="Административна сграда"/>
    <x v="0"/>
    <m/>
    <d v="2021-12-03T00:00:00"/>
    <n v="6800"/>
    <n v="3476.7847921342859"/>
    <n v="170"/>
    <n v="0"/>
  </r>
  <r>
    <n v="579"/>
    <n v="1597"/>
    <x v="40"/>
    <x v="2"/>
    <x v="2"/>
    <x v="40"/>
    <x v="177"/>
    <s v="Collar Turning and Trimming Machine / Unit OM102"/>
    <x v="79"/>
    <x v="42"/>
    <s v="Склад машини"/>
    <x v="1"/>
    <m/>
    <d v="2021-12-19T00:00:00"/>
    <n v="1476.69"/>
    <n v="755.01960804364387"/>
    <n v="36.92"/>
    <n v="0"/>
  </r>
  <r>
    <n v="580"/>
    <n v="1598"/>
    <x v="16"/>
    <x v="0"/>
    <x v="0"/>
    <x v="16"/>
    <x v="178"/>
    <s v="Collar Pressing Machine Ozer Makina OM202"/>
    <x v="79"/>
    <x v="0"/>
    <s v="Склад машини"/>
    <x v="1"/>
    <m/>
    <d v="2021-12-19T00:00:00"/>
    <n v="5414.52"/>
    <n v="2768.400116574549"/>
    <n v="135.36000000000001"/>
    <n v="0"/>
  </r>
  <r>
    <n v="581"/>
    <n v="1600"/>
    <x v="22"/>
    <x v="1"/>
    <x v="1"/>
    <x v="22"/>
    <x v="179"/>
    <s v=" Multi-Needle Double Chainstitch Machine Kansai Special NW8842-1G/SERVO/IPG"/>
    <x v="80"/>
    <x v="0"/>
    <s v="Шевен участък"/>
    <x v="1"/>
    <m/>
    <d v="2022-03-28T00:00:00"/>
    <n v="5720"/>
    <n v="2924.5895604423699"/>
    <n v="143"/>
    <n v="0"/>
  </r>
  <r>
    <n v="582"/>
    <n v="1603"/>
    <x v="13"/>
    <x v="4"/>
    <x v="4"/>
    <x v="13"/>
    <x v="180"/>
    <s v="Color Viewing Cabinet  Light Box M60"/>
    <x v="81"/>
    <x v="0"/>
    <s v="Входящ контрол"/>
    <x v="4"/>
    <m/>
    <d v="2022-11-17T00:00:00"/>
    <n v="2774.93"/>
    <n v="1418.7991798878224"/>
    <n v="69.37"/>
    <n v="208.12"/>
  </r>
  <r>
    <n v="583"/>
    <n v="1604"/>
    <x v="41"/>
    <x v="4"/>
    <x v="4"/>
    <x v="41"/>
    <x v="181"/>
    <s v="Moisture Meter Mahlo"/>
    <x v="4"/>
    <x v="0"/>
    <s v="Приемателен контрол"/>
    <x v="1"/>
    <m/>
    <d v="2022-12-12T00:00:00"/>
    <n v="5029.7700000000004"/>
    <n v="2571.6805652843041"/>
    <n v="125.74"/>
    <n v="502.98"/>
  </r>
  <r>
    <n v="584"/>
    <n v="1605"/>
    <x v="6"/>
    <x v="1"/>
    <x v="1"/>
    <x v="6"/>
    <x v="182"/>
    <s v="Button sewing machine Nanbang NB-1373D"/>
    <x v="6"/>
    <x v="0"/>
    <s v="мострена бригада"/>
    <x v="0"/>
    <m/>
    <d v="2023-01-04T00:00:00"/>
    <n v="1316"/>
    <n v="672.86011565422359"/>
    <n v="32.9"/>
    <n v="164.5"/>
  </r>
  <r>
    <n v="585"/>
    <n v="1606"/>
    <x v="32"/>
    <x v="5"/>
    <x v="5"/>
    <x v="32"/>
    <x v="183"/>
    <s v="Refrigerating Air Dryer Almig ALM RD 110"/>
    <x v="72"/>
    <x v="0"/>
    <s v="Техническа подготовка"/>
    <x v="5"/>
    <m/>
    <d v="2023-03-01T00:00:00"/>
    <n v="2185"/>
    <n v="1117.1727604137375"/>
    <n v="0"/>
    <n v="0"/>
  </r>
  <r>
    <n v="586"/>
    <n v="1607"/>
    <x v="18"/>
    <x v="1"/>
    <x v="1"/>
    <x v="18"/>
    <x v="184"/>
    <s v="Dürkopp Adler 550 Sleeve Setting Machine Durkopp Adler 6279-170067"/>
    <x v="4"/>
    <x v="0"/>
    <s v="Руйно-1 ет."/>
    <x v="2"/>
    <m/>
    <d v="2023-03-15T00:00:00"/>
    <n v="1650"/>
    <n v="843.63160397376055"/>
    <n v="41.25"/>
    <n v="288.75"/>
  </r>
  <r>
    <n v="587"/>
    <n v="1608"/>
    <x v="18"/>
    <x v="1"/>
    <x v="1"/>
    <x v="18"/>
    <x v="184"/>
    <s v="Dürkopp Adler 550 Sleeve Setting Machine Durkopp Adler 6279-170067"/>
    <x v="4"/>
    <x v="0"/>
    <s v="Руйно-1 ет."/>
    <x v="2"/>
    <m/>
    <d v="2023-03-15T00:00:00"/>
    <n v="1650"/>
    <n v="843.63160397376055"/>
    <n v="41.25"/>
    <n v="288.75"/>
  </r>
  <r>
    <n v="588"/>
    <n v="1612"/>
    <x v="15"/>
    <x v="2"/>
    <x v="2"/>
    <x v="15"/>
    <x v="185"/>
    <s v="Fusing Press ROBOTECHNOLOGY RT-450B"/>
    <x v="82"/>
    <x v="0"/>
    <s v="Руйно- 2 ет."/>
    <x v="2"/>
    <m/>
    <d v="2023-04-05T00:00:00"/>
    <n v="4541.67"/>
    <n v="2322.1189980724298"/>
    <n v="113.54"/>
    <n v="908.33"/>
  </r>
  <r>
    <n v="589"/>
    <n v="1613"/>
    <x v="34"/>
    <x v="4"/>
    <x v="4"/>
    <x v="34"/>
    <x v="186"/>
    <s v="Rexel P-3S/R Straight Knife Cutting Machine"/>
    <x v="4"/>
    <x v="0"/>
    <s v="Склад Тъкани"/>
    <x v="1"/>
    <m/>
    <d v="2023-05-03T00:00:00"/>
    <n v="10895.36"/>
    <n v="5570.7091107100314"/>
    <n v="272.38"/>
    <n v="2451.46"/>
  </r>
  <r>
    <n v="590"/>
    <n v="1620"/>
    <x v="22"/>
    <x v="1"/>
    <x v="1"/>
    <x v="22"/>
    <x v="187"/>
    <s v="Flat Bed Double Chainstitch Machine Siruba Z008-248Q"/>
    <x v="83"/>
    <x v="0"/>
    <s v="мострена бригада"/>
    <x v="0"/>
    <m/>
    <d v="2023-07-28T00:00:00"/>
    <n v="3200"/>
    <n v="1636.1340198278992"/>
    <n v="80"/>
    <n v="880"/>
  </r>
  <r>
    <n v="591"/>
    <n v="1622"/>
    <x v="10"/>
    <x v="2"/>
    <x v="2"/>
    <x v="10"/>
    <x v="188"/>
    <s v="2-Needle 5-Thread Safety Stitch Overlock Machine 757KT-516M-3-55"/>
    <x v="56"/>
    <x v="26"/>
    <s v="Шевен 3бр."/>
    <x v="1"/>
    <m/>
    <d v="2023-08-10T00:00:00"/>
    <n v="4416.67"/>
    <n v="2258.2075129229024"/>
    <n v="110.42"/>
    <n v="1325"/>
  </r>
  <r>
    <n v="592"/>
    <n v="1641"/>
    <x v="4"/>
    <x v="3"/>
    <x v="3"/>
    <x v="4"/>
    <x v="189"/>
    <s v="Hand stitch sewing machine  Japsew 785-XT"/>
    <x v="77"/>
    <x v="0"/>
    <s v="Шевен участък"/>
    <x v="1"/>
    <m/>
    <d v="2024-02-13T00:00:00"/>
    <n v="12900"/>
    <n v="6595.665267431219"/>
    <n v="322.5"/>
    <n v="5805"/>
  </r>
  <r>
    <n v="593"/>
    <n v="1642"/>
    <x v="4"/>
    <x v="3"/>
    <x v="3"/>
    <x v="4"/>
    <x v="189"/>
    <s v="Hand stitch sewing machine  Japsew 785-XT"/>
    <x v="77"/>
    <x v="0"/>
    <s v="Шевен участък"/>
    <x v="1"/>
    <m/>
    <d v="2024-02-13T00:00:00"/>
    <n v="12900"/>
    <n v="6595.665267431219"/>
    <n v="322.5"/>
    <n v="5805"/>
  </r>
  <r>
    <n v="594"/>
    <n v="1644"/>
    <x v="3"/>
    <x v="2"/>
    <x v="2"/>
    <x v="3"/>
    <x v="190"/>
    <s v="Narrow Arm Lockstitch Machine"/>
    <x v="4"/>
    <x v="43"/>
    <s v="мострена бригада"/>
    <x v="0"/>
    <m/>
    <d v="2024-07-11T00:00:00"/>
    <n v="4100"/>
    <n v="2096.296712904496"/>
    <n v="102.5"/>
    <n v="2357.5"/>
  </r>
  <r>
    <n v="595"/>
    <n v="1661"/>
    <x v="1"/>
    <x v="0"/>
    <x v="0"/>
    <x v="1"/>
    <x v="191"/>
    <s v="Ironing Table Veit Uniset Turbo"/>
    <x v="84"/>
    <x v="0"/>
    <s v="мострена бригада"/>
    <x v="0"/>
    <m/>
    <m/>
    <n v="800"/>
    <n v="409.03350495697481"/>
    <n v="20"/>
    <n v="500"/>
  </r>
  <r>
    <n v="596"/>
    <n v="1934"/>
    <x v="3"/>
    <x v="2"/>
    <x v="2"/>
    <x v="3"/>
    <x v="192"/>
    <s v=" Single-Needle Lockstitch Machine Brother S7200B"/>
    <x v="4"/>
    <x v="13"/>
    <s v="Руйно-1 ет."/>
    <x v="2"/>
    <m/>
    <n v="16052013"/>
    <n v="6393"/>
    <n v="3268.6889964874249"/>
    <n v="159.83000000000001"/>
    <n v="0"/>
  </r>
  <r>
    <n v="597"/>
    <n v="1935"/>
    <x v="3"/>
    <x v="2"/>
    <x v="2"/>
    <x v="3"/>
    <x v="192"/>
    <s v=" Single-Needle Lockstitch Machine Brother S7200B"/>
    <x v="4"/>
    <x v="13"/>
    <s v="Руйно-1 ет."/>
    <x v="2"/>
    <m/>
    <n v="16052013"/>
    <n v="6393"/>
    <n v="3268.6889964874249"/>
    <n v="159.83000000000001"/>
    <n v="0"/>
  </r>
  <r>
    <n v="598"/>
    <n v="1936"/>
    <x v="3"/>
    <x v="2"/>
    <x v="2"/>
    <x v="3"/>
    <x v="192"/>
    <s v=" Single-Needle Lockstitch Machine Brother S7200B"/>
    <x v="4"/>
    <x v="13"/>
    <s v="Руйно-1 ет."/>
    <x v="2"/>
    <m/>
    <n v="16052013"/>
    <n v="6393"/>
    <n v="3268.6889964874249"/>
    <n v="159.83000000000001"/>
    <n v="0"/>
  </r>
  <r>
    <n v="599"/>
    <n v="1937"/>
    <x v="3"/>
    <x v="2"/>
    <x v="2"/>
    <x v="3"/>
    <x v="192"/>
    <s v=" Single-Needle Lockstitch Machine Brother S7200B"/>
    <x v="4"/>
    <x v="13"/>
    <s v="Руйно-1 ет."/>
    <x v="2"/>
    <m/>
    <n v="16052013"/>
    <n v="6393"/>
    <n v="3268.6889964874249"/>
    <n v="159.83000000000001"/>
    <n v="0"/>
  </r>
  <r>
    <n v="600"/>
    <n v="1938"/>
    <x v="3"/>
    <x v="2"/>
    <x v="2"/>
    <x v="3"/>
    <x v="192"/>
    <s v=" Single-Needle Lockstitch Machine Brother S7200B"/>
    <x v="4"/>
    <x v="13"/>
    <s v="Руйно-1 ет."/>
    <x v="2"/>
    <m/>
    <n v="16052013"/>
    <n v="6393"/>
    <n v="3268.6889964874249"/>
    <n v="159.83000000000001"/>
    <n v="0"/>
  </r>
  <r>
    <n v="601"/>
    <n v="1939"/>
    <x v="3"/>
    <x v="2"/>
    <x v="2"/>
    <x v="3"/>
    <x v="192"/>
    <s v=" Single-Needle Lockstitch Machine Brother S7200B"/>
    <x v="4"/>
    <x v="13"/>
    <s v="Руйно-1 ет."/>
    <x v="2"/>
    <m/>
    <n v="16052013"/>
    <n v="6393"/>
    <n v="3268.6889964874249"/>
    <n v="159.83000000000001"/>
    <n v="0"/>
  </r>
  <r>
    <n v="602"/>
    <n v="1940"/>
    <x v="3"/>
    <x v="2"/>
    <x v="2"/>
    <x v="3"/>
    <x v="192"/>
    <s v=" Single-Needle Lockstitch Machine Brother S7200B"/>
    <x v="4"/>
    <x v="13"/>
    <s v="Руйно-1 ет."/>
    <x v="2"/>
    <m/>
    <n v="16052013"/>
    <n v="6393"/>
    <n v="3268.6889964874249"/>
    <n v="159.83000000000001"/>
    <n v="0"/>
  </r>
  <r>
    <n v="603"/>
    <n v="1941"/>
    <x v="3"/>
    <x v="2"/>
    <x v="2"/>
    <x v="3"/>
    <x v="192"/>
    <s v=" Single-Needle Lockstitch Machine Brother S7200B"/>
    <x v="4"/>
    <x v="13"/>
    <s v="Руйно-1 ет."/>
    <x v="2"/>
    <m/>
    <n v="16052013"/>
    <n v="6393"/>
    <n v="3268.6889964874249"/>
    <n v="159.83000000000001"/>
    <n v="0"/>
  </r>
  <r>
    <n v="604"/>
    <n v="1942"/>
    <x v="35"/>
    <x v="3"/>
    <x v="3"/>
    <x v="35"/>
    <x v="142"/>
    <s v="Zig-zag sewing machine BROTHER"/>
    <x v="64"/>
    <x v="0"/>
    <s v="Склад машини"/>
    <x v="1"/>
    <m/>
    <n v="16052013"/>
    <n v="11832"/>
    <n v="6049.6055383136572"/>
    <n v="295.8"/>
    <n v="0"/>
  </r>
  <r>
    <n v="605"/>
    <n v="1943"/>
    <x v="35"/>
    <x v="3"/>
    <x v="3"/>
    <x v="35"/>
    <x v="142"/>
    <s v="Zig-zag sewing machine BROTHER"/>
    <x v="64"/>
    <x v="0"/>
    <s v="Руйно- 2 ет."/>
    <x v="2"/>
    <m/>
    <n v="16052013"/>
    <n v="11832"/>
    <n v="6049.6055383136572"/>
    <n v="295.8"/>
    <n v="0"/>
  </r>
  <r>
    <n v="606"/>
    <n v="1944"/>
    <x v="35"/>
    <x v="3"/>
    <x v="3"/>
    <x v="35"/>
    <x v="142"/>
    <s v="Zig-zag sewing machine BROTHER"/>
    <x v="64"/>
    <x v="0"/>
    <s v="Руйно- 2 ет."/>
    <x v="2"/>
    <m/>
    <n v="16052013"/>
    <n v="11832"/>
    <n v="6049.6055383136572"/>
    <n v="295.8"/>
    <n v="0"/>
  </r>
  <r>
    <n v="607"/>
    <n v="1945"/>
    <x v="35"/>
    <x v="3"/>
    <x v="3"/>
    <x v="35"/>
    <x v="142"/>
    <s v="Zig-zag sewing machine BROTHER"/>
    <x v="64"/>
    <x v="0"/>
    <s v="Руйно- 2 ет."/>
    <x v="2"/>
    <m/>
    <n v="16052013"/>
    <n v="11832"/>
    <n v="6049.6055383136572"/>
    <n v="295.8"/>
    <n v="0"/>
  </r>
  <r>
    <n v="608"/>
    <n v="1946"/>
    <x v="27"/>
    <x v="3"/>
    <x v="3"/>
    <x v="27"/>
    <x v="193"/>
    <s v="Feed-off-the-Arm Coverstitch Machine KAnsai BLX-2202CW1/4"/>
    <x v="85"/>
    <x v="44"/>
    <s v="Руйно- 2 ет."/>
    <x v="2"/>
    <m/>
    <n v="16052013"/>
    <n v="7575"/>
    <n v="3873.036000061355"/>
    <n v="189.38"/>
    <n v="0"/>
  </r>
  <r>
    <n v="609"/>
    <n v="1947"/>
    <x v="7"/>
    <x v="3"/>
    <x v="3"/>
    <x v="7"/>
    <x v="194"/>
    <s v="Two-needle lockstitch sewing machine BROTHER T8452C-403"/>
    <x v="4"/>
    <x v="0"/>
    <s v="Шевен 1бр."/>
    <x v="1"/>
    <m/>
    <n v="16052013"/>
    <n v="8968"/>
    <n v="4585.2655905676875"/>
    <n v="224.2"/>
    <n v="0"/>
  </r>
  <r>
    <n v="610"/>
    <n v="1948"/>
    <x v="7"/>
    <x v="3"/>
    <x v="3"/>
    <x v="7"/>
    <x v="194"/>
    <s v="Two-needle lockstitch sewing machine BROTHER T8452C-403"/>
    <x v="4"/>
    <x v="45"/>
    <s v="Руйно- 2 ет."/>
    <x v="2"/>
    <m/>
    <n v="16052013"/>
    <n v="8968"/>
    <n v="4585.2655905676875"/>
    <n v="224.2"/>
    <n v="0"/>
  </r>
  <r>
    <n v="611"/>
    <n v="1949"/>
    <x v="7"/>
    <x v="3"/>
    <x v="3"/>
    <x v="7"/>
    <x v="194"/>
    <s v="Two-needle lockstitch sewing machine BROTHER T8452C-403"/>
    <x v="4"/>
    <x v="0"/>
    <s v="Руйно- 2 ет."/>
    <x v="2"/>
    <m/>
    <n v="16052013"/>
    <n v="8968"/>
    <n v="4585.2655905676875"/>
    <n v="224.2"/>
    <n v="0"/>
  </r>
  <r>
    <n v="612"/>
    <n v="1950"/>
    <x v="7"/>
    <x v="3"/>
    <x v="3"/>
    <x v="7"/>
    <x v="194"/>
    <s v="Two-needle lockstitch sewing machine BROTHER T8452C-403"/>
    <x v="4"/>
    <x v="0"/>
    <s v="Руйно- 2 ет."/>
    <x v="2"/>
    <m/>
    <n v="16052013"/>
    <n v="8968"/>
    <n v="4585.2655905676875"/>
    <n v="224.2"/>
    <n v="0"/>
  </r>
  <r>
    <n v="613"/>
    <n v="1951"/>
    <x v="7"/>
    <x v="3"/>
    <x v="3"/>
    <x v="7"/>
    <x v="194"/>
    <s v="Two-needle lockstitch sewing machine BROTHER T8452C-403"/>
    <x v="4"/>
    <x v="0"/>
    <s v="Склад машини"/>
    <x v="1"/>
    <m/>
    <n v="16052013"/>
    <n v="8968"/>
    <n v="4585.2655905676875"/>
    <n v="224.2"/>
    <n v="0"/>
  </r>
  <r>
    <n v="614"/>
    <n v="1952"/>
    <x v="7"/>
    <x v="3"/>
    <x v="3"/>
    <x v="7"/>
    <x v="194"/>
    <s v="Two-needle lockstitch sewing machine BROTHER T8452C-403"/>
    <x v="4"/>
    <x v="0"/>
    <s v="Шевен 2бр"/>
    <x v="2"/>
    <m/>
    <n v="16052013"/>
    <n v="8968"/>
    <n v="4585.2655905676875"/>
    <n v="224.2"/>
    <n v="0"/>
  </r>
  <r>
    <n v="615"/>
    <n v="1953"/>
    <x v="7"/>
    <x v="3"/>
    <x v="3"/>
    <x v="7"/>
    <x v="194"/>
    <s v="Two-needle lockstitch sewing machine BROTHER T8452C-403"/>
    <x v="4"/>
    <x v="0"/>
    <s v="Руйно- 2 ет."/>
    <x v="2"/>
    <m/>
    <n v="16052013"/>
    <n v="8968"/>
    <n v="4585.2655905676875"/>
    <n v="224.2"/>
    <n v="0"/>
  </r>
  <r>
    <n v="616"/>
    <n v="1954"/>
    <x v="7"/>
    <x v="3"/>
    <x v="3"/>
    <x v="7"/>
    <x v="194"/>
    <s v="Two-needle lockstitch sewing machine BROTHER T8452C-403"/>
    <x v="4"/>
    <x v="0"/>
    <s v="Шевен 1бр."/>
    <x v="1"/>
    <m/>
    <n v="16052013"/>
    <n v="8968"/>
    <n v="4585.2655905676875"/>
    <n v="224.2"/>
    <n v="0"/>
  </r>
  <r>
    <n v="617"/>
    <n v="1955"/>
    <x v="7"/>
    <x v="3"/>
    <x v="3"/>
    <x v="7"/>
    <x v="194"/>
    <s v="Two-needle lockstitch sewing machine BROTHER T8452C-403"/>
    <x v="4"/>
    <x v="0"/>
    <s v="Шевен 1бр."/>
    <x v="1"/>
    <m/>
    <n v="16052013"/>
    <n v="8968"/>
    <n v="4585.2655905676875"/>
    <n v="224.2"/>
    <n v="0"/>
  </r>
  <r>
    <n v="618"/>
    <n v="1956"/>
    <x v="7"/>
    <x v="3"/>
    <x v="3"/>
    <x v="7"/>
    <x v="194"/>
    <s v="Two-needle lockstitch sewing machine BROTHER T8452C-403"/>
    <x v="4"/>
    <x v="0"/>
    <s v="Руйно-1 ет."/>
    <x v="2"/>
    <m/>
    <n v="16052013"/>
    <n v="8968"/>
    <n v="4585.2655905676875"/>
    <n v="224.2"/>
    <n v="0"/>
  </r>
  <r>
    <n v="619"/>
    <n v="1957"/>
    <x v="22"/>
    <x v="1"/>
    <x v="1"/>
    <x v="22"/>
    <x v="195"/>
    <s v="Chainstitch Sewing Machin Kansai LX-5803PHD"/>
    <x v="86"/>
    <x v="45"/>
    <s v="Склад машини"/>
    <x v="1"/>
    <m/>
    <n v="16052013"/>
    <n v="7215"/>
    <n v="3688.9709228307165"/>
    <n v="180.38"/>
    <n v="0"/>
  </r>
  <r>
    <n v="620"/>
    <n v="1958"/>
    <x v="22"/>
    <x v="1"/>
    <x v="1"/>
    <x v="22"/>
    <x v="195"/>
    <s v="Chainstitch Sewing Machin Kansai LX-5803PHD"/>
    <x v="86"/>
    <x v="45"/>
    <s v="Склад машини"/>
    <x v="1"/>
    <m/>
    <n v="16052013"/>
    <n v="7215"/>
    <n v="3688.9709228307165"/>
    <n v="180.38"/>
    <n v="0"/>
  </r>
  <r>
    <n v="621"/>
    <n v="1959"/>
    <x v="22"/>
    <x v="1"/>
    <x v="1"/>
    <x v="22"/>
    <x v="195"/>
    <s v="Chainstitch Sewing Machin Kansai LX-5803PHD"/>
    <x v="86"/>
    <x v="45"/>
    <s v="Склад машини"/>
    <x v="1"/>
    <m/>
    <n v="16052013"/>
    <n v="7215"/>
    <n v="3688.9709228307165"/>
    <n v="180.38"/>
    <n v="0"/>
  </r>
  <r>
    <n v="622"/>
    <n v="1960"/>
    <x v="22"/>
    <x v="1"/>
    <x v="1"/>
    <x v="22"/>
    <x v="195"/>
    <s v="Chainstitch Sewing Machin Kansai LX-5803PHD"/>
    <x v="86"/>
    <x v="45"/>
    <s v="Руйно- 2 ет."/>
    <x v="2"/>
    <m/>
    <n v="16052013"/>
    <n v="7215"/>
    <n v="3688.9709228307165"/>
    <n v="180.38"/>
    <n v="0"/>
  </r>
  <r>
    <n v="623"/>
    <n v="1961"/>
    <x v="22"/>
    <x v="1"/>
    <x v="1"/>
    <x v="22"/>
    <x v="195"/>
    <s v="Chainstitch Sewing Machin Kansai LX-5803PHD"/>
    <x v="86"/>
    <x v="45"/>
    <s v="Руйно- 2 ет."/>
    <x v="2"/>
    <m/>
    <n v="16052013"/>
    <n v="7215"/>
    <n v="3688.9709228307165"/>
    <n v="180.38"/>
    <n v="0"/>
  </r>
  <r>
    <n v="624"/>
    <n v="1962"/>
    <x v="22"/>
    <x v="1"/>
    <x v="1"/>
    <x v="22"/>
    <x v="195"/>
    <s v="Chainstitch Sewing Machin Kansai LX-5803PHD"/>
    <x v="86"/>
    <x v="45"/>
    <s v="Руйно- 2 ет."/>
    <x v="2"/>
    <m/>
    <n v="16052013"/>
    <n v="7215"/>
    <n v="3688.9709228307165"/>
    <n v="180.38"/>
    <n v="0"/>
  </r>
  <r>
    <n v="625"/>
    <n v="1963"/>
    <x v="10"/>
    <x v="2"/>
    <x v="2"/>
    <x v="10"/>
    <x v="196"/>
    <s v="Semi-Automatic Seaming / Joining Machine Pegasus 1280-5-1"/>
    <x v="87"/>
    <x v="46"/>
    <s v="Шевен 1бр."/>
    <x v="1"/>
    <m/>
    <n v="7052013"/>
    <n v="37559"/>
    <n v="19203.611765848771"/>
    <n v="938.98"/>
    <n v="0"/>
  </r>
  <r>
    <n v="626"/>
    <n v="1964"/>
    <x v="10"/>
    <x v="2"/>
    <x v="2"/>
    <x v="10"/>
    <x v="196"/>
    <s v="Semi-Automatic Seaming / Joining Machine Pegasus 1280-5-1"/>
    <x v="87"/>
    <x v="46"/>
    <s v="Шевен 3бр."/>
    <x v="1"/>
    <m/>
    <n v="7052013"/>
    <n v="37559"/>
    <n v="19203.611765848771"/>
    <n v="938.98"/>
    <n v="0"/>
  </r>
  <r>
    <n v="627"/>
    <n v="1965"/>
    <x v="10"/>
    <x v="2"/>
    <x v="2"/>
    <x v="10"/>
    <x v="196"/>
    <s v="Semi-Automatic Seaming / Joining Machine Pegasus 1280-5-1"/>
    <x v="87"/>
    <x v="46"/>
    <s v="Руйно- 2 ет."/>
    <x v="2"/>
    <m/>
    <n v="7052013"/>
    <n v="37559"/>
    <n v="19203.611765848771"/>
    <n v="938.98"/>
    <n v="0"/>
  </r>
  <r>
    <n v="628"/>
    <n v="1966"/>
    <x v="10"/>
    <x v="2"/>
    <x v="2"/>
    <x v="10"/>
    <x v="196"/>
    <s v="Semi-Automatic Seaming / Joining Machine Pegasus 1280-5-1"/>
    <x v="87"/>
    <x v="46"/>
    <s v="Шевен 1бр."/>
    <x v="1"/>
    <m/>
    <n v="7052013"/>
    <n v="37559"/>
    <n v="19203.611765848771"/>
    <n v="938.98"/>
    <n v="0"/>
  </r>
  <r>
    <n v="629"/>
    <n v="1967"/>
    <x v="10"/>
    <x v="2"/>
    <x v="2"/>
    <x v="10"/>
    <x v="196"/>
    <s v="Semi-Automatic Seaming / Joining Machine Pegasus 1280-5-1"/>
    <x v="87"/>
    <x v="46"/>
    <s v="Руйно- 2 ет."/>
    <x v="2"/>
    <m/>
    <n v="7052013"/>
    <n v="37559"/>
    <n v="19203.611765848771"/>
    <n v="938.98"/>
    <n v="0"/>
  </r>
  <r>
    <n v="630"/>
    <n v="1968"/>
    <x v="10"/>
    <x v="2"/>
    <x v="2"/>
    <x v="10"/>
    <x v="196"/>
    <s v="Semi-Automatic Seaming / Joining Machine Pegasus 1280-5-1"/>
    <x v="87"/>
    <x v="46"/>
    <s v="Шевен 2бр."/>
    <x v="1"/>
    <m/>
    <n v="7052013"/>
    <n v="37559"/>
    <n v="19203.611765848771"/>
    <n v="938.98"/>
    <n v="0"/>
  </r>
  <r>
    <n v="631"/>
    <n v="1969"/>
    <x v="10"/>
    <x v="2"/>
    <x v="2"/>
    <x v="10"/>
    <x v="196"/>
    <s v="Semi-Automatic Seaming / Joining Machine Pegasus 1280-5-1"/>
    <x v="87"/>
    <x v="46"/>
    <s v="Руйно- 2 ет."/>
    <x v="2"/>
    <m/>
    <n v="7052013"/>
    <n v="37559"/>
    <n v="19203.611765848771"/>
    <n v="938.98"/>
    <n v="0"/>
  </r>
  <r>
    <n v="632"/>
    <n v="1970"/>
    <x v="10"/>
    <x v="2"/>
    <x v="2"/>
    <x v="10"/>
    <x v="196"/>
    <s v="Semi-Automatic Seaming / Joining Machine Pegasus 1280-5-1"/>
    <x v="87"/>
    <x v="46"/>
    <s v="Руйно- 2 ет."/>
    <x v="2"/>
    <m/>
    <n v="7052013"/>
    <n v="37559"/>
    <n v="19203.611765848771"/>
    <n v="938.98"/>
    <n v="0"/>
  </r>
  <r>
    <n v="633"/>
    <n v="1971"/>
    <x v="5"/>
    <x v="1"/>
    <x v="1"/>
    <x v="5"/>
    <x v="197"/>
    <s v="Electronic Buttonhole Machine Dürkopp Adler Multiflex 580-312 "/>
    <x v="5"/>
    <x v="19"/>
    <s v="Шевен 3бр."/>
    <x v="1"/>
    <m/>
    <n v="7052013"/>
    <n v="46798"/>
    <n v="23927.437456220632"/>
    <n v="1169.95"/>
    <n v="0"/>
  </r>
  <r>
    <n v="634"/>
    <n v="1972"/>
    <x v="5"/>
    <x v="1"/>
    <x v="1"/>
    <x v="5"/>
    <x v="59"/>
    <s v="Electronic Buttonhole Machine 580-112"/>
    <x v="5"/>
    <x v="19"/>
    <s v="Шевен 1бр."/>
    <x v="2"/>
    <m/>
    <n v="7052013"/>
    <n v="30319"/>
    <n v="15501.858545988149"/>
    <n v="757.98"/>
    <n v="0"/>
  </r>
  <r>
    <n v="635"/>
    <n v="1973"/>
    <x v="5"/>
    <x v="1"/>
    <x v="1"/>
    <x v="5"/>
    <x v="59"/>
    <s v="Electronic Buttonhole Machine 580-112"/>
    <x v="5"/>
    <x v="19"/>
    <s v="Руйно-1 ет."/>
    <x v="2"/>
    <m/>
    <n v="7052013"/>
    <n v="30319"/>
    <n v="15501.858545988149"/>
    <n v="757.98"/>
    <n v="0"/>
  </r>
  <r>
    <n v="636"/>
    <n v="1974"/>
    <x v="3"/>
    <x v="2"/>
    <x v="2"/>
    <x v="3"/>
    <x v="13"/>
    <s v="1-needle lockstitch machine Dürkopp 275"/>
    <x v="4"/>
    <x v="36"/>
    <s v="Склад машини"/>
    <x v="1"/>
    <m/>
    <n v="7052013"/>
    <n v="10599"/>
    <n v="5419.18264879872"/>
    <n v="264.98"/>
    <n v="0"/>
  </r>
  <r>
    <n v="637"/>
    <n v="1975"/>
    <x v="3"/>
    <x v="2"/>
    <x v="2"/>
    <x v="3"/>
    <x v="13"/>
    <s v="1-needle lockstitch machine Dürkopp 275"/>
    <x v="4"/>
    <x v="36"/>
    <s v="Руйно-1 ет."/>
    <x v="2"/>
    <m/>
    <n v="7052013"/>
    <n v="10599"/>
    <n v="5419.18264879872"/>
    <n v="264.98"/>
    <n v="0"/>
  </r>
  <r>
    <n v="638"/>
    <n v="1976"/>
    <x v="3"/>
    <x v="2"/>
    <x v="2"/>
    <x v="3"/>
    <x v="13"/>
    <s v="1-needle lockstitch machine Dürkopp 275"/>
    <x v="4"/>
    <x v="36"/>
    <s v="Руйно- 2 ет."/>
    <x v="2"/>
    <m/>
    <n v="7052013"/>
    <n v="10599"/>
    <n v="5419.18264879872"/>
    <n v="264.98"/>
    <n v="0"/>
  </r>
  <r>
    <n v="639"/>
    <n v="1977"/>
    <x v="3"/>
    <x v="2"/>
    <x v="2"/>
    <x v="3"/>
    <x v="13"/>
    <s v="1-needle lockstitch machine Dürkopp 275"/>
    <x v="4"/>
    <x v="36"/>
    <s v="Склад машини"/>
    <x v="1"/>
    <m/>
    <n v="7052013"/>
    <n v="10599"/>
    <n v="5419.18264879872"/>
    <n v="264.98"/>
    <n v="0"/>
  </r>
  <r>
    <n v="640"/>
    <n v="1978"/>
    <x v="3"/>
    <x v="2"/>
    <x v="2"/>
    <x v="3"/>
    <x v="13"/>
    <s v="1-needle lockstitch machine Dürkopp 275"/>
    <x v="4"/>
    <x v="36"/>
    <s v="Склад машини"/>
    <x v="1"/>
    <m/>
    <n v="7052013"/>
    <n v="10599"/>
    <n v="5419.18264879872"/>
    <n v="264.98"/>
    <n v="0"/>
  </r>
  <r>
    <n v="641"/>
    <n v="1979"/>
    <x v="19"/>
    <x v="1"/>
    <x v="1"/>
    <x v="19"/>
    <x v="40"/>
    <s v="Welt pocket automatic machine Durkopp-Beisler 100-68"/>
    <x v="4"/>
    <x v="47"/>
    <s v="Руйно- 2 ет."/>
    <x v="2"/>
    <m/>
    <n v="7052013"/>
    <n v="55449"/>
    <n v="28350.62352044912"/>
    <n v="1386.23"/>
    <n v="0"/>
  </r>
  <r>
    <n v="642"/>
    <n v="1980"/>
    <x v="19"/>
    <x v="1"/>
    <x v="1"/>
    <x v="19"/>
    <x v="40"/>
    <s v="Welt pocket automatic machine Durkopp-Beisler 100-68"/>
    <x v="4"/>
    <x v="47"/>
    <s v="Руйно- 2 ет."/>
    <x v="2"/>
    <m/>
    <n v="7052013"/>
    <n v="55449"/>
    <n v="28350.62352044912"/>
    <n v="1386.23"/>
    <n v="0"/>
  </r>
  <r>
    <n v="643"/>
    <n v="1981"/>
    <x v="42"/>
    <x v="1"/>
    <x v="1"/>
    <x v="42"/>
    <x v="198"/>
    <s v="Automatic Machine for Attaching Shoulder Pads / Wadding Dürkopp Adler 697-15155 "/>
    <x v="4"/>
    <x v="0"/>
    <s v="Шевен 2бр."/>
    <x v="1"/>
    <m/>
    <n v="7052013"/>
    <n v="29099"/>
    <n v="14878.082450928761"/>
    <n v="727.48"/>
    <n v="0"/>
  </r>
  <r>
    <n v="644"/>
    <n v="1982"/>
    <x v="19"/>
    <x v="1"/>
    <x v="1"/>
    <x v="19"/>
    <x v="40"/>
    <s v="Welt pocket automatic machine Durkopp-Beisler 100-68"/>
    <x v="4"/>
    <x v="12"/>
    <s v="Шевен 3бр."/>
    <x v="1"/>
    <m/>
    <n v="7052013"/>
    <n v="62299"/>
    <n v="31852.972906643216"/>
    <n v="1557.48"/>
    <n v="0"/>
  </r>
  <r>
    <n v="645"/>
    <n v="1983"/>
    <x v="19"/>
    <x v="1"/>
    <x v="1"/>
    <x v="19"/>
    <x v="40"/>
    <s v="Welt pocket automatic machine Durkopp-Beisler 100-68"/>
    <x v="4"/>
    <x v="12"/>
    <s v="Шевен 2бр."/>
    <x v="1"/>
    <m/>
    <n v="7052013"/>
    <n v="62299"/>
    <n v="31852.972906643216"/>
    <n v="1557.48"/>
    <n v="0"/>
  </r>
  <r>
    <n v="646"/>
    <n v="1984"/>
    <x v="22"/>
    <x v="1"/>
    <x v="1"/>
    <x v="22"/>
    <x v="199"/>
    <s v=" Single-Needle Chainstitch Machine Dürkopp Adler 176"/>
    <x v="29"/>
    <x v="35"/>
    <s v="Склад машини"/>
    <x v="1"/>
    <m/>
    <n v="7052013"/>
    <n v="19659"/>
    <n v="10051.487092436459"/>
    <n v="491.48"/>
    <n v="0"/>
  </r>
  <r>
    <n v="647"/>
    <n v="1985"/>
    <x v="22"/>
    <x v="1"/>
    <x v="1"/>
    <x v="22"/>
    <x v="199"/>
    <s v=" Single-Needle Chainstitch Machine Dürkopp Adler 176"/>
    <x v="29"/>
    <x v="35"/>
    <s v="Руйно-1 ет."/>
    <x v="2"/>
    <m/>
    <n v="7052013"/>
    <n v="19659"/>
    <n v="10051.487092436459"/>
    <n v="491.48"/>
    <n v="0"/>
  </r>
  <r>
    <n v="648"/>
    <n v="1986"/>
    <x v="22"/>
    <x v="1"/>
    <x v="1"/>
    <x v="22"/>
    <x v="199"/>
    <s v=" Single-Needle Chainstitch Machine Dürkopp Adler 176"/>
    <x v="29"/>
    <x v="35"/>
    <s v="Склад машини"/>
    <x v="1"/>
    <m/>
    <n v="7052013"/>
    <n v="19659"/>
    <n v="10051.487092436459"/>
    <n v="491.48"/>
    <n v="0"/>
  </r>
  <r>
    <n v="649"/>
    <n v="1987"/>
    <x v="3"/>
    <x v="2"/>
    <x v="2"/>
    <x v="3"/>
    <x v="13"/>
    <s v="1-needle lockstitch machine Dürkopp 275"/>
    <x v="9"/>
    <x v="7"/>
    <s v="Шевен 1бр."/>
    <x v="1"/>
    <m/>
    <n v="7052013"/>
    <n v="19369"/>
    <n v="9903.2124468895563"/>
    <n v="484.23"/>
    <n v="0"/>
  </r>
  <r>
    <n v="650"/>
    <n v="1988"/>
    <x v="3"/>
    <x v="2"/>
    <x v="2"/>
    <x v="3"/>
    <x v="13"/>
    <s v="1-needle lockstitch machine Dürkopp 275"/>
    <x v="9"/>
    <x v="11"/>
    <s v="Руйно-1 ет."/>
    <x v="2"/>
    <m/>
    <n v="7052013"/>
    <n v="14999"/>
    <n v="7668.8669260620809"/>
    <n v="374.98"/>
    <n v="0"/>
  </r>
  <r>
    <n v="651"/>
    <n v="1989"/>
    <x v="16"/>
    <x v="0"/>
    <x v="0"/>
    <x v="16"/>
    <x v="35"/>
    <s v=" Small Universal Pressing Machine Veit Brisay 2068/101"/>
    <x v="1"/>
    <x v="0"/>
    <s v="Шевен 3бр."/>
    <x v="1"/>
    <m/>
    <n v="7052013"/>
    <n v="42999"/>
    <n v="21985.039599556199"/>
    <n v="1074.98"/>
    <n v="0"/>
  </r>
  <r>
    <n v="652"/>
    <n v="1990"/>
    <x v="16"/>
    <x v="0"/>
    <x v="0"/>
    <x v="16"/>
    <x v="35"/>
    <s v=" Small Universal Pressing Machine Veit Brisay 2068/101"/>
    <x v="1"/>
    <x v="0"/>
    <s v="Шевен 1бр."/>
    <x v="1"/>
    <m/>
    <n v="7052013"/>
    <n v="42999"/>
    <n v="21985.039599556199"/>
    <n v="1074.98"/>
    <n v="0"/>
  </r>
  <r>
    <n v="653"/>
    <n v="1991"/>
    <x v="1"/>
    <x v="0"/>
    <x v="0"/>
    <x v="1"/>
    <x v="63"/>
    <s v="Ironing Table VEIT 126449"/>
    <x v="2"/>
    <x v="2"/>
    <s v="Шевен 2бр."/>
    <x v="1"/>
    <m/>
    <n v="7052013"/>
    <n v="8509"/>
    <n v="4350.5826170986229"/>
    <n v="212.73"/>
    <n v="0"/>
  </r>
  <r>
    <n v="654"/>
    <n v="1992"/>
    <x v="1"/>
    <x v="0"/>
    <x v="0"/>
    <x v="1"/>
    <x v="63"/>
    <s v="Ironing Table VEIT 126449"/>
    <x v="2"/>
    <x v="2"/>
    <s v="Шевен 3бр."/>
    <x v="1"/>
    <m/>
    <n v="7052013"/>
    <n v="8509"/>
    <n v="4350.5826170986229"/>
    <n v="212.73"/>
    <n v="0"/>
  </r>
  <r>
    <n v="655"/>
    <n v="1993"/>
    <x v="1"/>
    <x v="0"/>
    <x v="0"/>
    <x v="1"/>
    <x v="63"/>
    <s v="Ironing Table VEIT 126449"/>
    <x v="2"/>
    <x v="2"/>
    <s v="Склад машини"/>
    <x v="1"/>
    <m/>
    <n v="7052013"/>
    <n v="8509"/>
    <n v="4350.5826170986229"/>
    <n v="212.73"/>
    <n v="0"/>
  </r>
  <r>
    <n v="656"/>
    <n v="1994"/>
    <x v="1"/>
    <x v="0"/>
    <x v="0"/>
    <x v="1"/>
    <x v="63"/>
    <s v="Ironing Table VEIT 126449"/>
    <x v="2"/>
    <x v="2"/>
    <s v="Шевен 3бр."/>
    <x v="1"/>
    <m/>
    <n v="7052013"/>
    <n v="8509"/>
    <n v="4350.5826170986229"/>
    <n v="212.73"/>
    <n v="0"/>
  </r>
  <r>
    <n v="657"/>
    <n v="1995"/>
    <x v="1"/>
    <x v="0"/>
    <x v="0"/>
    <x v="1"/>
    <x v="63"/>
    <s v="Ironing Table VEIT 126449"/>
    <x v="2"/>
    <x v="2"/>
    <s v="Шевен 1бр."/>
    <x v="1"/>
    <m/>
    <n v="7052013"/>
    <n v="8509"/>
    <n v="4350.5826170986229"/>
    <n v="212.73"/>
    <n v="0"/>
  </r>
  <r>
    <n v="658"/>
    <n v="1997"/>
    <x v="1"/>
    <x v="0"/>
    <x v="0"/>
    <x v="1"/>
    <x v="63"/>
    <s v="Ironing Table VEIT 126449"/>
    <x v="2"/>
    <x v="2"/>
    <s v="Шевен 3бр."/>
    <x v="1"/>
    <m/>
    <n v="7052013"/>
    <n v="8509"/>
    <n v="4350.5826170986229"/>
    <n v="212.73"/>
    <n v="0"/>
  </r>
  <r>
    <n v="659"/>
    <n v="1998"/>
    <x v="1"/>
    <x v="0"/>
    <x v="0"/>
    <x v="1"/>
    <x v="63"/>
    <s v="Ironing Table VEIT 126449"/>
    <x v="2"/>
    <x v="2"/>
    <s v="Шевен 1бр."/>
    <x v="1"/>
    <m/>
    <n v="7052013"/>
    <n v="8509"/>
    <n v="4350.5826170986229"/>
    <n v="212.73"/>
    <n v="0"/>
  </r>
  <r>
    <n v="660"/>
    <n v="1999"/>
    <x v="16"/>
    <x v="0"/>
    <x v="0"/>
    <x v="16"/>
    <x v="200"/>
    <s v="Front Pressing Machine (left+ right) BRI1005/101 "/>
    <x v="21"/>
    <x v="0"/>
    <s v="Шевен 1бр."/>
    <x v="1"/>
    <m/>
    <n v="7052013"/>
    <n v="164529"/>
    <n v="84122.341921332627"/>
    <n v="4113.2299999999996"/>
    <n v="0"/>
  </r>
  <r>
    <n v="661"/>
    <n v="2000"/>
    <x v="16"/>
    <x v="0"/>
    <x v="0"/>
    <x v="16"/>
    <x v="201"/>
    <s v="Collar and Lapel Pressing Machine Veit BRI-950E/101 "/>
    <x v="23"/>
    <x v="0"/>
    <s v="Довършителен участък "/>
    <x v="1"/>
    <m/>
    <n v="7052013"/>
    <n v="92799"/>
    <n v="47447.375283127883"/>
    <n v="2319.98"/>
    <n v="0"/>
  </r>
  <r>
    <n v="662"/>
    <n v="2001"/>
    <x v="16"/>
    <x v="0"/>
    <x v="0"/>
    <x v="16"/>
    <x v="202"/>
    <s v="Vertical Jacket Sleeve Finisher / Pressing Machine Veit BRI-890/111"/>
    <x v="88"/>
    <x v="0"/>
    <s v="Склад машини"/>
    <x v="1"/>
    <m/>
    <n v="7052013"/>
    <n v="63399"/>
    <n v="32415.393975959058"/>
    <n v="1584.98"/>
    <n v="0"/>
  </r>
  <r>
    <n v="663"/>
    <n v="2002"/>
    <x v="16"/>
    <x v="0"/>
    <x v="0"/>
    <x v="16"/>
    <x v="203"/>
    <s v="Vertical Jacket Sleeve Finisher / Pressing Machine Veit BRI-890/111"/>
    <x v="89"/>
    <x v="0"/>
    <s v="Довършителен участък "/>
    <x v="1"/>
    <m/>
    <n v="7052013"/>
    <n v="83249"/>
    <n v="42564.537817703997"/>
    <n v="2081.23"/>
    <n v="0"/>
  </r>
  <r>
    <n v="664"/>
    <n v="2003"/>
    <x v="16"/>
    <x v="0"/>
    <x v="0"/>
    <x v="16"/>
    <x v="204"/>
    <s v="Armhole  Seam Pressing Machine (for Jackets) BRI-2065/201 "/>
    <x v="90"/>
    <x v="0"/>
    <s v="Шевен 1бр."/>
    <x v="1"/>
    <m/>
    <n v="7052013"/>
    <n v="42749"/>
    <n v="21857.216629257146"/>
    <n v="1068.73"/>
    <n v="0"/>
  </r>
  <r>
    <n v="665"/>
    <n v="2004"/>
    <x v="16"/>
    <x v="0"/>
    <x v="0"/>
    <x v="16"/>
    <x v="205"/>
    <s v="Trousers Hip / Seat Pressing Machine BRI2390/201"/>
    <x v="19"/>
    <x v="0"/>
    <s v="Руйно- 2 ет."/>
    <x v="2"/>
    <m/>
    <n v="7052013"/>
    <n v="50649"/>
    <n v="25896.422490707271"/>
    <n v="1266.23"/>
    <n v="0"/>
  </r>
  <r>
    <n v="666"/>
    <n v="2005"/>
    <x v="16"/>
    <x v="0"/>
    <x v="0"/>
    <x v="16"/>
    <x v="205"/>
    <s v="Trousers Hip / Seat Pressing Machine BRI2390/201"/>
    <x v="19"/>
    <x v="0"/>
    <s v="Руйно- 2 ет."/>
    <x v="2"/>
    <m/>
    <n v="7052013"/>
    <n v="50649"/>
    <n v="25896.422490707271"/>
    <n v="1266.23"/>
    <n v="0"/>
  </r>
  <r>
    <n v="667"/>
    <n v="2006"/>
    <x v="16"/>
    <x v="0"/>
    <x v="0"/>
    <x v="16"/>
    <x v="206"/>
    <s v="Trousers Leg Pressing Machine BRI-2220/411"/>
    <x v="18"/>
    <x v="0"/>
    <s v="Руйно- 2 ет."/>
    <x v="2"/>
    <m/>
    <n v="7052013"/>
    <n v="137299"/>
    <n v="70199.863996359607"/>
    <n v="3432.48"/>
    <n v="0"/>
  </r>
  <r>
    <n v="668"/>
    <n v="2007"/>
    <x v="16"/>
    <x v="0"/>
    <x v="0"/>
    <x v="16"/>
    <x v="206"/>
    <s v="Trousers Leg Pressing Machine BRI-2220/411"/>
    <x v="18"/>
    <x v="0"/>
    <s v="Руйно- 2 ет."/>
    <x v="2"/>
    <m/>
    <n v="7052013"/>
    <n v="137299"/>
    <n v="70199.863996359607"/>
    <n v="3432.48"/>
    <n v="0"/>
  </r>
  <r>
    <n v="669"/>
    <n v="2008"/>
    <x v="1"/>
    <x v="0"/>
    <x v="0"/>
    <x v="1"/>
    <x v="207"/>
    <s v="Final Ironing Table (Pointed Left Side) VEIT 126442"/>
    <x v="91"/>
    <x v="1"/>
    <s v="Руйно- 2 ет."/>
    <x v="2"/>
    <m/>
    <n v="7052013"/>
    <n v="9099"/>
    <n v="4652.2448270043924"/>
    <n v="227.48"/>
    <n v="0"/>
  </r>
  <r>
    <n v="670"/>
    <n v="2009"/>
    <x v="1"/>
    <x v="0"/>
    <x v="0"/>
    <x v="1"/>
    <x v="51"/>
    <s v="Ironing table Veit 126470"/>
    <x v="46"/>
    <x v="0"/>
    <s v="Склад машини"/>
    <x v="1"/>
    <m/>
    <n v="7052013"/>
    <n v="20049"/>
    <n v="10250.890926102984"/>
    <n v="501.23"/>
    <n v="0"/>
  </r>
  <r>
    <n v="671"/>
    <n v="2010"/>
    <x v="1"/>
    <x v="0"/>
    <x v="0"/>
    <x v="1"/>
    <x v="51"/>
    <s v="Ironing table Veit 126470"/>
    <x v="46"/>
    <x v="0"/>
    <s v="Склад машини"/>
    <x v="1"/>
    <m/>
    <n v="7052013"/>
    <n v="20049"/>
    <n v="10250.890926102984"/>
    <n v="501.23"/>
    <n v="0"/>
  </r>
  <r>
    <n v="672"/>
    <n v="2011"/>
    <x v="1"/>
    <x v="0"/>
    <x v="0"/>
    <x v="1"/>
    <x v="51"/>
    <s v="Ironing table Veit 126470"/>
    <x v="46"/>
    <x v="0"/>
    <s v="Склад машини"/>
    <x v="1"/>
    <m/>
    <n v="7052013"/>
    <n v="20049"/>
    <n v="10250.890926102984"/>
    <n v="501.23"/>
    <n v="0"/>
  </r>
  <r>
    <n v="673"/>
    <n v="2012"/>
    <x v="1"/>
    <x v="0"/>
    <x v="0"/>
    <x v="1"/>
    <x v="208"/>
    <s v="Ironing Table (with Suction and Blowing) VEIT Uniset DOB S+B 126442"/>
    <x v="1"/>
    <x v="1"/>
    <s v="Руйно-1 ет."/>
    <x v="2"/>
    <m/>
    <n v="7052013"/>
    <n v="9099"/>
    <n v="4652.2448270043924"/>
    <n v="227.48"/>
    <n v="0"/>
  </r>
  <r>
    <n v="674"/>
    <n v="2013"/>
    <x v="1"/>
    <x v="0"/>
    <x v="0"/>
    <x v="1"/>
    <x v="51"/>
    <s v="Ironing table Veit 126470"/>
    <x v="46"/>
    <x v="0"/>
    <s v="Склад машини"/>
    <x v="1"/>
    <m/>
    <n v="7052013"/>
    <n v="20049"/>
    <n v="10250.890926102984"/>
    <n v="501.23"/>
    <n v="0"/>
  </r>
  <r>
    <n v="675"/>
    <n v="2014"/>
    <x v="1"/>
    <x v="0"/>
    <x v="0"/>
    <x v="1"/>
    <x v="51"/>
    <s v="Ironing table Veit 126470"/>
    <x v="46"/>
    <x v="0"/>
    <s v="Склад машини"/>
    <x v="1"/>
    <m/>
    <n v="7052013"/>
    <n v="20049"/>
    <n v="10250.890926102984"/>
    <n v="501.23"/>
    <n v="0"/>
  </r>
  <r>
    <n v="676"/>
    <n v="2015"/>
    <x v="1"/>
    <x v="0"/>
    <x v="0"/>
    <x v="1"/>
    <x v="51"/>
    <s v="Ironing table Veit 126470"/>
    <x v="46"/>
    <x v="0"/>
    <s v="Склад машини"/>
    <x v="1"/>
    <m/>
    <n v="7052013"/>
    <n v="20049"/>
    <n v="10250.890926102984"/>
    <n v="501.23"/>
    <n v="0"/>
  </r>
  <r>
    <n v="677"/>
    <n v="2016"/>
    <x v="1"/>
    <x v="0"/>
    <x v="0"/>
    <x v="1"/>
    <x v="209"/>
    <s v="Seam Opening ironing table for Trousers Legs VEIT 126459"/>
    <x v="20"/>
    <x v="0"/>
    <s v="Руйно- 2 ет."/>
    <x v="2"/>
    <m/>
    <n v="7052013"/>
    <n v="14379"/>
    <n v="7351.865959720426"/>
    <n v="359.48"/>
    <n v="0"/>
  </r>
  <r>
    <n v="678"/>
    <n v="2017"/>
    <x v="1"/>
    <x v="0"/>
    <x v="0"/>
    <x v="1"/>
    <x v="103"/>
    <s v="Universal Ironing Table for Skirts, Dresses, and Trousers Veit 124184"/>
    <x v="4"/>
    <x v="29"/>
    <s v="Руйно"/>
    <x v="2"/>
    <m/>
    <n v="7052013"/>
    <n v="12429"/>
    <n v="6354.8467913877994"/>
    <n v="310.73"/>
    <n v="0"/>
  </r>
  <r>
    <n v="679"/>
    <n v="10001"/>
    <x v="3"/>
    <x v="2"/>
    <x v="2"/>
    <x v="3"/>
    <x v="210"/>
    <s v="Single-needle lockstitch machine Durkopp 271"/>
    <x v="4"/>
    <x v="0"/>
    <s v="Руйно-1 ет."/>
    <x v="2"/>
    <m/>
    <n v="20052010"/>
    <n v="2599.3000000000002"/>
    <n v="1329.0009867933309"/>
    <n v="64.98"/>
    <n v="0"/>
  </r>
  <r>
    <n v="680"/>
    <n v="10007"/>
    <x v="3"/>
    <x v="2"/>
    <x v="2"/>
    <x v="3"/>
    <x v="210"/>
    <s v="Single - needle lockstitch machine  Durkopp 271"/>
    <x v="4"/>
    <x v="0"/>
    <s v="Руйно- 2 ет."/>
    <x v="2"/>
    <m/>
    <n v="12042011"/>
    <n v="2444.79"/>
    <n v="1250.0012782297031"/>
    <n v="61.12"/>
    <n v="0"/>
  </r>
  <r>
    <n v="681"/>
    <n v="10008"/>
    <x v="3"/>
    <x v="2"/>
    <x v="2"/>
    <x v="3"/>
    <x v="210"/>
    <s v="Single - needle lockstitch machine  Durkopp 271"/>
    <x v="4"/>
    <x v="0"/>
    <s v="Склад машини"/>
    <x v="1"/>
    <m/>
    <n v="12042011"/>
    <n v="2444.79"/>
    <n v="1250.0012782297031"/>
    <n v="61.12"/>
    <n v="0"/>
  </r>
  <r>
    <n v="682"/>
    <n v="10009"/>
    <x v="3"/>
    <x v="2"/>
    <x v="2"/>
    <x v="3"/>
    <x v="210"/>
    <s v="Single - needle lockstitch machine  Durkopp 271"/>
    <x v="4"/>
    <x v="0"/>
    <s v="Руйно- 2 ет."/>
    <x v="2"/>
    <m/>
    <n v="12042011"/>
    <n v="2444.79"/>
    <n v="1250.0012782297031"/>
    <n v="61.12"/>
    <n v="0"/>
  </r>
  <r>
    <n v="683"/>
    <n v="10010"/>
    <x v="3"/>
    <x v="2"/>
    <x v="2"/>
    <x v="3"/>
    <x v="210"/>
    <s v="Single - needle lockstitch machine  Durkopp 271"/>
    <x v="4"/>
    <x v="0"/>
    <s v="Руйно- 2 ет."/>
    <x v="2"/>
    <m/>
    <n v="12042011"/>
    <n v="2444.79"/>
    <n v="1250.0012782297031"/>
    <n v="61.12"/>
    <n v="0"/>
  </r>
  <r>
    <n v="684"/>
    <n v="10011"/>
    <x v="3"/>
    <x v="2"/>
    <x v="2"/>
    <x v="3"/>
    <x v="210"/>
    <s v="Single - needle lockstitch machine  Durkopp 271"/>
    <x v="4"/>
    <x v="0"/>
    <s v="Склад машини"/>
    <x v="1"/>
    <m/>
    <n v="12042011"/>
    <n v="2444.79"/>
    <n v="1250.0012782297031"/>
    <n v="61.12"/>
    <n v="0"/>
  </r>
  <r>
    <n v="685"/>
    <n v="10012"/>
    <x v="3"/>
    <x v="2"/>
    <x v="2"/>
    <x v="3"/>
    <x v="210"/>
    <s v="Single - needle lockstitch machine  Durkopp 271"/>
    <x v="4"/>
    <x v="0"/>
    <s v="Руйно-1 ет."/>
    <x v="2"/>
    <m/>
    <n v="12042011"/>
    <n v="2444.79"/>
    <n v="1250.0012782297031"/>
    <n v="61.12"/>
    <n v="0"/>
  </r>
  <r>
    <n v="686"/>
    <n v="10013"/>
    <x v="3"/>
    <x v="2"/>
    <x v="2"/>
    <x v="3"/>
    <x v="210"/>
    <s v="Single - needle lockstitch machine  Durkopp 271"/>
    <x v="4"/>
    <x v="0"/>
    <s v="Руйно-1 ет."/>
    <x v="2"/>
    <m/>
    <n v="12042011"/>
    <n v="2444.79"/>
    <n v="1250.0012782297031"/>
    <n v="61.12"/>
    <n v="0"/>
  </r>
  <r>
    <n v="687"/>
    <n v="10014"/>
    <x v="1"/>
    <x v="0"/>
    <x v="0"/>
    <x v="1"/>
    <x v="211"/>
    <s v="Ironing table Veit S1425520030"/>
    <x v="1"/>
    <x v="5"/>
    <s v="Склад машини"/>
    <x v="1"/>
    <m/>
    <n v="31032011"/>
    <n v="6027.12"/>
    <n v="3081.6175229953524"/>
    <n v="150.68"/>
    <n v="0"/>
  </r>
  <r>
    <n v="688"/>
    <n v="10015"/>
    <x v="1"/>
    <x v="0"/>
    <x v="0"/>
    <x v="1"/>
    <x v="211"/>
    <s v="Ironing table Veit S1425520030"/>
    <x v="1"/>
    <x v="5"/>
    <s v="Руйно-1 ет."/>
    <x v="2"/>
    <m/>
    <n v="31032011"/>
    <n v="6027.13"/>
    <n v="3081.6226359141642"/>
    <n v="150.68"/>
    <n v="0"/>
  </r>
  <r>
    <n v="689"/>
    <n v="10017"/>
    <x v="0"/>
    <x v="0"/>
    <x v="0"/>
    <x v="0"/>
    <x v="0"/>
    <s v="Steam Generator / Boiler"/>
    <x v="0"/>
    <x v="0"/>
    <s v="Склад машини"/>
    <x v="1"/>
    <m/>
    <n v="31032011"/>
    <n v="3520.49"/>
    <n v="1799.9979548324752"/>
    <n v="88.01"/>
    <n v="0"/>
  </r>
  <r>
    <n v="690"/>
    <n v="10018"/>
    <x v="3"/>
    <x v="2"/>
    <x v="2"/>
    <x v="3"/>
    <x v="13"/>
    <s v="1-needle lockstitch machine Dürkopp 275"/>
    <x v="4"/>
    <x v="36"/>
    <s v="Руйно-1 ет."/>
    <x v="2"/>
    <m/>
    <n v="31032011"/>
    <n v="6443.5"/>
    <n v="3294.5092364878337"/>
    <n v="161.09"/>
    <n v="0"/>
  </r>
  <r>
    <n v="691"/>
    <n v="10019"/>
    <x v="3"/>
    <x v="2"/>
    <x v="2"/>
    <x v="3"/>
    <x v="212"/>
    <s v="1-needle lockstitch machine Dürkopp 275"/>
    <x v="4"/>
    <x v="30"/>
    <s v="Склад машини"/>
    <x v="2"/>
    <m/>
    <n v="31032011"/>
    <n v="7109.44"/>
    <n v="3634.9989518516436"/>
    <n v="177.74"/>
    <n v="0"/>
  </r>
  <r>
    <n v="692"/>
    <n v="10020"/>
    <x v="22"/>
    <x v="1"/>
    <x v="1"/>
    <x v="22"/>
    <x v="199"/>
    <s v="Chainstitch sewing machine Durkopp 176"/>
    <x v="29"/>
    <x v="35"/>
    <s v="Склад машини"/>
    <x v="1"/>
    <m/>
    <n v="20012011"/>
    <n v="12830"/>
    <n v="6559.8748357474833"/>
    <n v="0"/>
    <n v="0"/>
  </r>
  <r>
    <n v="693"/>
    <n v="10021"/>
    <x v="22"/>
    <x v="1"/>
    <x v="1"/>
    <x v="22"/>
    <x v="213"/>
    <s v="Chainstitch sewing machine Durkopp 175"/>
    <x v="29"/>
    <x v="35"/>
    <s v="Склад машини"/>
    <x v="1"/>
    <m/>
    <n v="20012011"/>
    <n v="11735"/>
    <n v="6000.0102258376237"/>
    <n v="0"/>
    <n v="0"/>
  </r>
  <r>
    <n v="694"/>
    <n v="10022"/>
    <x v="1"/>
    <x v="0"/>
    <x v="0"/>
    <x v="1"/>
    <x v="214"/>
    <s v="Trouser Seam Ironing Table Veit UNISET Turbo S"/>
    <x v="92"/>
    <x v="0"/>
    <s v="Шевен 3бр."/>
    <x v="1"/>
    <m/>
    <n v="20012011"/>
    <n v="10159"/>
    <n v="5194.2142210723841"/>
    <n v="0"/>
    <n v="0"/>
  </r>
  <r>
    <n v="695"/>
    <n v="10023"/>
    <x v="1"/>
    <x v="0"/>
    <x v="0"/>
    <x v="1"/>
    <x v="215"/>
    <s v="Veit BRI 170/101 Sleeve Seam Ironing Table"/>
    <x v="45"/>
    <x v="48"/>
    <s v="Шевен 2бр."/>
    <x v="1"/>
    <m/>
    <n v="20012011"/>
    <n v="22903"/>
    <n v="11710.117955036992"/>
    <n v="0"/>
    <n v="0"/>
  </r>
  <r>
    <n v="696"/>
    <n v="10024"/>
    <x v="5"/>
    <x v="1"/>
    <x v="1"/>
    <x v="5"/>
    <x v="197"/>
    <s v="Electronic Buttonhole Machine Dürkopp Adler Multiflex 580-312 "/>
    <x v="5"/>
    <x v="19"/>
    <s v="Шевен 3бр."/>
    <x v="1"/>
    <m/>
    <n v="20012011"/>
    <n v="33249"/>
    <n v="16999.94375789307"/>
    <n v="0"/>
    <n v="0"/>
  </r>
  <r>
    <n v="697"/>
    <n v="10025"/>
    <x v="10"/>
    <x v="2"/>
    <x v="2"/>
    <x v="10"/>
    <x v="216"/>
    <s v="1 - needle 3 thread overlock  PEGASUS 0271 360"/>
    <x v="44"/>
    <x v="28"/>
    <s v="Шевен 3бр."/>
    <x v="1"/>
    <m/>
    <n v="31032011"/>
    <n v="3129.33"/>
    <n v="1600.0010225837623"/>
    <n v="78.23"/>
    <n v="0"/>
  </r>
  <r>
    <n v="698"/>
    <n v="10026"/>
    <x v="3"/>
    <x v="2"/>
    <x v="2"/>
    <x v="3"/>
    <x v="118"/>
    <s v="1-needle lockstitch machine Dürkopp "/>
    <x v="93"/>
    <x v="13"/>
    <s v="Шевен 2бр."/>
    <x v="1"/>
    <m/>
    <n v="26042010"/>
    <n v="8977.26"/>
    <n v="4590.0001533875648"/>
    <n v="0"/>
    <n v="0"/>
  </r>
  <r>
    <n v="699"/>
    <n v="10027"/>
    <x v="3"/>
    <x v="2"/>
    <x v="2"/>
    <x v="3"/>
    <x v="118"/>
    <s v="1-needle lockstitch machine Dürkopp "/>
    <x v="93"/>
    <x v="13"/>
    <s v="Шевен 3бр."/>
    <x v="1"/>
    <m/>
    <n v="26042010"/>
    <n v="8977.26"/>
    <n v="4590.0001533875648"/>
    <n v="0"/>
    <n v="0"/>
  </r>
  <r>
    <n v="700"/>
    <n v="10031"/>
    <x v="29"/>
    <x v="2"/>
    <x v="2"/>
    <x v="29"/>
    <x v="217"/>
    <s v="Band Knife Cutting Machine Kuris 492 KR"/>
    <x v="4"/>
    <x v="0"/>
    <s v="Кроялен участък"/>
    <x v="3"/>
    <m/>
    <n v="31032011"/>
    <n v="17172.189999999999"/>
    <n v="8780.0013293588909"/>
    <n v="429.3"/>
    <n v="0"/>
  </r>
  <r>
    <n v="701"/>
    <n v="10032"/>
    <x v="1"/>
    <x v="0"/>
    <x v="0"/>
    <x v="1"/>
    <x v="218"/>
    <s v="Ironing table VEIT UNISET S  "/>
    <x v="2"/>
    <x v="2"/>
    <s v="Шевен 1бр."/>
    <x v="1"/>
    <m/>
    <n v="26042010"/>
    <n v="5705"/>
    <n v="2916.9201822244263"/>
    <n v="0"/>
    <n v="0"/>
  </r>
  <r>
    <n v="702"/>
    <n v="10033"/>
    <x v="1"/>
    <x v="0"/>
    <x v="0"/>
    <x v="1"/>
    <x v="219"/>
    <s v="Ironing table VEIT UNISET S 4433 "/>
    <x v="2"/>
    <x v="2"/>
    <s v="Шевен 1бр."/>
    <x v="1"/>
    <m/>
    <n v="26042010"/>
    <n v="5705"/>
    <n v="2916.9201822244263"/>
    <n v="0"/>
    <n v="0"/>
  </r>
  <r>
    <n v="703"/>
    <n v="10034"/>
    <x v="1"/>
    <x v="0"/>
    <x v="0"/>
    <x v="1"/>
    <x v="51"/>
    <s v="Ironing table VEIT 126470"/>
    <x v="46"/>
    <x v="0"/>
    <s v="Склад машини"/>
    <x v="1"/>
    <m/>
    <n v="26042010"/>
    <n v="5705"/>
    <n v="2916.9201822244263"/>
    <n v="0"/>
    <n v="0"/>
  </r>
  <r>
    <n v="704"/>
    <n v="10040"/>
    <x v="1"/>
    <x v="0"/>
    <x v="0"/>
    <x v="1"/>
    <x v="220"/>
    <s v="Ironing table VEIT UNISET S TURBO S1443520030"/>
    <x v="2"/>
    <x v="5"/>
    <s v="Руйно-1 ет."/>
    <x v="2"/>
    <m/>
    <n v="31032011"/>
    <n v="3892.1"/>
    <n v="1989.999130803802"/>
    <n v="97.3"/>
    <n v="0"/>
  </r>
  <r>
    <n v="705"/>
    <n v="10041"/>
    <x v="1"/>
    <x v="0"/>
    <x v="0"/>
    <x v="1"/>
    <x v="220"/>
    <s v="Ironing table VEIT UNISET S TURBO S1443520030"/>
    <x v="2"/>
    <x v="5"/>
    <s v="Руйно- 2 ет."/>
    <x v="2"/>
    <m/>
    <n v="31032011"/>
    <n v="3892.1"/>
    <n v="1989.999130803802"/>
    <n v="97.3"/>
    <n v="0"/>
  </r>
  <r>
    <n v="706"/>
    <n v="10042"/>
    <x v="3"/>
    <x v="2"/>
    <x v="2"/>
    <x v="3"/>
    <x v="13"/>
    <s v="Едноиглова права машина  Durkopp 275"/>
    <x v="9"/>
    <x v="49"/>
    <s v="Руйно- 2 ет."/>
    <x v="2"/>
    <m/>
    <n v="31032011"/>
    <n v="5182.95"/>
    <n v="2650.0002556459403"/>
    <n v="129.57"/>
    <n v="0"/>
  </r>
  <r>
    <n v="707"/>
    <n v="10043"/>
    <x v="22"/>
    <x v="1"/>
    <x v="1"/>
    <x v="22"/>
    <x v="60"/>
    <s v="Верижна машина Durkopp 173"/>
    <x v="29"/>
    <x v="20"/>
    <s v="Руйно- 2 ет."/>
    <x v="2"/>
    <m/>
    <n v="31032011"/>
    <n v="7138.78"/>
    <n v="3650.0002556459403"/>
    <n v="178.47"/>
    <n v="0"/>
  </r>
  <r>
    <n v="708"/>
    <n v="10044"/>
    <x v="3"/>
    <x v="2"/>
    <x v="2"/>
    <x v="3"/>
    <x v="118"/>
    <s v="1-needle lockstitch machine  Durkopp 272"/>
    <x v="9"/>
    <x v="50"/>
    <s v="Руйно-1 ет."/>
    <x v="2"/>
    <m/>
    <n v="31032011"/>
    <n v="5182.95"/>
    <n v="2650.0002556459403"/>
    <n v="129.57"/>
    <n v="0"/>
  </r>
  <r>
    <n v="709"/>
    <n v="10045"/>
    <x v="3"/>
    <x v="2"/>
    <x v="2"/>
    <x v="3"/>
    <x v="13"/>
    <s v="1-needle lockstitch machine  Durkopp"/>
    <x v="4"/>
    <x v="36"/>
    <s v="Руйно-1 ет."/>
    <x v="2"/>
    <m/>
    <n v="31032011"/>
    <n v="11030.88"/>
    <n v="5639.9993864497419"/>
    <n v="275.77"/>
    <n v="0"/>
  </r>
  <r>
    <n v="710"/>
    <n v="10046"/>
    <x v="22"/>
    <x v="1"/>
    <x v="1"/>
    <x v="22"/>
    <x v="199"/>
    <s v="Chainstitch machine Durkopp 176"/>
    <x v="29"/>
    <x v="35"/>
    <s v="Руйно-1 ет."/>
    <x v="2"/>
    <m/>
    <n v="26042010"/>
    <n v="12830"/>
    <n v="6559.8748357474833"/>
    <n v="0"/>
    <n v="0"/>
  </r>
  <r>
    <n v="711"/>
    <n v="10047"/>
    <x v="22"/>
    <x v="1"/>
    <x v="1"/>
    <x v="22"/>
    <x v="199"/>
    <s v="Chainstitch machine Durkopp 176"/>
    <x v="29"/>
    <x v="35"/>
    <s v="Руйно-1 ет."/>
    <x v="2"/>
    <m/>
    <n v="31032011"/>
    <n v="12830.24"/>
    <n v="6559.9975457989704"/>
    <n v="320.76"/>
    <n v="0"/>
  </r>
  <r>
    <n v="712"/>
    <n v="10048"/>
    <x v="3"/>
    <x v="2"/>
    <x v="2"/>
    <x v="3"/>
    <x v="13"/>
    <s v="1-needle lockstitch machine Durkopp 275"/>
    <x v="4"/>
    <x v="36"/>
    <s v="Руйно-1 ет."/>
    <x v="2"/>
    <m/>
    <n v="31032011"/>
    <n v="6063.07"/>
    <n v="3099.9984661243561"/>
    <n v="151.58000000000001"/>
    <n v="0"/>
  </r>
  <r>
    <n v="713"/>
    <n v="10049"/>
    <x v="1"/>
    <x v="0"/>
    <x v="0"/>
    <x v="1"/>
    <x v="221"/>
    <s v="Ironing table VEIT UNISET DOB S+B"/>
    <x v="1"/>
    <x v="1"/>
    <s v="Руйно-1 ет."/>
    <x v="2"/>
    <m/>
    <n v="31032011"/>
    <n v="4791.78"/>
    <n v="2449.9982104784158"/>
    <n v="119.79"/>
    <n v="0"/>
  </r>
  <r>
    <n v="714"/>
    <n v="10050"/>
    <x v="1"/>
    <x v="0"/>
    <x v="0"/>
    <x v="1"/>
    <x v="221"/>
    <s v="Ironing table VEIT UNISET DOB S+B"/>
    <x v="1"/>
    <x v="1"/>
    <s v="Руйно-1 ет."/>
    <x v="2"/>
    <m/>
    <n v="31032011"/>
    <n v="4791.78"/>
    <n v="2449.9982104784158"/>
    <n v="119.79"/>
    <n v="0"/>
  </r>
  <r>
    <n v="715"/>
    <n v="10051"/>
    <x v="1"/>
    <x v="0"/>
    <x v="0"/>
    <x v="1"/>
    <x v="221"/>
    <s v="Ironing table VEIT UNISET DOB S+B"/>
    <x v="1"/>
    <x v="1"/>
    <s v="Руйно-1 ет."/>
    <x v="2"/>
    <m/>
    <n v="31032011"/>
    <n v="4791.78"/>
    <n v="2449.9982104784158"/>
    <n v="119.79"/>
    <n v="0"/>
  </r>
  <r>
    <n v="716"/>
    <n v="10052"/>
    <x v="1"/>
    <x v="0"/>
    <x v="0"/>
    <x v="1"/>
    <x v="221"/>
    <s v="Ironing table VEIT UNISET DOB S+B"/>
    <x v="1"/>
    <x v="1"/>
    <s v="Руйно- 2 ет."/>
    <x v="2"/>
    <m/>
    <n v="31032011"/>
    <n v="4791.78"/>
    <n v="2449.9982104784158"/>
    <n v="119.79"/>
    <n v="0"/>
  </r>
  <r>
    <n v="717"/>
    <n v="10053"/>
    <x v="1"/>
    <x v="0"/>
    <x v="0"/>
    <x v="1"/>
    <x v="221"/>
    <s v="Ironing table VEIT UNISET DOB S+B"/>
    <x v="1"/>
    <x v="1"/>
    <s v="Руйно-1 ет."/>
    <x v="2"/>
    <m/>
    <n v="31032011"/>
    <n v="4791.78"/>
    <n v="2449.9982104784158"/>
    <n v="119.79"/>
    <n v="0"/>
  </r>
  <r>
    <n v="718"/>
    <n v="10054"/>
    <x v="0"/>
    <x v="0"/>
    <x v="0"/>
    <x v="0"/>
    <x v="0"/>
    <s v="Steam generator VEIT 2365"/>
    <x v="0"/>
    <x v="0"/>
    <s v="Шевен участък"/>
    <x v="1"/>
    <m/>
    <n v="31032011"/>
    <n v="3520.49"/>
    <n v="1799.9979548324752"/>
    <n v="88.01"/>
    <n v="0"/>
  </r>
  <r>
    <n v="719"/>
    <n v="10055"/>
    <x v="0"/>
    <x v="0"/>
    <x v="0"/>
    <x v="0"/>
    <x v="0"/>
    <s v="Steam generator VEIT 2365"/>
    <x v="0"/>
    <x v="0"/>
    <s v="Руйно- 2 ет."/>
    <x v="2"/>
    <m/>
    <n v="31032011"/>
    <n v="3520.49"/>
    <n v="1799.9979548324752"/>
    <n v="88.01"/>
    <n v="0"/>
  </r>
  <r>
    <n v="720"/>
    <n v="10056"/>
    <x v="0"/>
    <x v="0"/>
    <x v="0"/>
    <x v="0"/>
    <x v="0"/>
    <s v="Steam generator VEIT 2365"/>
    <x v="0"/>
    <x v="0"/>
    <s v="Руйно-1 ет."/>
    <x v="2"/>
    <m/>
    <n v="31032011"/>
    <n v="3520.49"/>
    <n v="1799.9979548324752"/>
    <n v="88.01"/>
    <n v="0"/>
  </r>
  <r>
    <n v="721"/>
    <n v="10057"/>
    <x v="0"/>
    <x v="0"/>
    <x v="0"/>
    <x v="0"/>
    <x v="0"/>
    <s v="Steam generator VEIT 2365"/>
    <x v="0"/>
    <x v="0"/>
    <s v="Склад машини"/>
    <x v="1"/>
    <m/>
    <n v="31032011"/>
    <n v="3520.49"/>
    <n v="1799.9979548324752"/>
    <n v="88.01"/>
    <n v="0"/>
  </r>
  <r>
    <n v="722"/>
    <n v="10058"/>
    <x v="0"/>
    <x v="0"/>
    <x v="0"/>
    <x v="0"/>
    <x v="0"/>
    <s v="Steam generator VEIT 2365"/>
    <x v="0"/>
    <x v="0"/>
    <s v="Руйно-1 ет."/>
    <x v="2"/>
    <m/>
    <n v="31032011"/>
    <n v="3520.49"/>
    <n v="1799.9979548324752"/>
    <n v="88.01"/>
    <n v="0"/>
  </r>
  <r>
    <n v="723"/>
    <n v="10059"/>
    <x v="0"/>
    <x v="0"/>
    <x v="0"/>
    <x v="0"/>
    <x v="0"/>
    <s v="Steam generator VEIT 2365"/>
    <x v="0"/>
    <x v="0"/>
    <s v="Склад машини"/>
    <x v="1"/>
    <m/>
    <n v="31032011"/>
    <n v="3520.49"/>
    <n v="1799.9979548324752"/>
    <n v="88.01"/>
    <n v="0"/>
  </r>
  <r>
    <n v="724"/>
    <n v="10060"/>
    <x v="0"/>
    <x v="0"/>
    <x v="0"/>
    <x v="0"/>
    <x v="0"/>
    <s v="Steam generator VEIT 2365"/>
    <x v="0"/>
    <x v="0"/>
    <s v="мострена бригада"/>
    <x v="0"/>
    <m/>
    <n v="31032011"/>
    <n v="3520.49"/>
    <n v="1799.9979548324752"/>
    <n v="88.01"/>
    <n v="0"/>
  </r>
  <r>
    <n v="725"/>
    <n v="10061"/>
    <x v="1"/>
    <x v="0"/>
    <x v="0"/>
    <x v="1"/>
    <x v="214"/>
    <s v="Trouser Seam Ironing Table Veit UNISET Turbo S"/>
    <x v="92"/>
    <x v="0"/>
    <s v="Шевен 1бр."/>
    <x v="1"/>
    <m/>
    <n v="31032011"/>
    <n v="11539.4"/>
    <n v="5900.0015338756439"/>
    <n v="288.49"/>
    <n v="0"/>
  </r>
  <r>
    <n v="726"/>
    <n v="10071"/>
    <x v="19"/>
    <x v="1"/>
    <x v="1"/>
    <x v="19"/>
    <x v="222"/>
    <s v="Welt pocket automatic machine Durkopp"/>
    <x v="4"/>
    <x v="47"/>
    <s v="Склад машини"/>
    <x v="1"/>
    <m/>
    <n v="14022011"/>
    <n v="37748"/>
    <n v="19300.245931394857"/>
    <n v="0"/>
    <n v="0"/>
  </r>
  <r>
    <n v="727"/>
    <n v="10072"/>
    <x v="22"/>
    <x v="1"/>
    <x v="1"/>
    <x v="22"/>
    <x v="223"/>
    <s v="Chainstitch machine  Durkopp 171"/>
    <x v="94"/>
    <x v="51"/>
    <s v="Склад машини"/>
    <x v="1"/>
    <m/>
    <n v="27052011"/>
    <n v="7041"/>
    <n v="3600.0061355025746"/>
    <n v="0"/>
    <n v="0"/>
  </r>
  <r>
    <n v="728"/>
    <n v="10073"/>
    <x v="3"/>
    <x v="2"/>
    <x v="2"/>
    <x v="3"/>
    <x v="70"/>
    <s v="1- needle lockstitch machine Brother S7200"/>
    <x v="4"/>
    <x v="0"/>
    <s v="Склад машини"/>
    <x v="1"/>
    <m/>
    <m/>
    <n v="2366.5500000000002"/>
    <n v="1209.9978014449109"/>
    <n v="0"/>
    <n v="0"/>
  </r>
  <r>
    <n v="729"/>
    <n v="10074"/>
    <x v="1"/>
    <x v="0"/>
    <x v="0"/>
    <x v="1"/>
    <x v="224"/>
    <s v="Trouser Seam Ironing Table VEITUNISET VEIT CN "/>
    <x v="20"/>
    <x v="0"/>
    <s v="Руйно- 2 ет."/>
    <x v="2"/>
    <m/>
    <n v="27052011"/>
    <n v="7237"/>
    <n v="3700.2193442170333"/>
    <n v="0"/>
    <n v="0"/>
  </r>
  <r>
    <n v="730"/>
    <n v="10075"/>
    <x v="1"/>
    <x v="0"/>
    <x v="0"/>
    <x v="1"/>
    <x v="225"/>
    <s v="Ironing table VEIT UNISET S "/>
    <x v="2"/>
    <x v="2"/>
    <s v="Шевен 3бр."/>
    <x v="1"/>
    <m/>
    <n v="27052011"/>
    <n v="5672"/>
    <n v="2900.0475501449514"/>
    <n v="0"/>
    <n v="0"/>
  </r>
  <r>
    <n v="731"/>
    <n v="10076"/>
    <x v="3"/>
    <x v="2"/>
    <x v="2"/>
    <x v="3"/>
    <x v="13"/>
    <s v="1-needle lockstitch machine Dürkopp 275"/>
    <x v="9"/>
    <x v="7"/>
    <s v="Руйно-1 ет."/>
    <x v="2"/>
    <m/>
    <n v="27052011"/>
    <n v="17584.5"/>
    <n v="8990.8120848949038"/>
    <n v="0"/>
    <n v="0"/>
  </r>
  <r>
    <n v="732"/>
    <n v="10077"/>
    <x v="3"/>
    <x v="2"/>
    <x v="2"/>
    <x v="3"/>
    <x v="13"/>
    <s v="1-needle lockstitch machine Dürkopp 275"/>
    <x v="4"/>
    <x v="36"/>
    <s v="Шевен 1бр."/>
    <x v="1"/>
    <m/>
    <n v="27052011"/>
    <n v="9566.56"/>
    <n v="4891.3044589764959"/>
    <n v="0"/>
    <n v="0"/>
  </r>
  <r>
    <n v="733"/>
    <n v="10078"/>
    <x v="2"/>
    <x v="1"/>
    <x v="1"/>
    <x v="2"/>
    <x v="226"/>
    <s v="Blindstitch Machine MAYER UNITAS 352-12"/>
    <x v="13"/>
    <x v="9"/>
    <s v="Склад машини"/>
    <x v="1"/>
    <m/>
    <n v="27052011"/>
    <n v="8801"/>
    <n v="4499.8798464079191"/>
    <n v="0"/>
    <n v="0"/>
  </r>
  <r>
    <n v="734"/>
    <n v="10079"/>
    <x v="8"/>
    <x v="1"/>
    <x v="1"/>
    <x v="8"/>
    <x v="48"/>
    <s v="Bartack machine Durkopp Adler 512-211"/>
    <x v="4"/>
    <x v="0"/>
    <s v="Склад машини"/>
    <x v="1"/>
    <m/>
    <n v="27052011"/>
    <n v="6611"/>
    <n v="3380.1506265882003"/>
    <n v="0"/>
    <n v="0"/>
  </r>
  <r>
    <n v="735"/>
    <n v="10080"/>
    <x v="1"/>
    <x v="0"/>
    <x v="0"/>
    <x v="1"/>
    <x v="219"/>
    <s v="Ironing table VEIT UNISET S 4433"/>
    <x v="2"/>
    <x v="2"/>
    <s v="Шевен 1бр."/>
    <x v="1"/>
    <m/>
    <n v="27052011"/>
    <n v="5672"/>
    <n v="2900.0475501449514"/>
    <n v="0"/>
    <n v="0"/>
  </r>
  <r>
    <n v="736"/>
    <n v="10081"/>
    <x v="1"/>
    <x v="0"/>
    <x v="0"/>
    <x v="1"/>
    <x v="2"/>
    <s v="Ironing tableVeit Uniset S"/>
    <x v="2"/>
    <x v="2"/>
    <s v="Шевен 1бр."/>
    <x v="1"/>
    <m/>
    <n v="27052011"/>
    <n v="5672"/>
    <n v="2900.0475501449514"/>
    <n v="0"/>
    <n v="0"/>
  </r>
  <r>
    <n v="737"/>
    <n v="10082"/>
    <x v="3"/>
    <x v="2"/>
    <x v="2"/>
    <x v="3"/>
    <x v="13"/>
    <s v="1-needle lockstitch machine Dürkopp 275"/>
    <x v="4"/>
    <x v="36"/>
    <s v="Руйно-1 ет."/>
    <x v="2"/>
    <m/>
    <n v="27052011"/>
    <n v="9566.56"/>
    <n v="4891.3044589764959"/>
    <n v="0"/>
    <n v="0"/>
  </r>
  <r>
    <n v="738"/>
    <n v="10083"/>
    <x v="1"/>
    <x v="0"/>
    <x v="0"/>
    <x v="1"/>
    <x v="227"/>
    <s v="Ironing tableVeit Uniset S"/>
    <x v="2"/>
    <x v="2"/>
    <s v="Шевен 3бр."/>
    <x v="1"/>
    <m/>
    <n v="27052011"/>
    <n v="5672"/>
    <n v="2900.0475501449514"/>
    <n v="0"/>
    <n v="0"/>
  </r>
  <r>
    <n v="739"/>
    <n v="10084"/>
    <x v="42"/>
    <x v="1"/>
    <x v="1"/>
    <x v="42"/>
    <x v="198"/>
    <s v="Pad attachment machine (wadding)  Durkopp 697-15155"/>
    <x v="4"/>
    <x v="0"/>
    <s v="Шевен 2бр."/>
    <x v="1"/>
    <m/>
    <n v="27052011"/>
    <n v="19363"/>
    <n v="9900.1446956023792"/>
    <n v="0"/>
    <n v="0"/>
  </r>
  <r>
    <n v="740"/>
    <n v="10085"/>
    <x v="42"/>
    <x v="1"/>
    <x v="1"/>
    <x v="42"/>
    <x v="198"/>
    <s v="Pad attachment machine (wadding)  Durkopp 697-15155"/>
    <x v="4"/>
    <x v="0"/>
    <s v="мострена бригада"/>
    <x v="2"/>
    <m/>
    <n v="27052011"/>
    <n v="19363"/>
    <n v="9900.1446956023792"/>
    <n v="0"/>
    <n v="0"/>
  </r>
  <r>
    <n v="741"/>
    <n v="10086"/>
    <x v="3"/>
    <x v="2"/>
    <x v="2"/>
    <x v="3"/>
    <x v="212"/>
    <s v="Single-Needle Lockstitch Machine Durkopp 274"/>
    <x v="4"/>
    <x v="30"/>
    <s v="Склад машини"/>
    <x v="2"/>
    <m/>
    <n v="27052011"/>
    <n v="7109.44"/>
    <n v="3634.9989518516436"/>
    <n v="0"/>
    <n v="0"/>
  </r>
  <r>
    <n v="742"/>
    <n v="10087"/>
    <x v="3"/>
    <x v="2"/>
    <x v="2"/>
    <x v="3"/>
    <x v="212"/>
    <s v="Single-Needle Lockstitch Machine Durkopp 274"/>
    <x v="4"/>
    <x v="30"/>
    <s v="Склад машини"/>
    <x v="2"/>
    <m/>
    <n v="27052011"/>
    <n v="7109.44"/>
    <n v="3634.9989518516436"/>
    <n v="0"/>
    <n v="0"/>
  </r>
  <r>
    <n v="743"/>
    <n v="10088"/>
    <x v="3"/>
    <x v="2"/>
    <x v="2"/>
    <x v="3"/>
    <x v="212"/>
    <s v="Single-Needle Lockstitch Machine Durkopp 274"/>
    <x v="4"/>
    <x v="30"/>
    <s v="Склад машини"/>
    <x v="1"/>
    <m/>
    <n v="27052011"/>
    <n v="7109.44"/>
    <n v="3634.9989518516436"/>
    <n v="0"/>
    <n v="0"/>
  </r>
  <r>
    <n v="744"/>
    <n v="10089"/>
    <x v="3"/>
    <x v="2"/>
    <x v="2"/>
    <x v="3"/>
    <x v="212"/>
    <s v="Single-Needle Lockstitch Machine Durkopp 274"/>
    <x v="4"/>
    <x v="30"/>
    <s v="Руйно-1 ет."/>
    <x v="2"/>
    <m/>
    <n v="27052011"/>
    <n v="7109.44"/>
    <n v="3634.9989518516436"/>
    <n v="0"/>
    <n v="0"/>
  </r>
  <r>
    <n v="745"/>
    <n v="10090"/>
    <x v="21"/>
    <x v="3"/>
    <x v="3"/>
    <x v="21"/>
    <x v="45"/>
    <s v="Pneumatic Press Machine for Attaching Buttons and Eyelets JLQ03-80"/>
    <x v="25"/>
    <x v="16"/>
    <s v="Склад машини"/>
    <x v="1"/>
    <m/>
    <n v="15072011"/>
    <n v="750"/>
    <n v="383.46891089716388"/>
    <n v="0"/>
    <n v="0"/>
  </r>
  <r>
    <n v="746"/>
    <n v="10091"/>
    <x v="22"/>
    <x v="1"/>
    <x v="1"/>
    <x v="22"/>
    <x v="60"/>
    <s v="Single-needle, two-thread chainstitch machine  Durkopp DA173"/>
    <x v="29"/>
    <x v="20"/>
    <s v="Руйно-1 ет."/>
    <x v="2"/>
    <m/>
    <n v="5102011"/>
    <n v="6832.37"/>
    <n v="3493.3353103286072"/>
    <n v="170.81"/>
    <n v="0"/>
  </r>
  <r>
    <n v="747"/>
    <n v="10092"/>
    <x v="22"/>
    <x v="1"/>
    <x v="1"/>
    <x v="22"/>
    <x v="60"/>
    <s v="Single-needle, two-thread chainstitch machine  Durkopp DA173"/>
    <x v="29"/>
    <x v="20"/>
    <s v="Руйно-1 ет."/>
    <x v="2"/>
    <m/>
    <n v="5102011"/>
    <n v="6832.37"/>
    <n v="3493.3353103286072"/>
    <n v="170.81"/>
    <n v="0"/>
  </r>
  <r>
    <n v="748"/>
    <n v="10093"/>
    <x v="14"/>
    <x v="1"/>
    <x v="1"/>
    <x v="14"/>
    <x v="228"/>
    <s v=" Automated CNC Cutting System KURIS C3030S"/>
    <x v="95"/>
    <x v="0"/>
    <s v="Кроялен участък"/>
    <x v="3"/>
    <m/>
    <d v="2011-11-15T00:00:00"/>
    <n v="91470.26"/>
    <n v="46768.001308907216"/>
    <n v="2286.7600000000002"/>
    <n v="0"/>
  </r>
  <r>
    <n v="749"/>
    <n v="10094"/>
    <x v="23"/>
    <x v="5"/>
    <x v="5"/>
    <x v="23"/>
    <x v="229"/>
    <s v="Steam generator JUMAG DG 560"/>
    <x v="4"/>
    <x v="0"/>
    <s v="Довършителен участък "/>
    <x v="1"/>
    <m/>
    <n v="5032013"/>
    <n v="219494.66"/>
    <n v="112225.83762392438"/>
    <n v="0"/>
    <n v="0"/>
  </r>
  <r>
    <n v="750"/>
    <n v="10096"/>
    <x v="22"/>
    <x v="1"/>
    <x v="1"/>
    <x v="22"/>
    <x v="199"/>
    <s v="Chainstitch sewing machine DURKOPP 176"/>
    <x v="29"/>
    <x v="35"/>
    <s v="Руйно-1 ет."/>
    <x v="2"/>
    <m/>
    <n v="8042013"/>
    <n v="2816"/>
    <n v="1439.7979374485512"/>
    <n v="0"/>
    <n v="0"/>
  </r>
  <r>
    <n v="751"/>
    <n v="10097"/>
    <x v="22"/>
    <x v="1"/>
    <x v="1"/>
    <x v="22"/>
    <x v="199"/>
    <s v="Chainstitch sewing machine DURKOPP 176"/>
    <x v="29"/>
    <x v="35"/>
    <s v="Склад машини"/>
    <x v="1"/>
    <m/>
    <n v="8042013"/>
    <n v="2816"/>
    <n v="1439.7979374485512"/>
    <n v="0"/>
    <n v="0"/>
  </r>
  <r>
    <n v="752"/>
    <n v="10098"/>
    <x v="18"/>
    <x v="1"/>
    <x v="1"/>
    <x v="18"/>
    <x v="230"/>
    <s v="Electronic Sleeve Setting Machine Durkopp 650-16"/>
    <x v="4"/>
    <x v="0"/>
    <s v="Шевен 2бр."/>
    <x v="1"/>
    <m/>
    <n v="8042013"/>
    <n v="5736"/>
    <n v="2932.7702305415091"/>
    <n v="0"/>
    <n v="0"/>
  </r>
  <r>
    <n v="753"/>
    <n v="10099"/>
    <x v="3"/>
    <x v="2"/>
    <x v="2"/>
    <x v="3"/>
    <x v="13"/>
    <s v="1-needle lockstitch machine Dürkopp 275"/>
    <x v="9"/>
    <x v="7"/>
    <s v="Шевен 3бр."/>
    <x v="1"/>
    <m/>
    <n v="8042013"/>
    <n v="17584.5"/>
    <n v="8990.8120848949038"/>
    <n v="0"/>
    <n v="0"/>
  </r>
  <r>
    <n v="754"/>
    <n v="10100"/>
    <x v="3"/>
    <x v="2"/>
    <x v="2"/>
    <x v="3"/>
    <x v="13"/>
    <s v="1-needle lockstitch machine Dürkopp 275"/>
    <x v="9"/>
    <x v="7"/>
    <s v="Руйно- 2 ет."/>
    <x v="2"/>
    <m/>
    <n v="8042013"/>
    <n v="17584.5"/>
    <n v="8990.8120848949038"/>
    <n v="0"/>
    <n v="0"/>
  </r>
  <r>
    <n v="755"/>
    <n v="10101"/>
    <x v="16"/>
    <x v="0"/>
    <x v="0"/>
    <x v="16"/>
    <x v="204"/>
    <s v="Electronic Sleeve Setting Machine Dürkopp Adler 650"/>
    <x v="90"/>
    <x v="0"/>
    <s v="Шевен 2бр."/>
    <x v="1"/>
    <m/>
    <n v="30042013"/>
    <n v="13909"/>
    <n v="7111.5587755582028"/>
    <n v="0"/>
    <n v="0"/>
  </r>
  <r>
    <n v="756"/>
    <n v="10102"/>
    <x v="1"/>
    <x v="0"/>
    <x v="0"/>
    <x v="1"/>
    <x v="215"/>
    <s v="Ironing table  Veit BRI 170/101"/>
    <x v="45"/>
    <x v="48"/>
    <s v="Шевен 1бр."/>
    <x v="1"/>
    <m/>
    <n v="30042013"/>
    <n v="7921"/>
    <n v="4049.9429909552468"/>
    <n v="0"/>
    <n v="0"/>
  </r>
  <r>
    <n v="757"/>
    <n v="10103"/>
    <x v="10"/>
    <x v="2"/>
    <x v="2"/>
    <x v="10"/>
    <x v="155"/>
    <s v="Two-Needle, 4-Thread Overlock Machine SIRUBA"/>
    <x v="68"/>
    <x v="26"/>
    <s v="Шевен 3бр."/>
    <x v="1"/>
    <m/>
    <n v="6122014"/>
    <n v="2200"/>
    <n v="1124.8421386316807"/>
    <n v="0"/>
    <n v="0"/>
  </r>
  <r>
    <n v="758"/>
    <n v="10104"/>
    <x v="43"/>
    <x v="1"/>
    <x v="1"/>
    <x v="43"/>
    <x v="231"/>
    <s v="Thread Trimming Machine GT22-12"/>
    <x v="4"/>
    <x v="0"/>
    <s v="Склад машини"/>
    <x v="1"/>
    <m/>
    <n v="11022015"/>
    <n v="1720"/>
    <n v="879.42203565749583"/>
    <n v="0"/>
    <n v="0"/>
  </r>
  <r>
    <n v="759"/>
    <n v="10105"/>
    <x v="2"/>
    <x v="1"/>
    <x v="1"/>
    <x v="2"/>
    <x v="232"/>
    <s v="Blindstitch Machine BRODERI BD-101"/>
    <x v="96"/>
    <x v="9"/>
    <s v="Руйно- 2 ет."/>
    <x v="2"/>
    <m/>
    <n v="20032015"/>
    <n v="1845"/>
    <n v="943.33352080702309"/>
    <n v="0"/>
    <n v="0"/>
  </r>
  <r>
    <n v="760"/>
    <n v="10107"/>
    <x v="6"/>
    <x v="1"/>
    <x v="1"/>
    <x v="6"/>
    <x v="149"/>
    <s v="Button sewing machine Siruba RT1906ASS"/>
    <x v="27"/>
    <x v="6"/>
    <s v="Шевен 1бр."/>
    <x v="1"/>
    <m/>
    <n v="15122015"/>
    <n v="6600"/>
    <n v="3374.5264158950422"/>
    <n v="0"/>
    <n v="0"/>
  </r>
  <r>
    <n v="761"/>
    <n v="10108"/>
    <x v="6"/>
    <x v="1"/>
    <x v="1"/>
    <x v="6"/>
    <x v="149"/>
    <s v="Button sewing machine Siruba RT1906ASS"/>
    <x v="27"/>
    <x v="6"/>
    <s v="Руйно-1 ет."/>
    <x v="2"/>
    <m/>
    <n v="15122015"/>
    <n v="6600"/>
    <n v="3374.5264158950422"/>
    <n v="0"/>
    <n v="0"/>
  </r>
  <r>
    <n v="762"/>
    <n v="10109"/>
    <x v="35"/>
    <x v="3"/>
    <x v="3"/>
    <x v="35"/>
    <x v="142"/>
    <s v="Zig-Zag Sewing Machine Brother"/>
    <x v="64"/>
    <x v="0"/>
    <s v="Склад машини"/>
    <x v="1"/>
    <m/>
    <n v="3022016"/>
    <n v="7980"/>
    <n v="4080.1092119458235"/>
    <n v="0"/>
    <n v="0"/>
  </r>
  <r>
    <n v="763"/>
    <n v="10110"/>
    <x v="35"/>
    <x v="3"/>
    <x v="3"/>
    <x v="35"/>
    <x v="142"/>
    <s v="Zig-Zag Sewing Machine Brother"/>
    <x v="64"/>
    <x v="0"/>
    <s v="Склад машини"/>
    <x v="1"/>
    <m/>
    <n v="3022016"/>
    <n v="7980"/>
    <n v="4080.1092119458235"/>
    <n v="0"/>
    <n v="0"/>
  </r>
  <r>
    <n v="764"/>
    <n v="10836"/>
    <x v="5"/>
    <x v="1"/>
    <x v="1"/>
    <x v="5"/>
    <x v="39"/>
    <s v="Buttonhole sewing machine Durkopp 559-151"/>
    <x v="5"/>
    <x v="4"/>
    <s v="Руйно-1 ет."/>
    <x v="2"/>
    <m/>
    <m/>
    <n v="17100"/>
    <n v="8743.0911684553357"/>
    <n v="0"/>
    <n v="0"/>
  </r>
  <r>
    <n v="765"/>
    <n v="10837"/>
    <x v="18"/>
    <x v="1"/>
    <x v="1"/>
    <x v="18"/>
    <x v="184"/>
    <s v="Sleeve setting machine Durkopp Adler 6279-170067"/>
    <x v="4"/>
    <x v="0"/>
    <s v="Шевен 1бр."/>
    <x v="1"/>
    <m/>
    <m/>
    <n v="18000"/>
    <n v="9203.2538615319336"/>
    <n v="0"/>
    <n v="0"/>
  </r>
  <r>
    <n v="766"/>
    <n v="20001"/>
    <x v="3"/>
    <x v="2"/>
    <x v="2"/>
    <x v="3"/>
    <x v="192"/>
    <s v=" Single-Needle Lockstitch Machine Brother S7200B"/>
    <x v="4"/>
    <x v="0"/>
    <s v="Шевен 2бр."/>
    <x v="1"/>
    <m/>
    <n v="1032011"/>
    <n v="2366.5500000000002"/>
    <n v="1209.9978014449109"/>
    <n v="0"/>
    <n v="0"/>
  </r>
  <r>
    <n v="767"/>
    <n v="20002"/>
    <x v="3"/>
    <x v="2"/>
    <x v="2"/>
    <x v="3"/>
    <x v="192"/>
    <s v=" Single-Needle Lockstitch Machine Brother S7200B"/>
    <x v="4"/>
    <x v="0"/>
    <s v="Склад машини"/>
    <x v="1"/>
    <m/>
    <n v="1032011"/>
    <n v="2366.5500000000002"/>
    <n v="1209.9978014449109"/>
    <n v="0"/>
    <n v="0"/>
  </r>
  <r>
    <n v="768"/>
    <n v="20003"/>
    <x v="3"/>
    <x v="2"/>
    <x v="2"/>
    <x v="3"/>
    <x v="192"/>
    <s v=" Single-Needle Lockstitch Machine Brother S7200B"/>
    <x v="4"/>
    <x v="0"/>
    <s v="Шевен 3бр."/>
    <x v="1"/>
    <m/>
    <n v="1032011"/>
    <n v="2366.5500000000002"/>
    <n v="1209.9978014449109"/>
    <n v="0"/>
    <n v="0"/>
  </r>
  <r>
    <n v="769"/>
    <n v="20005"/>
    <x v="3"/>
    <x v="2"/>
    <x v="2"/>
    <x v="3"/>
    <x v="192"/>
    <s v=" Single-Needle Lockstitch Machine Brother S7200B"/>
    <x v="4"/>
    <x v="0"/>
    <s v="Шевен 3бр."/>
    <x v="1"/>
    <m/>
    <n v="1032011"/>
    <n v="2366.5500000000002"/>
    <n v="1209.9978014449109"/>
    <n v="0"/>
    <n v="0"/>
  </r>
  <r>
    <n v="770"/>
    <n v="20006"/>
    <x v="3"/>
    <x v="2"/>
    <x v="2"/>
    <x v="3"/>
    <x v="192"/>
    <s v=" Single-Needle Lockstitch Machine Brother S7200B"/>
    <x v="4"/>
    <x v="0"/>
    <s v="Шевен 1бр."/>
    <x v="1"/>
    <m/>
    <n v="1032011"/>
    <n v="2366.5500000000002"/>
    <n v="1209.9978014449109"/>
    <n v="0"/>
    <n v="0"/>
  </r>
  <r>
    <n v="771"/>
    <n v="20007"/>
    <x v="3"/>
    <x v="2"/>
    <x v="2"/>
    <x v="3"/>
    <x v="192"/>
    <s v=" Single-Needle Lockstitch Machine Brother S7200B"/>
    <x v="4"/>
    <x v="0"/>
    <s v="Шевен 1бр."/>
    <x v="1"/>
    <m/>
    <n v="1032011"/>
    <n v="2366.5500000000002"/>
    <n v="1209.9978014449109"/>
    <n v="0"/>
    <n v="0"/>
  </r>
  <r>
    <n v="772"/>
    <n v="20008"/>
    <x v="3"/>
    <x v="2"/>
    <x v="2"/>
    <x v="3"/>
    <x v="192"/>
    <s v=" Single-Needle Lockstitch Machine Brother S7200B"/>
    <x v="4"/>
    <x v="0"/>
    <s v="Склад машини"/>
    <x v="1"/>
    <m/>
    <n v="1032011"/>
    <n v="2366.5500000000002"/>
    <n v="1209.9978014449109"/>
    <n v="0"/>
    <n v="0"/>
  </r>
  <r>
    <n v="773"/>
    <n v="20009"/>
    <x v="3"/>
    <x v="2"/>
    <x v="2"/>
    <x v="3"/>
    <x v="192"/>
    <s v=" Single-Needle Lockstitch Machine Brother S7200B"/>
    <x v="4"/>
    <x v="0"/>
    <s v="Шевен 2бр."/>
    <x v="1"/>
    <m/>
    <n v="1032011"/>
    <n v="2366.5500000000002"/>
    <n v="1209.9978014449109"/>
    <n v="0"/>
    <n v="0"/>
  </r>
  <r>
    <n v="774"/>
    <n v="20010"/>
    <x v="3"/>
    <x v="2"/>
    <x v="2"/>
    <x v="3"/>
    <x v="192"/>
    <s v=" Single-Needle Lockstitch Machine Brother S7200B"/>
    <x v="4"/>
    <x v="0"/>
    <s v="Шевен 2бр."/>
    <x v="1"/>
    <m/>
    <n v="1032011"/>
    <n v="2366.5500000000002"/>
    <n v="1209.9978014449109"/>
    <n v="0"/>
    <n v="0"/>
  </r>
  <r>
    <n v="775"/>
    <n v="20011"/>
    <x v="3"/>
    <x v="2"/>
    <x v="2"/>
    <x v="3"/>
    <x v="192"/>
    <s v=" Single-Needle Lockstitch Machine Brother S7200B"/>
    <x v="4"/>
    <x v="0"/>
    <s v="Шевен 2бр."/>
    <x v="1"/>
    <m/>
    <n v="1032011"/>
    <n v="2366.5500000000002"/>
    <n v="1209.9978014449109"/>
    <n v="0"/>
    <n v="0"/>
  </r>
  <r>
    <n v="776"/>
    <n v="20012"/>
    <x v="3"/>
    <x v="2"/>
    <x v="2"/>
    <x v="3"/>
    <x v="192"/>
    <s v=" Single-Needle Lockstitch Machine Brother S7200B"/>
    <x v="4"/>
    <x v="0"/>
    <s v="Руйно-1 ет."/>
    <x v="2"/>
    <m/>
    <n v="1032011"/>
    <n v="2366.5500000000002"/>
    <n v="1209.9978014449109"/>
    <n v="0"/>
    <n v="0"/>
  </r>
  <r>
    <n v="777"/>
    <n v="20013"/>
    <x v="3"/>
    <x v="2"/>
    <x v="2"/>
    <x v="3"/>
    <x v="192"/>
    <s v=" Single-Needle Lockstitch Machine Brother S7200B"/>
    <x v="4"/>
    <x v="0"/>
    <s v="Руйно-1 ет."/>
    <x v="2"/>
    <m/>
    <n v="1032011"/>
    <n v="2366.5500000000002"/>
    <n v="1209.9978014449109"/>
    <n v="0"/>
    <n v="0"/>
  </r>
  <r>
    <n v="778"/>
    <n v="20014"/>
    <x v="3"/>
    <x v="2"/>
    <x v="2"/>
    <x v="3"/>
    <x v="192"/>
    <s v=" Single-Needle Lockstitch Machine Brother S7200B"/>
    <x v="4"/>
    <x v="0"/>
    <s v="Склад машини"/>
    <x v="1"/>
    <m/>
    <n v="1032011"/>
    <n v="2366.5500000000002"/>
    <n v="1209.9978014449109"/>
    <n v="0"/>
    <n v="0"/>
  </r>
  <r>
    <n v="779"/>
    <n v="20015"/>
    <x v="3"/>
    <x v="2"/>
    <x v="2"/>
    <x v="3"/>
    <x v="192"/>
    <s v=" Single-Needle Lockstitch Machine Brother S7200B"/>
    <x v="4"/>
    <x v="0"/>
    <s v="Руйно"/>
    <x v="2"/>
    <m/>
    <n v="1032011"/>
    <n v="2366.5500000000002"/>
    <n v="1209.9978014449109"/>
    <n v="0"/>
    <n v="0"/>
  </r>
  <r>
    <n v="780"/>
    <n v="20016"/>
    <x v="3"/>
    <x v="2"/>
    <x v="2"/>
    <x v="3"/>
    <x v="192"/>
    <s v=" Single-Needle Lockstitch Machine Brother S7200B"/>
    <x v="4"/>
    <x v="0"/>
    <s v="Шевен 3бр."/>
    <x v="1"/>
    <m/>
    <n v="1032011"/>
    <n v="2366.5500000000002"/>
    <n v="1209.9978014449109"/>
    <n v="0"/>
    <n v="0"/>
  </r>
  <r>
    <n v="781"/>
    <n v="20020"/>
    <x v="3"/>
    <x v="2"/>
    <x v="2"/>
    <x v="3"/>
    <x v="192"/>
    <s v=" Single-Needle Lockstitch Machine Brother S7200B"/>
    <x v="4"/>
    <x v="0"/>
    <s v="Руйно-1 ет."/>
    <x v="2"/>
    <m/>
    <n v="1032011"/>
    <n v="2366.5500000000002"/>
    <n v="1209.9978014449109"/>
    <n v="0"/>
    <n v="0"/>
  </r>
  <r>
    <n v="782"/>
    <n v="20022"/>
    <x v="3"/>
    <x v="2"/>
    <x v="2"/>
    <x v="3"/>
    <x v="192"/>
    <s v=" Single-Needle Lockstitch Machine Brother S7200B"/>
    <x v="4"/>
    <x v="0"/>
    <s v="Шевен 3бр."/>
    <x v="1"/>
    <m/>
    <n v="24032011"/>
    <n v="2366.5500000000002"/>
    <n v="1209.9978014449109"/>
    <n v="0"/>
    <n v="0"/>
  </r>
  <r>
    <n v="783"/>
    <n v="20023"/>
    <x v="3"/>
    <x v="2"/>
    <x v="2"/>
    <x v="3"/>
    <x v="192"/>
    <s v=" Single-Needle Lockstitch Machine Brother S7200B"/>
    <x v="4"/>
    <x v="0"/>
    <s v="Шевен 3бр."/>
    <x v="1"/>
    <m/>
    <n v="24032011"/>
    <n v="2366.5500000000002"/>
    <n v="1209.9978014449109"/>
    <n v="0"/>
    <n v="0"/>
  </r>
  <r>
    <n v="784"/>
    <n v="20025"/>
    <x v="3"/>
    <x v="2"/>
    <x v="2"/>
    <x v="3"/>
    <x v="192"/>
    <s v=" Single-Needle Lockstitch Machine Brother S7200B"/>
    <x v="4"/>
    <x v="0"/>
    <s v="Шевен 2бр."/>
    <x v="1"/>
    <m/>
    <n v="24032011"/>
    <n v="2366.5500000000002"/>
    <n v="1209.9978014449109"/>
    <n v="0"/>
    <n v="0"/>
  </r>
  <r>
    <n v="785"/>
    <n v="20027"/>
    <x v="3"/>
    <x v="2"/>
    <x v="2"/>
    <x v="3"/>
    <x v="192"/>
    <s v=" Single-Needle Lockstitch Machine Brother S7200B"/>
    <x v="4"/>
    <x v="0"/>
    <s v="Шевен 2бр."/>
    <x v="1"/>
    <m/>
    <n v="24032011"/>
    <n v="2366.5500000000002"/>
    <n v="1209.9978014449109"/>
    <n v="0"/>
    <n v="0"/>
  </r>
  <r>
    <n v="786"/>
    <n v="20028"/>
    <x v="3"/>
    <x v="2"/>
    <x v="2"/>
    <x v="3"/>
    <x v="192"/>
    <s v=" Single-Needle Lockstitch Machine Brother S7200B"/>
    <x v="4"/>
    <x v="0"/>
    <s v="Шевен 1бр."/>
    <x v="1"/>
    <m/>
    <n v="24032011"/>
    <n v="2366.5500000000002"/>
    <n v="1209.9978014449109"/>
    <n v="0"/>
    <n v="0"/>
  </r>
  <r>
    <n v="787"/>
    <n v="20029"/>
    <x v="3"/>
    <x v="2"/>
    <x v="2"/>
    <x v="3"/>
    <x v="192"/>
    <s v=" Single-Needle Lockstitch Machine Brother S7200B"/>
    <x v="4"/>
    <x v="0"/>
    <s v="Руйно-1 ет."/>
    <x v="2"/>
    <m/>
    <n v="24032011"/>
    <n v="2366.5500000000002"/>
    <n v="1209.9978014449109"/>
    <n v="0"/>
    <n v="0"/>
  </r>
  <r>
    <n v="788"/>
    <n v="20032"/>
    <x v="3"/>
    <x v="2"/>
    <x v="2"/>
    <x v="3"/>
    <x v="192"/>
    <s v=" Single-Needle Lockstitch Machine Brother S7200B"/>
    <x v="4"/>
    <x v="0"/>
    <s v="Руйно- 2 ет."/>
    <x v="2"/>
    <m/>
    <n v="24032011"/>
    <n v="2366.5500000000002"/>
    <n v="1209.9978014449109"/>
    <n v="0"/>
    <n v="0"/>
  </r>
  <r>
    <n v="789"/>
    <n v="20033"/>
    <x v="3"/>
    <x v="2"/>
    <x v="2"/>
    <x v="3"/>
    <x v="192"/>
    <s v=" Single-Needle Lockstitch Machine Brother S7200B"/>
    <x v="4"/>
    <x v="0"/>
    <s v="Шевен 1бр."/>
    <x v="1"/>
    <m/>
    <n v="24032011"/>
    <n v="2366.5500000000002"/>
    <n v="1209.9978014449109"/>
    <n v="0"/>
    <n v="0"/>
  </r>
  <r>
    <n v="790"/>
    <n v="20034"/>
    <x v="3"/>
    <x v="2"/>
    <x v="2"/>
    <x v="3"/>
    <x v="192"/>
    <s v=" Single-Needle Lockstitch Machine Brother S7200B"/>
    <x v="4"/>
    <x v="0"/>
    <s v="Шевен 3бр."/>
    <x v="1"/>
    <m/>
    <n v="24032011"/>
    <n v="2366.5500000000002"/>
    <n v="1209.9978014449109"/>
    <n v="0"/>
    <n v="0"/>
  </r>
  <r>
    <n v="791"/>
    <n v="20035"/>
    <x v="3"/>
    <x v="2"/>
    <x v="2"/>
    <x v="3"/>
    <x v="192"/>
    <s v=" Single-Needle Lockstitch Machine Brother S7200B"/>
    <x v="4"/>
    <x v="0"/>
    <s v="Шевен 3бр."/>
    <x v="1"/>
    <m/>
    <n v="24032011"/>
    <n v="2366.5500000000002"/>
    <n v="1209.9978014449109"/>
    <n v="0"/>
    <n v="0"/>
  </r>
  <r>
    <n v="792"/>
    <n v="20037"/>
    <x v="3"/>
    <x v="2"/>
    <x v="2"/>
    <x v="3"/>
    <x v="192"/>
    <s v=" Single-Needle Lockstitch Machine Brother S7200B"/>
    <x v="4"/>
    <x v="0"/>
    <s v="Склад машини"/>
    <x v="1"/>
    <m/>
    <n v="24032011"/>
    <n v="2366.5500000000002"/>
    <n v="1209.9978014449109"/>
    <n v="0"/>
    <n v="0"/>
  </r>
  <r>
    <n v="793"/>
    <n v="20038"/>
    <x v="3"/>
    <x v="2"/>
    <x v="2"/>
    <x v="3"/>
    <x v="192"/>
    <s v=" Single-Needle Lockstitch Machine Brother S7200B"/>
    <x v="4"/>
    <x v="0"/>
    <s v="Шевен 2бр."/>
    <x v="1"/>
    <m/>
    <n v="24032011"/>
    <n v="2366.5500000000002"/>
    <n v="1209.9978014449109"/>
    <n v="0"/>
    <n v="0"/>
  </r>
  <r>
    <n v="794"/>
    <n v="20039"/>
    <x v="3"/>
    <x v="2"/>
    <x v="2"/>
    <x v="3"/>
    <x v="192"/>
    <s v=" Single-Needle Lockstitch Machine Brother S7200B"/>
    <x v="4"/>
    <x v="0"/>
    <s v="Техническа подготовка"/>
    <x v="5"/>
    <m/>
    <n v="24032011"/>
    <n v="2366.5500000000002"/>
    <n v="1209.9978014449109"/>
    <n v="0"/>
    <n v="0"/>
  </r>
  <r>
    <n v="795"/>
    <n v="20040"/>
    <x v="3"/>
    <x v="2"/>
    <x v="2"/>
    <x v="3"/>
    <x v="192"/>
    <s v=" Single-Needle Lockstitch Machine Brother S7200B"/>
    <x v="4"/>
    <x v="0"/>
    <s v="Шевен 3бр."/>
    <x v="1"/>
    <m/>
    <n v="24032011"/>
    <n v="2366.5500000000002"/>
    <n v="1209.9978014449109"/>
    <n v="0"/>
    <n v="0"/>
  </r>
  <r>
    <n v="796"/>
    <n v="20041"/>
    <x v="7"/>
    <x v="3"/>
    <x v="3"/>
    <x v="7"/>
    <x v="194"/>
    <s v="Two-needle lockstitch sewing machine BROTHER T8452C-403"/>
    <x v="4"/>
    <x v="0"/>
    <s v="мострена бригада"/>
    <x v="0"/>
    <m/>
    <n v="9052011"/>
    <n v="11030"/>
    <n v="5639.5494495942903"/>
    <n v="275.75"/>
    <n v="0"/>
  </r>
  <r>
    <n v="797"/>
    <n v="20042"/>
    <x v="6"/>
    <x v="1"/>
    <x v="1"/>
    <x v="6"/>
    <x v="233"/>
    <s v="Button Sewing Machine Brother"/>
    <x v="27"/>
    <x v="6"/>
    <s v="Руйно-1 ет."/>
    <x v="2"/>
    <m/>
    <n v="13062011"/>
    <n v="13845"/>
    <n v="7078.8360951616451"/>
    <n v="346.13"/>
    <n v="0"/>
  </r>
  <r>
    <n v="798"/>
    <n v="20043"/>
    <x v="8"/>
    <x v="1"/>
    <x v="1"/>
    <x v="8"/>
    <x v="234"/>
    <s v="bartack machine Brother"/>
    <x v="97"/>
    <x v="0"/>
    <s v="Руйно- 2 ет."/>
    <x v="2"/>
    <m/>
    <n v="13062011"/>
    <n v="9918"/>
    <n v="5070.992877704095"/>
    <n v="247.95"/>
    <n v="0"/>
  </r>
  <r>
    <n v="799"/>
    <n v="20044"/>
    <x v="7"/>
    <x v="3"/>
    <x v="3"/>
    <x v="7"/>
    <x v="194"/>
    <s v="Two-needle lockstitch sewing machine BROTHER T8452C-403"/>
    <x v="4"/>
    <x v="0"/>
    <s v="Склад машини"/>
    <x v="1"/>
    <m/>
    <n v="9052011"/>
    <n v="11030"/>
    <n v="5639.5494495942903"/>
    <n v="275.75"/>
    <n v="0"/>
  </r>
  <r>
    <n v="800"/>
    <n v="20045"/>
    <x v="7"/>
    <x v="3"/>
    <x v="3"/>
    <x v="7"/>
    <x v="194"/>
    <s v="Two-needle lockstitch sewing machine BROTHER T8452C-403"/>
    <x v="4"/>
    <x v="0"/>
    <s v="Руйно- 2 ет."/>
    <x v="2"/>
    <m/>
    <n v="9052011"/>
    <n v="11030"/>
    <n v="5639.5494495942903"/>
    <n v="275.75"/>
    <n v="0"/>
  </r>
  <r>
    <n v="801"/>
    <n v="20046"/>
    <x v="7"/>
    <x v="3"/>
    <x v="3"/>
    <x v="7"/>
    <x v="194"/>
    <s v="Two-needle lockstitch sewing machine BROTHER T8452C-403"/>
    <x v="4"/>
    <x v="0"/>
    <s v="Руйно- 2 ет."/>
    <x v="2"/>
    <m/>
    <n v="9052011"/>
    <n v="11030"/>
    <n v="5639.5494495942903"/>
    <n v="275.75"/>
    <n v="0"/>
  </r>
  <r>
    <n v="802"/>
    <n v="20047"/>
    <x v="35"/>
    <x v="3"/>
    <x v="3"/>
    <x v="35"/>
    <x v="142"/>
    <s v="Zig-Zag Sewing Machine Brother"/>
    <x v="64"/>
    <x v="0"/>
    <s v="Склад машини"/>
    <x v="1"/>
    <m/>
    <m/>
    <n v="9953"/>
    <n v="5088.8880935459629"/>
    <n v="248.83"/>
    <n v="0"/>
  </r>
  <r>
    <n v="803"/>
    <n v="20048"/>
    <x v="6"/>
    <x v="1"/>
    <x v="1"/>
    <x v="6"/>
    <x v="233"/>
    <s v="Button Sewing Machine Brother"/>
    <x v="27"/>
    <x v="6"/>
    <s v="Шевен 2бр."/>
    <x v="1"/>
    <m/>
    <m/>
    <n v="13845"/>
    <n v="7078.8360951616451"/>
    <n v="346.13"/>
    <n v="0"/>
  </r>
  <r>
    <n v="804"/>
    <n v="20049"/>
    <x v="27"/>
    <x v="3"/>
    <x v="3"/>
    <x v="27"/>
    <x v="235"/>
    <s v="Coverstitch Machine Kansai Specia (Inv. No. 1101075)"/>
    <x v="98"/>
    <x v="44"/>
    <s v="Руйно- 2 ет."/>
    <x v="2"/>
    <m/>
    <m/>
    <n v="6611"/>
    <n v="3380.1506265882003"/>
    <n v="0"/>
    <n v="0"/>
  </r>
  <r>
    <n v="805"/>
    <n v="30041"/>
    <x v="27"/>
    <x v="3"/>
    <x v="3"/>
    <x v="27"/>
    <x v="112"/>
    <s v="Coverstitch Machine Juki MF-7523"/>
    <x v="34"/>
    <x v="24"/>
    <s v="Руйно- 2 ет."/>
    <x v="2"/>
    <m/>
    <m/>
    <n v="6220"/>
    <n v="3180.235501040479"/>
    <n v="155.5"/>
    <n v="0"/>
  </r>
  <r>
    <n v="806"/>
    <n v="30042"/>
    <x v="5"/>
    <x v="1"/>
    <x v="1"/>
    <x v="5"/>
    <x v="236"/>
    <s v="Electronic Lockstitch Buttonhole Sewing System"/>
    <x v="5"/>
    <x v="4"/>
    <s v="Руйно-1 ет."/>
    <x v="2"/>
    <m/>
    <m/>
    <n v="22878"/>
    <n v="11697.335658007087"/>
    <n v="571.95000000000005"/>
    <n v="0"/>
  </r>
  <r>
    <n v="807"/>
    <n v="30043"/>
    <x v="10"/>
    <x v="2"/>
    <x v="2"/>
    <x v="10"/>
    <x v="14"/>
    <s v="Two-Needle, 5-Thread Overlock JUKI MO 6716S"/>
    <x v="10"/>
    <x v="14"/>
    <s v="Руйно-1 ет."/>
    <x v="2"/>
    <m/>
    <m/>
    <n v="3181.2"/>
    <n v="1626.5217324614102"/>
    <n v="79.53"/>
    <n v="0"/>
  </r>
  <r>
    <n v="808"/>
    <n v="30044"/>
    <x v="10"/>
    <x v="2"/>
    <x v="2"/>
    <x v="10"/>
    <x v="14"/>
    <s v="Two-Needle, 5-Thread Overlock JUKI MO 6716S"/>
    <x v="10"/>
    <x v="14"/>
    <s v="Руйно- 2 ет."/>
    <x v="2"/>
    <m/>
    <m/>
    <n v="3181.2"/>
    <n v="1626.5217324614102"/>
    <n v="79.53"/>
    <n v="0"/>
  </r>
  <r>
    <n v="809"/>
    <n v="30045"/>
    <x v="10"/>
    <x v="2"/>
    <x v="2"/>
    <x v="10"/>
    <x v="14"/>
    <s v="Two-Needle, 5-Thread Overlock JUKI MO 6716S"/>
    <x v="10"/>
    <x v="14"/>
    <s v="Руйно-1 ет."/>
    <x v="2"/>
    <m/>
    <m/>
    <n v="3181.2"/>
    <n v="1626.5217324614102"/>
    <n v="79.53"/>
    <n v="0"/>
  </r>
  <r>
    <n v="810"/>
    <n v="30046"/>
    <x v="10"/>
    <x v="2"/>
    <x v="2"/>
    <x v="10"/>
    <x v="97"/>
    <s v="1-Needle, 3-Thread Overlock (Serger) Machine JUKI MO 6704S"/>
    <x v="44"/>
    <x v="14"/>
    <s v="Руйно- 2 ет."/>
    <x v="2"/>
    <m/>
    <m/>
    <n v="2954"/>
    <n v="1510.3562170536295"/>
    <n v="73.849999999999994"/>
    <n v="0"/>
  </r>
  <r>
    <n v="811"/>
    <n v="100073"/>
    <x v="3"/>
    <x v="2"/>
    <x v="2"/>
    <x v="3"/>
    <x v="13"/>
    <s v="1-needle lockstitch machine Dürkopp 275"/>
    <x v="4"/>
    <x v="36"/>
    <s v="Руйно-1 ет."/>
    <x v="2"/>
    <m/>
    <n v="22032004"/>
    <n v="9566.56"/>
    <n v="4891.3044589764959"/>
    <n v="0"/>
    <n v="0"/>
  </r>
  <r>
    <n v="812"/>
    <n v="100145"/>
    <x v="3"/>
    <x v="2"/>
    <x v="2"/>
    <x v="3"/>
    <x v="4"/>
    <s v="PFAFF 1183 Single-Needle Lockstitch Machine"/>
    <x v="4"/>
    <x v="0"/>
    <s v="Руйно-1 ет."/>
    <x v="2"/>
    <m/>
    <m/>
    <n v="1900"/>
    <n v="971.45457427281519"/>
    <n v="0"/>
    <n v="0"/>
  </r>
  <r>
    <n v="813"/>
    <n v="100155"/>
    <x v="3"/>
    <x v="2"/>
    <x v="2"/>
    <x v="3"/>
    <x v="4"/>
    <s v="PFAFF 1183 Single-Needle Lockstitch Machine"/>
    <x v="4"/>
    <x v="0"/>
    <s v="Руйно-1 ет."/>
    <x v="2"/>
    <m/>
    <m/>
    <n v="1900"/>
    <n v="971.45457427281519"/>
    <n v="0"/>
    <n v="0"/>
  </r>
  <r>
    <n v="814"/>
    <n v="100174"/>
    <x v="1"/>
    <x v="0"/>
    <x v="0"/>
    <x v="1"/>
    <x v="237"/>
    <s v="Ironing tablе Fight 80065307"/>
    <x v="2"/>
    <x v="5"/>
    <s v="Склад машини"/>
    <x v="1"/>
    <m/>
    <m/>
    <n v="3449"/>
    <n v="1763.4456982457575"/>
    <n v="0"/>
    <n v="0"/>
  </r>
  <r>
    <n v="815"/>
    <n v="10010091"/>
    <x v="18"/>
    <x v="1"/>
    <x v="1"/>
    <x v="18"/>
    <x v="230"/>
    <s v="Sleeve setting machine Durkopp Adler 650-16"/>
    <x v="4"/>
    <x v="0"/>
    <s v="Шевен 2бр."/>
    <x v="1"/>
    <m/>
    <m/>
    <n v="9388"/>
    <n v="4800.0081806700991"/>
    <n v="0"/>
    <n v="0"/>
  </r>
  <r>
    <n v="816"/>
    <n v="10010092"/>
    <x v="12"/>
    <x v="3"/>
    <x v="3"/>
    <x v="12"/>
    <x v="238"/>
    <s v="VEIT Model 7406 Spot Removing"/>
    <x v="4"/>
    <x v="0"/>
    <s v="Довършителен участък "/>
    <x v="1"/>
    <m/>
    <m/>
    <n v="17480"/>
    <n v="8937.3820833098998"/>
    <n v="0"/>
    <n v="0"/>
  </r>
  <r>
    <n v="817"/>
    <n v="10010093"/>
    <x v="2"/>
    <x v="1"/>
    <x v="1"/>
    <x v="2"/>
    <x v="239"/>
    <s v="Blindstitch Machine STROBEL KL560-11"/>
    <x v="99"/>
    <x v="9"/>
    <s v="Шевен СМ"/>
    <x v="2"/>
    <m/>
    <m/>
    <n v="17976"/>
    <n v="9190.9828563832234"/>
    <n v="0"/>
    <n v="0"/>
  </r>
  <r>
    <n v="818"/>
    <n v="892893940"/>
    <x v="13"/>
    <x v="4"/>
    <x v="4"/>
    <x v="13"/>
    <x v="240"/>
    <s v="Fabric Inspection and Rewinding Machine  - Guven Celik КМ7-2005 B"/>
    <x v="78"/>
    <x v="0"/>
    <s v="Входящ контрол"/>
    <x v="4"/>
    <m/>
    <m/>
    <n v="26403.71"/>
    <n v="13500.002556459405"/>
    <n v="440.06"/>
    <n v="0"/>
  </r>
  <r>
    <n v="819"/>
    <n v="892894144"/>
    <x v="32"/>
    <x v="5"/>
    <x v="5"/>
    <x v="32"/>
    <x v="241"/>
    <s v="CSM 7.5 DX Screw Compressor"/>
    <x v="53"/>
    <x v="38"/>
    <s v="Руйно-компресорно"/>
    <x v="2"/>
    <m/>
    <m/>
    <n v="5800"/>
    <n v="2965.4929109380673"/>
    <n v="145"/>
    <n v="0"/>
  </r>
  <r>
    <n v="820"/>
    <n v="892894189"/>
    <x v="32"/>
    <x v="5"/>
    <x v="5"/>
    <x v="32"/>
    <x v="242"/>
    <s v="Belt-Driven Screw Compressor 30-8"/>
    <x v="53"/>
    <x v="38"/>
    <s v="Шевен участък"/>
    <x v="1"/>
    <m/>
    <m/>
    <n v="20800"/>
    <n v="10634.871128881345"/>
    <n v="520"/>
    <n v="0"/>
  </r>
  <r>
    <n v="821"/>
    <n v="892894335"/>
    <x v="44"/>
    <x v="5"/>
    <x v="5"/>
    <x v="44"/>
    <x v="243"/>
    <s v="Vacuum Pump DB675"/>
    <x v="4"/>
    <x v="0"/>
    <s v="Руйно"/>
    <x v="2"/>
    <m/>
    <n v="3072013"/>
    <n v="5071.47"/>
    <n v="2593.0014367301865"/>
    <n v="126.79"/>
    <n v="0"/>
  </r>
  <r>
    <n v="822"/>
    <n v="892894635"/>
    <x v="32"/>
    <x v="5"/>
    <x v="5"/>
    <x v="32"/>
    <x v="115"/>
    <s v="Piston Compressor (500 Liter capacity)"/>
    <x v="53"/>
    <x v="32"/>
    <s v="Руйно-компресорно"/>
    <x v="2"/>
    <m/>
    <n v="8062016"/>
    <n v="3564.67"/>
    <n v="1822.5868301437242"/>
    <n v="89.12"/>
    <n v="0"/>
  </r>
  <r>
    <n v="823"/>
    <s v="M00002"/>
    <x v="22"/>
    <x v="1"/>
    <x v="1"/>
    <x v="22"/>
    <x v="244"/>
    <s v="Chainstitch Machine JUKI MH-481-5 "/>
    <x v="29"/>
    <x v="34"/>
    <s v="Шевен 1бр."/>
    <x v="1"/>
    <m/>
    <d v="2019-01-15T00:00:00"/>
    <n v="8933.7999999999993"/>
    <n v="4567.7794082307764"/>
    <n v="0"/>
    <n v="0"/>
  </r>
  <r>
    <n v="824"/>
    <s v="М0009"/>
    <x v="2"/>
    <x v="1"/>
    <x v="1"/>
    <x v="2"/>
    <x v="245"/>
    <s v="Blindstitch Machine Robo Technology RT-500D-1 "/>
    <x v="100"/>
    <x v="3"/>
    <s v="мострена бригада"/>
    <x v="0"/>
    <m/>
    <d v="2019-05-31T00:00:00"/>
    <n v="500"/>
    <n v="255.64594059810923"/>
    <n v="0"/>
    <n v="0"/>
  </r>
  <r>
    <n v="825"/>
    <s v="М0010"/>
    <x v="2"/>
    <x v="1"/>
    <x v="1"/>
    <x v="2"/>
    <x v="245"/>
    <s v="Blindstitch Machine Robo Technology RT-500D-1 "/>
    <x v="100"/>
    <x v="3"/>
    <s v="Склад машини"/>
    <x v="1"/>
    <m/>
    <d v="2022-10-21T00:00:00"/>
    <n v="500"/>
    <n v="255.64594059810923"/>
    <n v="0"/>
    <n v="0"/>
  </r>
  <r>
    <n v="826"/>
    <s v="M00175"/>
    <x v="10"/>
    <x v="2"/>
    <x v="2"/>
    <x v="10"/>
    <x v="246"/>
    <s v="Two-Needle, 4-Thread Overlock Machine Juki MO-6713DA"/>
    <x v="42"/>
    <x v="8"/>
    <s v="Руйно- 2 ет."/>
    <x v="2"/>
    <m/>
    <m/>
    <n v="2535.4249999999997"/>
    <n v="1296.3422178819221"/>
    <n v="0"/>
    <n v="0"/>
  </r>
  <r>
    <n v="827"/>
    <s v="M00319"/>
    <x v="27"/>
    <x v="3"/>
    <x v="3"/>
    <x v="27"/>
    <x v="247"/>
    <s v="Coverstitch Machine Juki MF-7523"/>
    <x v="34"/>
    <x v="24"/>
    <s v="Руйно-1 ет."/>
    <x v="2"/>
    <m/>
    <m/>
    <n v="5284.8"/>
    <n v="2702.0753337457754"/>
    <n v="0"/>
    <n v="0"/>
  </r>
  <r>
    <n v="828"/>
    <s v="М028"/>
    <x v="11"/>
    <x v="2"/>
    <x v="2"/>
    <x v="11"/>
    <x v="248"/>
    <s v="Layering table for cutting"/>
    <x v="15"/>
    <x v="10"/>
    <m/>
    <x v="3"/>
    <m/>
    <m/>
    <n v="33354.699999999997"/>
    <n v="17053.987309735508"/>
    <n v="0"/>
    <n v="0"/>
  </r>
  <r>
    <n v="829"/>
    <s v="М0804"/>
    <x v="32"/>
    <x v="5"/>
    <x v="5"/>
    <x v="32"/>
    <x v="249"/>
    <s v="Refrigerating Air Dryer Almig ALM RD 500"/>
    <x v="72"/>
    <x v="0"/>
    <s v="Шевен участък"/>
    <x v="1"/>
    <m/>
    <m/>
    <n v="5204"/>
    <n v="2660.7629497451212"/>
    <n v="0"/>
    <n v="0"/>
  </r>
  <r>
    <n v="830"/>
    <s v="М10"/>
    <x v="32"/>
    <x v="5"/>
    <x v="5"/>
    <x v="32"/>
    <x v="250"/>
    <s v="Compressor Cube10"/>
    <x v="53"/>
    <x v="38"/>
    <s v="Техническа подготовка"/>
    <x v="5"/>
    <m/>
    <m/>
    <n v="6800"/>
    <n v="3476.7847921342859"/>
    <n v="0"/>
    <n v="0"/>
  </r>
  <r>
    <n v="831"/>
    <s v="M100"/>
    <x v="20"/>
    <x v="2"/>
    <x v="2"/>
    <x v="20"/>
    <x v="251"/>
    <s v="Round Knife Cutting Machine Robo Technology RT100"/>
    <x v="37"/>
    <x v="0"/>
    <s v="Шевен 3бр."/>
    <x v="1"/>
    <m/>
    <m/>
    <n v="180"/>
    <n v="92.032538615319325"/>
    <n v="0"/>
    <n v="0"/>
  </r>
  <r>
    <n v="832"/>
    <s v="М1008"/>
    <x v="32"/>
    <x v="5"/>
    <x v="5"/>
    <x v="32"/>
    <x v="252"/>
    <s v="Refrigerating Air Dryer Almig ALM 350"/>
    <x v="72"/>
    <x v="0"/>
    <s v="Шевен участък"/>
    <x v="1"/>
    <m/>
    <m/>
    <n v="5204"/>
    <n v="2660.7629497451212"/>
    <n v="0"/>
    <n v="0"/>
  </r>
  <r>
    <n v="833"/>
    <s v="М101"/>
    <x v="40"/>
    <x v="2"/>
    <x v="2"/>
    <x v="40"/>
    <x v="253"/>
    <s v="Waistband turning awl"/>
    <x v="101"/>
    <x v="52"/>
    <s v="Шевен СМ"/>
    <x v="1"/>
    <m/>
    <m/>
    <n v="528.07410000000004"/>
    <n v="270"/>
    <n v="0"/>
    <n v="0"/>
  </r>
  <r>
    <n v="834"/>
    <s v="М1100057"/>
    <x v="1"/>
    <x v="0"/>
    <x v="0"/>
    <x v="1"/>
    <x v="51"/>
    <s v="Ironing Table Veit 126470"/>
    <x v="1"/>
    <x v="5"/>
    <s v="Руйно-1 ет."/>
    <x v="2"/>
    <m/>
    <m/>
    <n v="5809.8"/>
    <n v="2970.5035713737902"/>
    <n v="0"/>
    <n v="0"/>
  </r>
  <r>
    <n v="835"/>
    <s v="М1100066"/>
    <x v="1"/>
    <x v="0"/>
    <x v="0"/>
    <x v="1"/>
    <x v="51"/>
    <s v="Ironing Table Veit 126470"/>
    <x v="1"/>
    <x v="5"/>
    <s v="Руйно- 2 ет."/>
    <x v="2"/>
    <m/>
    <m/>
    <n v="5809.8"/>
    <n v="2970.5035713737902"/>
    <n v="0"/>
    <n v="0"/>
  </r>
  <r>
    <n v="836"/>
    <s v="M1110"/>
    <x v="3"/>
    <x v="2"/>
    <x v="2"/>
    <x v="3"/>
    <x v="72"/>
    <s v="1-needle lockstitch machine JUKI DDL 8700-7"/>
    <x v="4"/>
    <x v="0"/>
    <s v="Руйно"/>
    <x v="2"/>
    <m/>
    <d v="2024-03-01T00:00:00"/>
    <n v="2788.84"/>
    <n v="1425.9112499552621"/>
    <n v="0"/>
    <n v="0"/>
  </r>
  <r>
    <n v="837"/>
    <s v="М1190"/>
    <x v="45"/>
    <x v="2"/>
    <x v="2"/>
    <x v="45"/>
    <x v="254"/>
    <s v="Awl Micro Top SM-201L"/>
    <x v="4"/>
    <x v="0"/>
    <s v="Кроялен участък"/>
    <x v="3"/>
    <m/>
    <m/>
    <n v="687"/>
    <n v="351.25752238180212"/>
    <n v="0"/>
    <n v="0"/>
  </r>
  <r>
    <n v="838"/>
    <s v="М12142"/>
    <x v="27"/>
    <x v="3"/>
    <x v="3"/>
    <x v="27"/>
    <x v="255"/>
    <s v="Coverstitch Machine Juki MF-7723 "/>
    <x v="34"/>
    <x v="24"/>
    <s v="мострена бригада"/>
    <x v="0"/>
    <m/>
    <m/>
    <n v="5284.8"/>
    <n v="2702.0753337457754"/>
    <n v="0"/>
    <n v="0"/>
  </r>
  <r>
    <n v="839"/>
    <s v="M12354"/>
    <x v="46"/>
    <x v="3"/>
    <x v="3"/>
    <x v="46"/>
    <x v="256"/>
    <s v="RTP0001 Automatic Elastic Tensioner for Closed Loops"/>
    <x v="4"/>
    <x v="0"/>
    <s v="Шевен участък"/>
    <x v="1"/>
    <m/>
    <d v="2020-11-09T00:00:00"/>
    <n v="950"/>
    <n v="485.7272871364076"/>
    <n v="0"/>
    <n v="0"/>
  </r>
  <r>
    <n v="840"/>
    <s v="M12355"/>
    <x v="46"/>
    <x v="3"/>
    <x v="3"/>
    <x v="46"/>
    <x v="256"/>
    <s v="RTP0001 Automatic Elastic Tensioner for Closed Loops"/>
    <x v="4"/>
    <x v="0"/>
    <s v="Шевен участък"/>
    <x v="1"/>
    <m/>
    <n v="2018"/>
    <n v="950"/>
    <n v="485.7272871364076"/>
    <n v="0"/>
    <n v="0"/>
  </r>
  <r>
    <n v="841"/>
    <s v="М12419"/>
    <x v="1"/>
    <x v="0"/>
    <x v="0"/>
    <x v="1"/>
    <x v="214"/>
    <s v="Trouser Seam Ironing Table Veit UNISET Turbo S"/>
    <x v="92"/>
    <x v="0"/>
    <s v="Шевен 2бр."/>
    <x v="1"/>
    <m/>
    <m/>
    <n v="10849.2"/>
    <n v="5547.1078774740145"/>
    <n v="0"/>
    <n v="0"/>
  </r>
  <r>
    <n v="842"/>
    <s v="M1275"/>
    <x v="10"/>
    <x v="2"/>
    <x v="2"/>
    <x v="10"/>
    <x v="14"/>
    <s v="Two-Needle, 5-Thread Overlock Machine JUKI MO-6716S"/>
    <x v="39"/>
    <x v="26"/>
    <s v="мострена бригада"/>
    <x v="0"/>
    <m/>
    <d v="2024-03-01T00:00:00"/>
    <n v="1700"/>
    <n v="869.19619803357148"/>
    <n v="0"/>
    <n v="0"/>
  </r>
  <r>
    <n v="843"/>
    <s v="M1290"/>
    <x v="10"/>
    <x v="2"/>
    <x v="2"/>
    <x v="10"/>
    <x v="14"/>
    <s v="Two-Needle, 5-Thread Overlock Machine JUKI MO-6716S"/>
    <x v="39"/>
    <x v="26"/>
    <s v="мострена бригада"/>
    <x v="0"/>
    <m/>
    <d v="2024-03-01T00:00:00"/>
    <n v="1700"/>
    <n v="869.19619803357148"/>
    <n v="0"/>
    <n v="0"/>
  </r>
  <r>
    <n v="844"/>
    <s v="M1300"/>
    <x v="10"/>
    <x v="2"/>
    <x v="2"/>
    <x v="10"/>
    <x v="14"/>
    <s v="Two-Needle, 5-Thread Overlock Machine JUKI MO-6716S"/>
    <x v="39"/>
    <x v="26"/>
    <s v="мострена бригада"/>
    <x v="0"/>
    <m/>
    <d v="2024-03-01T00:00:00"/>
    <n v="1700"/>
    <n v="869.19619803357148"/>
    <n v="0"/>
    <n v="0"/>
  </r>
  <r>
    <n v="845"/>
    <s v="М14521"/>
    <x v="47"/>
    <x v="3"/>
    <x v="3"/>
    <x v="47"/>
    <x v="257"/>
    <s v="Automatic Strip Cutting Machine  Orbit"/>
    <x v="4"/>
    <x v="53"/>
    <s v="Кроялен участък"/>
    <x v="3"/>
    <m/>
    <d v="2021-05-14T00:00:00"/>
    <n v="2160"/>
    <n v="1104.390463383832"/>
    <n v="0"/>
    <n v="0"/>
  </r>
  <r>
    <n v="846"/>
    <s v="M1630"/>
    <x v="20"/>
    <x v="2"/>
    <x v="2"/>
    <x v="20"/>
    <x v="258"/>
    <s v="Disc shears Dayang DYDB-1"/>
    <x v="24"/>
    <x v="0"/>
    <s v="Кроялен участък"/>
    <x v="3"/>
    <m/>
    <m/>
    <n v="720"/>
    <n v="368.1301544612773"/>
    <n v="0"/>
    <n v="0"/>
  </r>
  <r>
    <n v="847"/>
    <s v="M1634"/>
    <x v="20"/>
    <x v="2"/>
    <x v="2"/>
    <x v="20"/>
    <x v="258"/>
    <s v="Two-Needle, 4-Thread Overlock Machine Juki MO-6713DA"/>
    <x v="24"/>
    <x v="0"/>
    <s v="Кроялен участък"/>
    <x v="3"/>
    <m/>
    <m/>
    <n v="720"/>
    <n v="368.1301544612773"/>
    <n v="0"/>
    <n v="0"/>
  </r>
  <r>
    <n v="848"/>
    <s v="M1669"/>
    <x v="3"/>
    <x v="2"/>
    <x v="2"/>
    <x v="3"/>
    <x v="72"/>
    <s v="1-needle lockstitch machine JUKI DDL 8700-7"/>
    <x v="4"/>
    <x v="0"/>
    <s v="Руйно"/>
    <x v="2"/>
    <m/>
    <d v="2024-03-01T00:00:00"/>
    <n v="2788.84"/>
    <n v="1425.9112499552621"/>
    <n v="0"/>
    <n v="0"/>
  </r>
  <r>
    <n v="849"/>
    <s v="M1687"/>
    <x v="3"/>
    <x v="2"/>
    <x v="2"/>
    <x v="3"/>
    <x v="72"/>
    <s v="1-needle lockstitch machine JUKI DDL 8700-7"/>
    <x v="4"/>
    <x v="0"/>
    <s v="Руйно"/>
    <x v="2"/>
    <m/>
    <d v="2024-03-01T00:00:00"/>
    <n v="2788.84"/>
    <n v="1425.9112499552621"/>
    <n v="0"/>
    <n v="0"/>
  </r>
  <r>
    <n v="850"/>
    <s v="M200202"/>
    <x v="10"/>
    <x v="2"/>
    <x v="2"/>
    <x v="10"/>
    <x v="246"/>
    <s v="Two-Needle, 4-Thread Overlock Machine Juki MO-6713DA"/>
    <x v="42"/>
    <x v="8"/>
    <s v="Шевен 3бр."/>
    <x v="1"/>
    <m/>
    <m/>
    <n v="2535.4249999999997"/>
    <n v="1296.3422178819221"/>
    <n v="0"/>
    <n v="0"/>
  </r>
  <r>
    <n v="851"/>
    <s v="M2039"/>
    <x v="48"/>
    <x v="3"/>
    <x v="3"/>
    <x v="48"/>
    <x v="259"/>
    <s v="Thread Winding Machine"/>
    <x v="4"/>
    <x v="0"/>
    <s v="Руйно-1 ет."/>
    <x v="2"/>
    <m/>
    <d v="2019-03-18T00:00:00"/>
    <n v="450"/>
    <n v="230.08134653829833"/>
    <n v="0"/>
    <n v="0"/>
  </r>
  <r>
    <n v="852"/>
    <s v="M2047"/>
    <x v="10"/>
    <x v="2"/>
    <x v="2"/>
    <x v="10"/>
    <x v="260"/>
    <s v="Two-Needle, 5-Thread Overlock Machine JUKI MO-6816S "/>
    <x v="10"/>
    <x v="26"/>
    <s v="мострена бригада"/>
    <x v="0"/>
    <m/>
    <d v="2024-03-01T00:00:00"/>
    <n v="1800"/>
    <n v="920.32538615319334"/>
    <n v="0"/>
    <n v="0"/>
  </r>
  <r>
    <n v="853"/>
    <s v="М21563"/>
    <x v="10"/>
    <x v="2"/>
    <x v="2"/>
    <x v="10"/>
    <x v="261"/>
    <s v="1-Needle 3-Thread Overlock Machine JUKI MO-6700"/>
    <x v="44"/>
    <x v="8"/>
    <s v="Руйно- 2 ет."/>
    <x v="2"/>
    <m/>
    <m/>
    <n v="2977.5249999999996"/>
    <n v="1522.3843585587704"/>
    <n v="0"/>
    <n v="0"/>
  </r>
  <r>
    <n v="854"/>
    <s v="М21576"/>
    <x v="10"/>
    <x v="2"/>
    <x v="2"/>
    <x v="10"/>
    <x v="97"/>
    <s v="1-Needle 3-Thread Overlock Machine JUKI MO-6704S"/>
    <x v="44"/>
    <x v="8"/>
    <s v="мострена бригада"/>
    <x v="0"/>
    <m/>
    <m/>
    <n v="2977.5249999999996"/>
    <n v="1522.3843585587704"/>
    <n v="0"/>
    <n v="0"/>
  </r>
  <r>
    <n v="855"/>
    <s v="М27055"/>
    <x v="35"/>
    <x v="3"/>
    <x v="3"/>
    <x v="35"/>
    <x v="142"/>
    <s v="Zig-Zag Sewing Machine Brother Z-8560A-431"/>
    <x v="64"/>
    <x v="0"/>
    <s v="мострена бригада"/>
    <x v="0"/>
    <m/>
    <m/>
    <n v="10876.833333333334"/>
    <n v="5561.2365764577362"/>
    <n v="0"/>
    <n v="0"/>
  </r>
  <r>
    <n v="856"/>
    <s v="М28"/>
    <x v="11"/>
    <x v="2"/>
    <x v="2"/>
    <x v="11"/>
    <x v="27"/>
    <s v="Layering table for cutting Kuris"/>
    <x v="15"/>
    <x v="10"/>
    <m/>
    <x v="3"/>
    <m/>
    <m/>
    <n v="33354.699999999997"/>
    <n v="17053.987309735508"/>
    <n v="0"/>
    <n v="0"/>
  </r>
  <r>
    <n v="857"/>
    <s v="М30884"/>
    <x v="28"/>
    <x v="2"/>
    <x v="2"/>
    <x v="28"/>
    <x v="262"/>
    <s v="Straight Knife Cutting Machine Dayang"/>
    <x v="4"/>
    <x v="0"/>
    <s v="Кроялен участък"/>
    <x v="3"/>
    <m/>
    <m/>
    <n v="2335"/>
    <n v="1193.8665425931702"/>
    <n v="0"/>
    <n v="0"/>
  </r>
  <r>
    <n v="858"/>
    <s v="М30891"/>
    <x v="28"/>
    <x v="2"/>
    <x v="2"/>
    <x v="28"/>
    <x v="262"/>
    <s v="Straight Knife Cutting Machine Dayang"/>
    <x v="4"/>
    <x v="0"/>
    <s v="Кроялен участък"/>
    <x v="3"/>
    <m/>
    <m/>
    <n v="2335"/>
    <n v="1193.8665425931702"/>
    <n v="0"/>
    <n v="0"/>
  </r>
  <r>
    <n v="859"/>
    <s v="М31012"/>
    <x v="21"/>
    <x v="3"/>
    <x v="3"/>
    <x v="21"/>
    <x v="137"/>
    <s v="Hook-and-Eye Attaching Machine / Press"/>
    <x v="43"/>
    <x v="27"/>
    <s v="Руйно- 2 ет."/>
    <x v="2"/>
    <m/>
    <m/>
    <n v="1080"/>
    <n v="552.19523169191598"/>
    <n v="0"/>
    <n v="0"/>
  </r>
  <r>
    <n v="860"/>
    <s v="М3204"/>
    <x v="44"/>
    <x v="5"/>
    <x v="5"/>
    <x v="44"/>
    <x v="263"/>
    <s v="Vacuum pump Piller VHRG 0442"/>
    <x v="4"/>
    <x v="0"/>
    <s v="Шевен участък"/>
    <x v="1"/>
    <m/>
    <m/>
    <n v="5071.47"/>
    <n v="2593.0014367301865"/>
    <n v="0"/>
    <n v="0"/>
  </r>
  <r>
    <n v="861"/>
    <s v="M38651"/>
    <x v="10"/>
    <x v="2"/>
    <x v="2"/>
    <x v="10"/>
    <x v="264"/>
    <s v="Two-Needle, 5-Thread Overlock Machine MO3600"/>
    <x v="10"/>
    <x v="26"/>
    <s v="Склад машини"/>
    <x v="1"/>
    <m/>
    <m/>
    <n v="1800"/>
    <n v="920.32538615319334"/>
    <n v="0"/>
    <n v="0"/>
  </r>
  <r>
    <n v="862"/>
    <s v="M3957"/>
    <x v="3"/>
    <x v="2"/>
    <x v="2"/>
    <x v="3"/>
    <x v="265"/>
    <s v="1-needle lockstitch machine JUKI DDL 8700B-7"/>
    <x v="4"/>
    <x v="0"/>
    <s v="Руйно"/>
    <x v="2"/>
    <m/>
    <d v="2024-03-01T00:00:00"/>
    <n v="2788.84"/>
    <n v="1425.9112499552621"/>
    <n v="0"/>
    <n v="0"/>
  </r>
  <r>
    <n v="863"/>
    <s v="М402"/>
    <x v="11"/>
    <x v="2"/>
    <x v="2"/>
    <x v="11"/>
    <x v="266"/>
    <s v="Transport band feeding Fusing press VEIT BRISAY KANNEGIESSER XT1000 with inventory number 402"/>
    <x v="26"/>
    <x v="54"/>
    <m/>
    <x v="3"/>
    <m/>
    <m/>
    <n v="1348"/>
    <n v="689.22145585250257"/>
    <n v="0"/>
    <n v="0"/>
  </r>
  <r>
    <n v="864"/>
    <s v="M4731"/>
    <x v="3"/>
    <x v="2"/>
    <x v="2"/>
    <x v="3"/>
    <x v="72"/>
    <s v="1-needle lockstitch machine JUKI DDL 8700-7"/>
    <x v="4"/>
    <x v="0"/>
    <s v="Руйно"/>
    <x v="2"/>
    <m/>
    <d v="2024-03-01T00:00:00"/>
    <n v="2788.84"/>
    <n v="1425.9112499552621"/>
    <n v="0"/>
    <n v="0"/>
  </r>
  <r>
    <n v="865"/>
    <s v="M4733"/>
    <x v="3"/>
    <x v="2"/>
    <x v="2"/>
    <x v="3"/>
    <x v="72"/>
    <s v="1-needle lockstitch machine JUKI DDL 8700-7"/>
    <x v="4"/>
    <x v="0"/>
    <s v="Руйно"/>
    <x v="2"/>
    <m/>
    <d v="2024-03-01T00:00:00"/>
    <n v="2788.84"/>
    <n v="1425.9112499552621"/>
    <n v="0"/>
    <n v="0"/>
  </r>
  <r>
    <n v="866"/>
    <s v="М50063"/>
    <x v="2"/>
    <x v="1"/>
    <x v="1"/>
    <x v="2"/>
    <x v="23"/>
    <s v="Single blindstitch machine Strobel KL45-223"/>
    <x v="13"/>
    <x v="9"/>
    <s v="Склад машини"/>
    <x v="1"/>
    <m/>
    <m/>
    <n v="13703.891249999999"/>
    <n v="7006.6883369208972"/>
    <n v="0"/>
    <n v="0"/>
  </r>
  <r>
    <n v="867"/>
    <s v="М50117"/>
    <x v="2"/>
    <x v="1"/>
    <x v="1"/>
    <x v="2"/>
    <x v="3"/>
    <s v="Single blindstitch machine Strobel 103-180"/>
    <x v="3"/>
    <x v="9"/>
    <s v="Склад машини"/>
    <x v="1"/>
    <m/>
    <m/>
    <n v="5317.54"/>
    <n v="2718.8150299361396"/>
    <n v="0"/>
    <n v="0"/>
  </r>
  <r>
    <n v="868"/>
    <s v="М50367"/>
    <x v="2"/>
    <x v="1"/>
    <x v="1"/>
    <x v="2"/>
    <x v="3"/>
    <s v="Single blindstitch machine Strobel 103-180"/>
    <x v="3"/>
    <x v="9"/>
    <s v="Склад машини"/>
    <x v="1"/>
    <m/>
    <m/>
    <n v="5317.54"/>
    <n v="2718.8150299361396"/>
    <n v="0"/>
    <n v="0"/>
  </r>
  <r>
    <n v="869"/>
    <s v="М50377"/>
    <x v="2"/>
    <x v="1"/>
    <x v="1"/>
    <x v="2"/>
    <x v="3"/>
    <s v="Single blindstitch machine Strobel 103-180"/>
    <x v="3"/>
    <x v="9"/>
    <s v="Шевен 3бр."/>
    <x v="1"/>
    <m/>
    <m/>
    <n v="5317.54"/>
    <n v="2718.8150299361396"/>
    <n v="0"/>
    <n v="0"/>
  </r>
  <r>
    <n v="870"/>
    <s v="М51043"/>
    <x v="2"/>
    <x v="1"/>
    <x v="1"/>
    <x v="2"/>
    <x v="23"/>
    <s v="Single blindstitch machine Strobel KL45-223"/>
    <x v="13"/>
    <x v="9"/>
    <s v="мострена бригада"/>
    <x v="0"/>
    <m/>
    <m/>
    <n v="13703.891249999999"/>
    <n v="7006.6883369208972"/>
    <n v="0"/>
    <n v="0"/>
  </r>
  <r>
    <n v="871"/>
    <s v="М51053"/>
    <x v="2"/>
    <x v="1"/>
    <x v="1"/>
    <x v="2"/>
    <x v="23"/>
    <s v="Single blindstitch machine Strobel KL45-223"/>
    <x v="13"/>
    <x v="9"/>
    <s v="Шевен 3бр."/>
    <x v="1"/>
    <m/>
    <m/>
    <n v="13703.891249999999"/>
    <n v="7006.6883369208972"/>
    <n v="0"/>
    <n v="0"/>
  </r>
  <r>
    <n v="872"/>
    <s v="M5535"/>
    <x v="3"/>
    <x v="2"/>
    <x v="2"/>
    <x v="3"/>
    <x v="265"/>
    <s v="1-needle lockstitch machine JUKI DDL 8700B-7"/>
    <x v="4"/>
    <x v="0"/>
    <s v="Руйно"/>
    <x v="2"/>
    <m/>
    <d v="2024-03-01T00:00:00"/>
    <n v="2788.84"/>
    <n v="1425.9112499552621"/>
    <n v="0"/>
    <n v="0"/>
  </r>
  <r>
    <n v="873"/>
    <s v="М56904"/>
    <x v="47"/>
    <x v="3"/>
    <x v="3"/>
    <x v="47"/>
    <x v="267"/>
    <s v="Electric Slitting Machine for Tape/Binding CuTex"/>
    <x v="4"/>
    <x v="55"/>
    <s v="Руйно- 2 ет."/>
    <x v="2"/>
    <n v="14521"/>
    <m/>
    <n v="1800"/>
    <n v="920.32538615319334"/>
    <n v="0"/>
    <n v="0"/>
  </r>
  <r>
    <n v="874"/>
    <s v="М601135"/>
    <x v="16"/>
    <x v="0"/>
    <x v="0"/>
    <x v="16"/>
    <x v="202"/>
    <s v="Vertical Sleeve Finish Pressing Machine for Jackets/Coats Veit BRI-890/111"/>
    <x v="88"/>
    <x v="0"/>
    <s v="Довършителен участък "/>
    <x v="1"/>
    <m/>
    <m/>
    <n v="63399"/>
    <n v="32415.393975959058"/>
    <n v="0"/>
    <n v="0"/>
  </r>
  <r>
    <n v="875"/>
    <s v="М601136"/>
    <x v="16"/>
    <x v="0"/>
    <x v="0"/>
    <x v="16"/>
    <x v="204"/>
    <s v="Armhole Pressing Machine for Jackets Veit BRI-2065/201"/>
    <x v="90"/>
    <x v="0"/>
    <s v="Шевен 3бр."/>
    <x v="1"/>
    <m/>
    <m/>
    <n v="28329"/>
    <n v="14484.387702407674"/>
    <n v="0"/>
    <n v="0"/>
  </r>
  <r>
    <n v="876"/>
    <s v="М601137"/>
    <x v="16"/>
    <x v="0"/>
    <x v="0"/>
    <x v="16"/>
    <x v="268"/>
    <s v="Finish Pressing Machine for Elbow Seams Veit BRI-860/101"/>
    <x v="89"/>
    <x v="0"/>
    <s v="Довършителен участък "/>
    <x v="1"/>
    <m/>
    <m/>
    <n v="83249"/>
    <n v="42564.537817703997"/>
    <n v="0"/>
    <n v="0"/>
  </r>
  <r>
    <n v="877"/>
    <s v="М6565"/>
    <x v="32"/>
    <x v="5"/>
    <x v="5"/>
    <x v="32"/>
    <x v="161"/>
    <s v="Air pressure tank 500 l."/>
    <x v="71"/>
    <x v="39"/>
    <s v="Техническа подготовка"/>
    <x v="5"/>
    <m/>
    <m/>
    <n v="1695"/>
    <n v="866.6397386275903"/>
    <n v="0"/>
    <n v="0"/>
  </r>
  <r>
    <n v="878"/>
    <s v="M6617"/>
    <x v="3"/>
    <x v="2"/>
    <x v="2"/>
    <x v="3"/>
    <x v="265"/>
    <s v="1-needle lockstitch machineJUKI DDL 8700B-7"/>
    <x v="4"/>
    <x v="0"/>
    <s v="Руйно"/>
    <x v="2"/>
    <m/>
    <d v="2024-03-01T00:00:00"/>
    <n v="2788.84"/>
    <n v="1425.9112499552621"/>
    <n v="0"/>
    <n v="0"/>
  </r>
  <r>
    <n v="879"/>
    <s v="M6628"/>
    <x v="3"/>
    <x v="2"/>
    <x v="2"/>
    <x v="3"/>
    <x v="265"/>
    <s v="1-needle lockstitch machineJUKI DDL 8700B-7"/>
    <x v="4"/>
    <x v="0"/>
    <s v="Руйно"/>
    <x v="2"/>
    <m/>
    <d v="2024-03-01T00:00:00"/>
    <n v="2788.84"/>
    <n v="1425.9112499552621"/>
    <n v="0"/>
    <n v="0"/>
  </r>
  <r>
    <n v="880"/>
    <s v="М6697"/>
    <x v="44"/>
    <x v="5"/>
    <x v="5"/>
    <x v="44"/>
    <x v="269"/>
    <s v="Vaccuum pump 6697"/>
    <x v="4"/>
    <x v="0"/>
    <s v="Шевен участък"/>
    <x v="1"/>
    <m/>
    <m/>
    <n v="5071.47"/>
    <n v="2593.0014367301865"/>
    <n v="0"/>
    <n v="0"/>
  </r>
  <r>
    <n v="881"/>
    <s v="М70"/>
    <x v="32"/>
    <x v="5"/>
    <x v="5"/>
    <x v="32"/>
    <x v="270"/>
    <s v="Air pressure tank 1000 l."/>
    <x v="71"/>
    <x v="56"/>
    <s v="Шевен участък"/>
    <x v="1"/>
    <m/>
    <m/>
    <n v="2285"/>
    <n v="1168.3019485333593"/>
    <n v="0"/>
    <n v="0"/>
  </r>
  <r>
    <n v="882"/>
    <s v="М70696"/>
    <x v="10"/>
    <x v="2"/>
    <x v="2"/>
    <x v="10"/>
    <x v="264"/>
    <s v="2-Needle 5-Thread Safety Stitch Machine JUKI MO-3600"/>
    <x v="10"/>
    <x v="26"/>
    <s v="Руйно-1 ет."/>
    <x v="2"/>
    <m/>
    <m/>
    <n v="1800"/>
    <n v="920.32538615319334"/>
    <n v="0"/>
    <n v="0"/>
  </r>
  <r>
    <n v="883"/>
    <s v="М7629"/>
    <x v="27"/>
    <x v="3"/>
    <x v="3"/>
    <x v="27"/>
    <x v="271"/>
    <s v="Coverstitch Machine Kansai"/>
    <x v="102"/>
    <x v="44"/>
    <s v="Шевен 3бр."/>
    <x v="1"/>
    <m/>
    <m/>
    <n v="7093"/>
    <n v="3626.5933133247777"/>
    <n v="0"/>
    <n v="0"/>
  </r>
  <r>
    <n v="884"/>
    <s v="М7705"/>
    <x v="45"/>
    <x v="2"/>
    <x v="2"/>
    <x v="45"/>
    <x v="254"/>
    <s v="Awl Micro Top SM-201L"/>
    <x v="4"/>
    <x v="0"/>
    <s v="Кроялен участък"/>
    <x v="3"/>
    <m/>
    <m/>
    <n v="687"/>
    <n v="351.25752238180212"/>
    <n v="0"/>
    <n v="0"/>
  </r>
  <r>
    <n v="885"/>
    <s v="M8005"/>
    <x v="20"/>
    <x v="2"/>
    <x v="2"/>
    <x v="20"/>
    <x v="272"/>
    <s v="Disc shears Robo Technology RT108"/>
    <x v="24"/>
    <x v="0"/>
    <s v="Кроялен участък"/>
    <x v="3"/>
    <m/>
    <m/>
    <n v="720"/>
    <n v="368.1301544612773"/>
    <n v="0"/>
    <n v="0"/>
  </r>
  <r>
    <n v="886"/>
    <s v="М8095"/>
    <x v="48"/>
    <x v="3"/>
    <x v="3"/>
    <x v="48"/>
    <x v="273"/>
    <s v="Thread Winding Machine KaiXuan-KX05"/>
    <x v="4"/>
    <x v="0"/>
    <s v="Склад машини"/>
    <x v="1"/>
    <m/>
    <m/>
    <n v="450"/>
    <n v="230.08134653829833"/>
    <n v="0"/>
    <n v="0"/>
  </r>
  <r>
    <n v="887"/>
    <s v="М83505"/>
    <x v="1"/>
    <x v="0"/>
    <x v="0"/>
    <x v="1"/>
    <x v="7"/>
    <s v="Ironing table Veit"/>
    <x v="1"/>
    <x v="5"/>
    <s v="Руйно- 2 ет."/>
    <x v="2"/>
    <m/>
    <m/>
    <n v="3644"/>
    <n v="1863.1476150790202"/>
    <n v="0"/>
    <n v="0"/>
  </r>
  <r>
    <n v="888"/>
    <s v="М8353"/>
    <x v="16"/>
    <x v="0"/>
    <x v="0"/>
    <x v="16"/>
    <x v="274"/>
    <s v=" Indupress IPN-TOP-B 03"/>
    <x v="103"/>
    <x v="0"/>
    <s v="Руйно- 2 ет."/>
    <x v="2"/>
    <m/>
    <m/>
    <n v="36000"/>
    <n v="18406.507723063867"/>
    <n v="0"/>
    <n v="0"/>
  </r>
  <r>
    <n v="889"/>
    <s v="М86538"/>
    <x v="3"/>
    <x v="2"/>
    <x v="2"/>
    <x v="3"/>
    <x v="54"/>
    <s v="1-needle lockstitch machine Brother S-7200C"/>
    <x v="4"/>
    <x v="0"/>
    <s v="мострена бригада"/>
    <x v="0"/>
    <m/>
    <m/>
    <n v="2366.5500000000002"/>
    <n v="1209.9978014449109"/>
    <n v="0"/>
    <n v="0"/>
  </r>
  <r>
    <n v="890"/>
    <s v="M8791"/>
    <x v="3"/>
    <x v="2"/>
    <x v="2"/>
    <x v="3"/>
    <x v="275"/>
    <s v="1-needle lockstitch machineJUKI DDL5550N-7"/>
    <x v="4"/>
    <x v="0"/>
    <s v="Руйно"/>
    <x v="2"/>
    <m/>
    <d v="2024-03-01T00:00:00"/>
    <n v="2788.84"/>
    <n v="1425.9112499552621"/>
    <n v="0"/>
    <n v="0"/>
  </r>
  <r>
    <n v="891"/>
    <s v="М91"/>
    <x v="32"/>
    <x v="5"/>
    <x v="5"/>
    <x v="32"/>
    <x v="270"/>
    <s v="Air pressure tank 1000 l."/>
    <x v="71"/>
    <x v="56"/>
    <s v="Шевен участък"/>
    <x v="1"/>
    <m/>
    <m/>
    <n v="2285"/>
    <n v="1168.3019485333593"/>
    <n v="0"/>
    <n v="0"/>
  </r>
  <r>
    <n v="892"/>
    <s v="M9974"/>
    <x v="3"/>
    <x v="2"/>
    <x v="2"/>
    <x v="3"/>
    <x v="72"/>
    <s v="1-needle lockstitch machineJUKI DDL 8700B-7"/>
    <x v="4"/>
    <x v="0"/>
    <s v="Руйно"/>
    <x v="2"/>
    <m/>
    <d v="2024-03-01T00:00:00"/>
    <n v="2788.84"/>
    <n v="1425.9112499552621"/>
    <n v="0"/>
    <n v="0"/>
  </r>
  <r>
    <n v="893"/>
    <m/>
    <x v="13"/>
    <x v="4"/>
    <x v="4"/>
    <x v="13"/>
    <x v="276"/>
    <s v="Light box Termal B11660"/>
    <x v="81"/>
    <x v="0"/>
    <m/>
    <x v="4"/>
    <m/>
    <m/>
    <n v="2774.93"/>
    <n v="1418.7991798878224"/>
    <n v="0"/>
    <n v="0"/>
  </r>
  <r>
    <n v="894"/>
    <m/>
    <x v="13"/>
    <x v="4"/>
    <x v="4"/>
    <x v="13"/>
    <x v="277"/>
    <s v="Light box Veri Vide CAC 60"/>
    <x v="81"/>
    <x v="0"/>
    <m/>
    <x v="4"/>
    <m/>
    <m/>
    <n v="2774.93"/>
    <n v="1418.7991798878224"/>
    <n v="0"/>
    <n v="0"/>
  </r>
  <r>
    <n v="895"/>
    <m/>
    <x v="13"/>
    <x v="4"/>
    <x v="4"/>
    <x v="13"/>
    <x v="278"/>
    <s v="Testex TF178 ISO 3759 shrinkage test kit"/>
    <x v="104"/>
    <x v="57"/>
    <m/>
    <x v="4"/>
    <m/>
    <m/>
    <n v="469"/>
    <n v="239.79589228102648"/>
    <n v="0"/>
    <n v="0"/>
  </r>
  <r>
    <n v="896"/>
    <m/>
    <x v="13"/>
    <x v="4"/>
    <x v="4"/>
    <x v="13"/>
    <x v="279"/>
    <s v="shrinkage test kit"/>
    <x v="104"/>
    <x v="58"/>
    <m/>
    <x v="4"/>
    <m/>
    <m/>
    <n v="195.583"/>
    <n v="100"/>
    <n v="0"/>
    <n v="0"/>
  </r>
  <r>
    <n v="897"/>
    <m/>
    <x v="13"/>
    <x v="4"/>
    <x v="4"/>
    <x v="13"/>
    <x v="280"/>
    <s v="Karl Schroder KG D6940 punch and scale set"/>
    <x v="105"/>
    <x v="0"/>
    <m/>
    <x v="4"/>
    <m/>
    <m/>
    <n v="172"/>
    <n v="87.94220356574958"/>
    <n v="0"/>
    <n v="0"/>
  </r>
  <r>
    <n v="898"/>
    <m/>
    <x v="49"/>
    <x v="3"/>
    <x v="3"/>
    <x v="49"/>
    <x v="281"/>
    <s v="Zipper slider setting device"/>
    <x v="4"/>
    <x v="0"/>
    <m/>
    <x v="5"/>
    <m/>
    <d v="2022-06-08T00:00:00"/>
    <n v="242.52292"/>
    <n v="124"/>
    <n v="0"/>
    <n v="0"/>
  </r>
  <r>
    <n v="899"/>
    <m/>
    <x v="21"/>
    <x v="3"/>
    <x v="3"/>
    <x v="21"/>
    <x v="282"/>
    <s v="Hand Press Machine for Attaching Buttons and Eyelets"/>
    <x v="106"/>
    <x v="16"/>
    <s v="мострена бригада"/>
    <x v="0"/>
    <m/>
    <m/>
    <n v="140"/>
    <n v="71.580863367470585"/>
    <n v="0"/>
    <n v="0"/>
  </r>
  <r>
    <n v="900"/>
    <m/>
    <x v="33"/>
    <x v="3"/>
    <x v="3"/>
    <x v="33"/>
    <x v="283"/>
    <s v="Double Face Slitting / Separating / Splitting Machine BTB"/>
    <x v="107"/>
    <x v="0"/>
    <s v="Склад машини"/>
    <x v="1"/>
    <m/>
    <m/>
    <n v="5000"/>
    <n v="2556.4594059810925"/>
    <n v="0"/>
    <n v="0"/>
  </r>
  <r>
    <n v="901"/>
    <m/>
    <x v="33"/>
    <x v="3"/>
    <x v="3"/>
    <x v="33"/>
    <x v="283"/>
    <s v="Double Face Slitting / Separating / Splitting Machine BTB"/>
    <x v="107"/>
    <x v="0"/>
    <s v="Склад машини"/>
    <x v="1"/>
    <m/>
    <m/>
    <n v="5000"/>
    <n v="2556.4594059810925"/>
    <n v="0"/>
    <n v="0"/>
  </r>
  <r>
    <n v="902"/>
    <m/>
    <x v="33"/>
    <x v="3"/>
    <x v="3"/>
    <x v="33"/>
    <x v="283"/>
    <s v="Double Face Slitting / Separating / Splitting Machine BTB"/>
    <x v="107"/>
    <x v="0"/>
    <s v="Склад машини"/>
    <x v="1"/>
    <m/>
    <m/>
    <n v="5000"/>
    <n v="2556.4594059810925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1000000}" name="Обобщена таблица4" cacheId="0" applyNumberFormats="0" applyBorderFormats="0" applyFontFormats="0" applyPatternFormats="0" applyAlignmentFormats="0" applyWidthHeightFormats="1" dataCaption="Стойности" updatedVersion="8" minRefreshableVersion="3" itemPrintTitles="1" mergeItem="1" createdVersion="6" indent="0" compact="0" compactData="0" gridDropZones="1">
  <location ref="A3:H234" firstHeaderRow="1" firstDataRow="2" firstDataCol="6" rowPageCount="1" colPageCount="1"/>
  <pivotFields count="18">
    <pivotField compact="0" outline="0" showAll="0"/>
    <pivotField compact="0" outline="0" showAll="0"/>
    <pivotField axis="axisRow" compact="0" outline="0" showAll="0" defaultSubtotal="0">
      <items count="50">
        <item x="3"/>
        <item x="10"/>
        <item x="7"/>
        <item x="35"/>
        <item x="6"/>
        <item x="8"/>
        <item x="27"/>
        <item x="22"/>
        <item x="2"/>
        <item x="5"/>
        <item x="4"/>
        <item x="19"/>
        <item x="31"/>
        <item x="25"/>
        <item x="42"/>
        <item x="1"/>
        <item x="16"/>
        <item x="0"/>
        <item x="28"/>
        <item x="15"/>
        <item x="14"/>
        <item x="9"/>
        <item x="29"/>
        <item x="11"/>
        <item x="12"/>
        <item x="13"/>
        <item x="18"/>
        <item x="21"/>
        <item x="24"/>
        <item x="33"/>
        <item x="36"/>
        <item x="30"/>
        <item x="32"/>
        <item x="44"/>
        <item x="17"/>
        <item x="20"/>
        <item x="40"/>
        <item x="38"/>
        <item x="39"/>
        <item x="46"/>
        <item x="47"/>
        <item x="48"/>
        <item x="49"/>
        <item x="34"/>
        <item x="43"/>
        <item x="45"/>
        <item x="37"/>
        <item x="41"/>
        <item x="26"/>
        <item x="23"/>
      </items>
    </pivotField>
    <pivotField axis="axisRow" compact="0" outline="0" showAll="0" defaultSubtotal="0">
      <items count="6">
        <item x="2"/>
        <item x="1"/>
        <item x="3"/>
        <item x="0"/>
        <item x="4"/>
        <item x="5"/>
      </items>
    </pivotField>
    <pivotField axis="axisRow" compact="0" outline="0" showAll="0" defaultSubtotal="0">
      <items count="6">
        <item x="3"/>
        <item x="4"/>
        <item x="1"/>
        <item x="2"/>
        <item x="5"/>
        <item x="0"/>
      </items>
    </pivotField>
    <pivotField axis="axisRow" compact="0" outline="0" showAll="0">
      <items count="51">
        <item x="14"/>
        <item x="10"/>
        <item x="24"/>
        <item x="25"/>
        <item x="30"/>
        <item x="29"/>
        <item x="44"/>
        <item x="22"/>
        <item x="41"/>
        <item x="28"/>
        <item x="1"/>
        <item x="16"/>
        <item x="7"/>
        <item x="20"/>
        <item x="3"/>
        <item x="35"/>
        <item x="5"/>
        <item x="32"/>
        <item x="6"/>
        <item x="9"/>
        <item x="11"/>
        <item x="38"/>
        <item x="43"/>
        <item x="48"/>
        <item x="42"/>
        <item x="33"/>
        <item x="34"/>
        <item x="36"/>
        <item x="47"/>
        <item x="17"/>
        <item x="0"/>
        <item x="23"/>
        <item x="2"/>
        <item x="15"/>
        <item x="27"/>
        <item x="8"/>
        <item x="31"/>
        <item x="21"/>
        <item x="26"/>
        <item x="18"/>
        <item x="12"/>
        <item x="46"/>
        <item x="49"/>
        <item x="37"/>
        <item x="19"/>
        <item x="4"/>
        <item x="39"/>
        <item x="40"/>
        <item x="45"/>
        <item x="13"/>
        <item t="default"/>
      </items>
    </pivotField>
    <pivotField dataField="1" compact="0" outline="0" showAll="0" defaultSubtotal="0">
      <items count="284">
        <item x="274"/>
        <item x="26"/>
        <item x="228"/>
        <item x="64"/>
        <item x="238"/>
        <item x="66"/>
        <item x="67"/>
        <item x="106"/>
        <item x="134"/>
        <item x="158"/>
        <item x="86"/>
        <item x="217"/>
        <item x="169"/>
        <item x="269"/>
        <item x="243"/>
        <item x="263"/>
        <item x="129"/>
        <item x="223"/>
        <item x="60"/>
        <item x="213"/>
        <item x="199"/>
        <item x="244"/>
        <item x="128"/>
        <item x="69"/>
        <item x="195"/>
        <item x="179"/>
        <item x="242"/>
        <item x="153"/>
        <item x="241"/>
        <item x="181"/>
        <item x="262"/>
        <item x="159"/>
        <item x="79"/>
        <item x="88"/>
        <item x="202"/>
        <item x="78"/>
        <item x="19"/>
        <item x="99"/>
        <item x="81"/>
        <item x="51"/>
        <item x="7"/>
        <item x="120"/>
        <item x="121"/>
        <item x="127"/>
        <item x="211"/>
        <item x="221"/>
        <item x="147"/>
        <item x="2"/>
        <item x="225"/>
        <item x="218"/>
        <item x="119"/>
        <item x="219"/>
        <item x="220"/>
        <item x="58"/>
        <item x="21"/>
        <item x="191"/>
        <item x="52"/>
        <item x="215"/>
        <item x="268"/>
        <item x="203"/>
        <item x="206"/>
        <item x="30"/>
        <item x="200"/>
        <item x="33"/>
        <item x="35"/>
        <item x="204"/>
        <item x="34"/>
        <item x="36"/>
        <item x="201"/>
        <item x="31"/>
        <item x="205"/>
        <item x="246"/>
        <item x="94"/>
        <item x="172"/>
        <item x="154"/>
        <item x="155"/>
        <item x="138"/>
        <item x="83"/>
        <item x="14"/>
        <item x="260"/>
        <item x="264"/>
        <item x="95"/>
        <item x="125"/>
        <item x="171"/>
        <item x="101"/>
        <item x="188"/>
        <item x="194"/>
        <item x="10"/>
        <item x="258"/>
        <item x="87"/>
        <item x="251"/>
        <item x="272"/>
        <item x="46"/>
        <item x="44"/>
        <item x="245"/>
        <item x="97"/>
        <item x="100"/>
        <item x="261"/>
        <item x="216"/>
        <item x="210"/>
        <item x="118"/>
        <item x="132"/>
        <item x="212"/>
        <item x="13"/>
        <item x="131"/>
        <item x="55"/>
        <item x="43"/>
        <item x="70"/>
        <item x="98"/>
        <item x="192"/>
        <item x="54"/>
        <item x="156"/>
        <item x="275"/>
        <item x="71"/>
        <item x="72"/>
        <item x="265"/>
        <item x="41"/>
        <item x="76"/>
        <item x="91"/>
        <item x="110"/>
        <item x="42"/>
        <item x="4"/>
        <item x="102"/>
        <item x="111"/>
        <item x="267"/>
        <item x="257"/>
        <item x="142"/>
        <item x="15"/>
        <item x="148"/>
        <item x="39"/>
        <item x="59"/>
        <item x="6"/>
        <item x="197"/>
        <item x="140"/>
        <item x="236"/>
        <item x="17"/>
        <item x="279"/>
        <item x="278"/>
        <item x="280"/>
        <item x="115"/>
        <item x="50"/>
        <item x="233"/>
        <item x="16"/>
        <item x="9"/>
        <item x="84"/>
        <item x="75"/>
        <item x="182"/>
        <item x="149"/>
        <item x="157"/>
        <item x="187"/>
        <item x="53"/>
        <item x="12"/>
        <item x="164"/>
        <item x="276"/>
        <item x="180"/>
        <item x="277"/>
        <item x="152"/>
        <item x="214"/>
        <item x="92"/>
        <item x="175"/>
        <item x="240"/>
        <item x="93"/>
        <item x="151"/>
        <item x="90"/>
        <item x="177"/>
        <item x="37"/>
        <item x="231"/>
        <item x="259"/>
        <item x="273"/>
        <item x="198"/>
        <item x="135"/>
        <item x="186"/>
        <item x="139"/>
        <item x="145"/>
        <item x="248"/>
        <item x="27"/>
        <item x="141"/>
        <item x="104"/>
        <item x="62"/>
        <item x="229"/>
        <item x="165"/>
        <item x="82"/>
        <item x="226"/>
        <item x="232"/>
        <item x="133"/>
        <item x="3"/>
        <item x="109"/>
        <item x="23"/>
        <item x="239"/>
        <item x="126"/>
        <item x="122"/>
        <item x="137"/>
        <item x="160"/>
        <item x="185"/>
        <item x="65"/>
        <item x="28"/>
        <item x="29"/>
        <item x="271"/>
        <item x="247"/>
        <item x="112"/>
        <item x="255"/>
        <item x="193"/>
        <item x="235"/>
        <item x="170"/>
        <item x="73"/>
        <item x="196"/>
        <item x="108"/>
        <item x="190"/>
        <item x="178"/>
        <item x="68"/>
        <item x="136"/>
        <item x="74"/>
        <item x="270"/>
        <item x="161"/>
        <item x="184"/>
        <item x="20"/>
        <item x="266"/>
        <item x="47"/>
        <item x="114"/>
        <item x="107"/>
        <item x="113"/>
        <item x="124"/>
        <item x="256"/>
        <item x="281"/>
        <item x="150"/>
        <item x="80"/>
        <item x="222"/>
        <item x="40"/>
        <item x="146"/>
        <item x="252"/>
        <item x="249"/>
        <item x="183"/>
        <item x="162"/>
        <item x="5"/>
        <item x="173"/>
        <item x="189"/>
        <item x="25"/>
        <item x="116"/>
        <item x="144"/>
        <item x="143"/>
        <item x="166"/>
        <item x="167"/>
        <item x="174"/>
        <item x="254"/>
        <item x="253"/>
        <item x="0"/>
        <item x="61"/>
        <item x="77"/>
        <item x="1"/>
        <item x="8"/>
        <item x="18"/>
        <item x="22"/>
        <item x="56"/>
        <item x="57"/>
        <item x="63"/>
        <item x="103"/>
        <item x="130"/>
        <item x="207"/>
        <item x="208"/>
        <item x="227"/>
        <item x="237"/>
        <item x="209"/>
        <item x="224"/>
        <item x="32"/>
        <item x="49"/>
        <item x="11"/>
        <item x="24"/>
        <item x="48"/>
        <item x="123"/>
        <item x="234"/>
        <item x="168"/>
        <item x="38"/>
        <item x="89"/>
        <item x="96"/>
        <item x="105"/>
        <item x="230"/>
        <item x="45"/>
        <item x="117"/>
        <item x="163"/>
        <item x="282"/>
        <item x="176"/>
        <item x="250"/>
        <item x="283"/>
        <item x="85"/>
      </items>
    </pivotField>
    <pivotField compact="0" outline="0" showAll="0"/>
    <pivotField axis="axisRow" compact="0" outline="0" showAll="0" defaultSubtotal="0">
      <items count="108">
        <item x="97"/>
        <item x="32"/>
        <item x="44"/>
        <item x="31"/>
        <item x="42"/>
        <item x="95"/>
        <item x="82"/>
        <item x="10"/>
        <item x="56"/>
        <item x="48"/>
        <item x="70"/>
        <item x="14"/>
        <item x="34"/>
        <item x="51"/>
        <item x="98"/>
        <item x="83"/>
        <item x="29"/>
        <item x="64"/>
        <item x="37"/>
        <item x="7"/>
        <item x="58"/>
        <item x="69"/>
        <item x="11"/>
        <item x="5"/>
        <item x="45"/>
        <item x="8"/>
        <item x="9"/>
        <item x="59"/>
        <item x="3"/>
        <item x="54"/>
        <item x="57"/>
        <item x="96"/>
        <item x="62"/>
        <item x="66"/>
        <item x="2"/>
        <item x="67"/>
        <item x="20"/>
        <item x="84"/>
        <item x="92"/>
        <item x="13"/>
        <item x="50"/>
        <item x="103"/>
        <item x="99"/>
        <item x="86"/>
        <item x="52"/>
        <item x="80"/>
        <item x="19"/>
        <item x="33"/>
        <item x="28"/>
        <item x="4"/>
        <item x="0"/>
        <item x="1"/>
        <item x="30"/>
        <item x="91"/>
        <item x="46"/>
        <item x="35"/>
        <item x="6"/>
        <item x="27"/>
        <item x="38"/>
        <item x="39"/>
        <item x="61"/>
        <item x="68"/>
        <item x="75"/>
        <item x="76"/>
        <item x="85"/>
        <item x="87"/>
        <item x="93"/>
        <item x="102"/>
        <item x="49"/>
        <item x="60"/>
        <item x="65"/>
        <item x="74"/>
        <item x="77"/>
        <item x="94"/>
        <item x="100"/>
        <item x="15"/>
        <item x="16"/>
        <item x="17"/>
        <item x="18"/>
        <item x="22"/>
        <item x="23"/>
        <item x="26"/>
        <item x="55"/>
        <item x="79"/>
        <item x="88"/>
        <item x="89"/>
        <item x="90"/>
        <item x="24"/>
        <item x="53"/>
        <item x="71"/>
        <item x="72"/>
        <item x="73"/>
        <item x="101"/>
        <item x="107"/>
        <item x="21"/>
        <item x="47"/>
        <item x="12"/>
        <item x="36"/>
        <item x="40"/>
        <item x="41"/>
        <item x="78"/>
        <item x="81"/>
        <item x="105"/>
        <item x="104"/>
        <item x="63"/>
        <item x="25"/>
        <item x="43"/>
        <item x="106"/>
      </items>
    </pivotField>
    <pivotField axis="axisRow" compact="0" outline="0" showAll="0" defaultSubtotal="0">
      <items count="59">
        <item x="45"/>
        <item x="19"/>
        <item x="24"/>
        <item x="4"/>
        <item x="47"/>
        <item x="26"/>
        <item x="36"/>
        <item x="21"/>
        <item x="7"/>
        <item x="11"/>
        <item x="49"/>
        <item x="22"/>
        <item x="8"/>
        <item x="13"/>
        <item x="50"/>
        <item x="30"/>
        <item x="15"/>
        <item x="1"/>
        <item x="40"/>
        <item x="14"/>
        <item x="46"/>
        <item x="48"/>
        <item x="25"/>
        <item x="34"/>
        <item x="12"/>
        <item x="55"/>
        <item x="53"/>
        <item x="0"/>
        <item x="5"/>
        <item x="2"/>
        <item x="18"/>
        <item x="29"/>
        <item x="43"/>
        <item x="6"/>
        <item x="28"/>
        <item x="41"/>
        <item x="44"/>
        <item x="3"/>
        <item x="9"/>
        <item x="20"/>
        <item x="23"/>
        <item x="33"/>
        <item x="35"/>
        <item x="51"/>
        <item x="10"/>
        <item x="16"/>
        <item x="17"/>
        <item x="27"/>
        <item x="31"/>
        <item x="37"/>
        <item x="54"/>
        <item x="32"/>
        <item x="38"/>
        <item x="39"/>
        <item x="42"/>
        <item x="52"/>
        <item x="56"/>
        <item x="57"/>
        <item x="58"/>
      </items>
    </pivotField>
    <pivotField compact="0" outline="0" showAll="0"/>
    <pivotField axis="axisPage" compact="0" outline="0" showAll="0">
      <items count="7">
        <item x="4"/>
        <item x="3"/>
        <item x="0"/>
        <item x="2"/>
        <item x="1"/>
        <item x="5"/>
        <item t="default"/>
      </items>
    </pivotField>
    <pivotField compact="0" outline="0" showAll="0"/>
    <pivotField compact="0" outline="0" showAll="0"/>
    <pivotField dataField="1" compact="0" outline="0" showAll="0"/>
    <pivotField compact="0" numFmtId="176" outline="0" showAll="0"/>
    <pivotField compact="0" outline="0" showAll="0"/>
    <pivotField compact="0" outline="0" showAll="0"/>
  </pivotFields>
  <rowFields count="6">
    <field x="3"/>
    <field x="4"/>
    <field x="2"/>
    <field x="5"/>
    <field x="8"/>
    <field x="9"/>
  </rowFields>
  <rowItems count="230">
    <i>
      <x/>
      <x v="3"/>
      <x/>
      <x v="14"/>
      <x v="1"/>
      <x v="11"/>
    </i>
    <i r="4">
      <x v="20"/>
      <x v="6"/>
    </i>
    <i r="4">
      <x v="21"/>
      <x v="13"/>
    </i>
    <i r="4">
      <x v="26"/>
      <x v="8"/>
    </i>
    <i r="5">
      <x v="9"/>
    </i>
    <i r="5">
      <x v="10"/>
    </i>
    <i r="5">
      <x v="14"/>
    </i>
    <i r="5">
      <x v="16"/>
    </i>
    <i r="4">
      <x v="27"/>
      <x v="9"/>
    </i>
    <i r="4">
      <x v="40"/>
      <x v="15"/>
    </i>
    <i r="4">
      <x v="49"/>
      <x v="6"/>
    </i>
    <i r="5">
      <x v="7"/>
    </i>
    <i r="5">
      <x v="13"/>
    </i>
    <i r="5">
      <x v="15"/>
    </i>
    <i r="5">
      <x v="22"/>
    </i>
    <i r="5">
      <x v="27"/>
    </i>
    <i r="5">
      <x v="32"/>
    </i>
    <i r="4">
      <x v="55"/>
      <x v="27"/>
    </i>
    <i r="4">
      <x v="66"/>
      <x v="13"/>
    </i>
    <i t="default" r="3">
      <x v="14"/>
    </i>
    <i r="2">
      <x v="1"/>
      <x v="1"/>
      <x v="2"/>
      <x v="12"/>
    </i>
    <i r="5">
      <x v="19"/>
    </i>
    <i r="5">
      <x v="34"/>
    </i>
    <i r="4">
      <x v="4"/>
      <x v="12"/>
    </i>
    <i r="5">
      <x v="19"/>
    </i>
    <i r="4">
      <x v="7"/>
      <x v="5"/>
    </i>
    <i r="5">
      <x v="12"/>
    </i>
    <i r="5">
      <x v="19"/>
    </i>
    <i r="4">
      <x v="8"/>
      <x v="5"/>
    </i>
    <i r="5">
      <x v="12"/>
    </i>
    <i r="4">
      <x v="9"/>
      <x v="12"/>
    </i>
    <i r="5">
      <x v="19"/>
    </i>
    <i r="4">
      <x v="59"/>
      <x v="5"/>
    </i>
    <i r="4">
      <x v="60"/>
      <x v="5"/>
    </i>
    <i r="4">
      <x v="61"/>
      <x v="5"/>
    </i>
    <i r="4">
      <x v="63"/>
      <x v="19"/>
    </i>
    <i r="4">
      <x v="65"/>
      <x v="20"/>
    </i>
    <i t="default" r="3">
      <x v="1"/>
    </i>
    <i r="2">
      <x v="18"/>
      <x v="9"/>
      <x v="49"/>
      <x v="27"/>
    </i>
    <i t="default" r="3">
      <x v="9"/>
    </i>
    <i r="2">
      <x v="19"/>
      <x v="33"/>
      <x v="6"/>
      <x v="27"/>
    </i>
    <i r="4">
      <x v="10"/>
      <x v="27"/>
    </i>
    <i r="4">
      <x v="76"/>
      <x v="27"/>
    </i>
    <i r="4">
      <x v="77"/>
      <x v="27"/>
    </i>
    <i t="default" r="3">
      <x v="33"/>
    </i>
    <i r="2">
      <x v="22"/>
      <x v="5"/>
      <x v="49"/>
      <x v="27"/>
    </i>
    <i t="default" r="3">
      <x v="5"/>
    </i>
    <i r="2">
      <x v="23"/>
      <x v="20"/>
      <x v="22"/>
      <x v="27"/>
    </i>
    <i r="4">
      <x v="75"/>
      <x v="44"/>
    </i>
    <i r="4">
      <x v="81"/>
      <x v="46"/>
    </i>
    <i r="5">
      <x v="48"/>
    </i>
    <i r="5">
      <x v="50"/>
    </i>
    <i r="4">
      <x v="104"/>
      <x v="49"/>
    </i>
    <i t="default" r="3">
      <x v="20"/>
    </i>
    <i r="2">
      <x v="35"/>
      <x v="13"/>
      <x v="18"/>
      <x v="27"/>
    </i>
    <i r="4">
      <x v="87"/>
      <x v="27"/>
    </i>
    <i t="default" r="3">
      <x v="13"/>
    </i>
    <i r="2">
      <x v="36"/>
      <x v="47"/>
      <x v="83"/>
      <x v="54"/>
    </i>
    <i r="4">
      <x v="92"/>
      <x v="55"/>
    </i>
    <i t="default" r="3">
      <x v="47"/>
    </i>
    <i r="2">
      <x v="45"/>
      <x v="48"/>
      <x v="49"/>
      <x v="27"/>
    </i>
    <i t="default" r="3">
      <x v="48"/>
    </i>
    <i>
      <x v="1"/>
      <x v="2"/>
      <x v="4"/>
      <x v="18"/>
      <x v="56"/>
      <x v="27"/>
    </i>
    <i r="5">
      <x v="33"/>
    </i>
    <i r="4">
      <x v="57"/>
      <x v="27"/>
    </i>
    <i r="5">
      <x v="33"/>
    </i>
    <i r="4">
      <x v="58"/>
      <x v="27"/>
    </i>
    <i t="default" r="3">
      <x v="18"/>
    </i>
    <i r="2">
      <x v="5"/>
      <x v="35"/>
      <x/>
      <x v="27"/>
    </i>
    <i r="4">
      <x v="19"/>
      <x v="27"/>
    </i>
    <i r="4">
      <x v="49"/>
      <x v="27"/>
    </i>
    <i t="default" r="3">
      <x v="35"/>
    </i>
    <i r="2">
      <x v="7"/>
      <x v="7"/>
      <x v="15"/>
      <x v="27"/>
    </i>
    <i r="4">
      <x v="16"/>
      <x v="23"/>
    </i>
    <i r="5">
      <x v="39"/>
    </i>
    <i r="5">
      <x v="42"/>
    </i>
    <i r="4">
      <x v="35"/>
      <x v="23"/>
    </i>
    <i r="4">
      <x v="43"/>
      <x/>
    </i>
    <i r="4">
      <x v="44"/>
      <x v="27"/>
    </i>
    <i r="4">
      <x v="45"/>
      <x v="27"/>
    </i>
    <i r="4">
      <x v="47"/>
      <x v="40"/>
    </i>
    <i r="4">
      <x v="73"/>
      <x v="43"/>
    </i>
    <i t="default" r="3">
      <x v="7"/>
    </i>
    <i r="2">
      <x v="8"/>
      <x v="32"/>
      <x v="28"/>
      <x v="37"/>
    </i>
    <i r="5">
      <x v="38"/>
    </i>
    <i r="4">
      <x v="29"/>
      <x v="41"/>
    </i>
    <i r="4">
      <x v="30"/>
      <x v="38"/>
    </i>
    <i r="4">
      <x v="31"/>
      <x v="38"/>
    </i>
    <i r="4">
      <x v="39"/>
      <x v="37"/>
    </i>
    <i r="5">
      <x v="38"/>
    </i>
    <i r="4">
      <x v="42"/>
      <x v="38"/>
    </i>
    <i r="4">
      <x v="68"/>
      <x v="37"/>
    </i>
    <i r="4">
      <x v="69"/>
      <x v="37"/>
    </i>
    <i r="4">
      <x v="74"/>
      <x v="37"/>
    </i>
    <i t="default" r="3">
      <x v="32"/>
    </i>
    <i r="2">
      <x v="9"/>
      <x v="16"/>
      <x v="23"/>
      <x v="1"/>
    </i>
    <i r="5">
      <x v="3"/>
    </i>
    <i r="4">
      <x v="32"/>
      <x v="1"/>
    </i>
    <i r="4">
      <x v="33"/>
      <x v="1"/>
    </i>
    <i t="default" r="3">
      <x v="16"/>
    </i>
    <i r="2">
      <x v="11"/>
      <x v="44"/>
      <x v="49"/>
      <x v="4"/>
    </i>
    <i r="5">
      <x v="24"/>
    </i>
    <i t="default" r="3">
      <x v="44"/>
    </i>
    <i r="2">
      <x v="13"/>
      <x v="3"/>
      <x v="49"/>
      <x v="27"/>
    </i>
    <i t="default" r="3">
      <x v="3"/>
    </i>
    <i r="2">
      <x v="14"/>
      <x v="24"/>
      <x v="49"/>
      <x v="27"/>
    </i>
    <i t="default" r="3">
      <x v="24"/>
    </i>
    <i r="2">
      <x v="20"/>
      <x/>
      <x v="3"/>
      <x v="27"/>
    </i>
    <i r="4">
      <x v="5"/>
      <x v="27"/>
    </i>
    <i r="4">
      <x v="11"/>
      <x v="27"/>
    </i>
    <i t="default" r="3">
      <x/>
    </i>
    <i r="2">
      <x v="21"/>
      <x v="19"/>
      <x v="25"/>
      <x v="27"/>
    </i>
    <i t="default" r="3">
      <x v="19"/>
    </i>
    <i r="2">
      <x v="26"/>
      <x v="39"/>
      <x v="49"/>
      <x v="27"/>
    </i>
    <i t="default" r="3">
      <x v="39"/>
    </i>
    <i r="2">
      <x v="31"/>
      <x v="4"/>
      <x v="95"/>
      <x v="27"/>
    </i>
    <i t="default" r="3">
      <x v="4"/>
    </i>
    <i r="2">
      <x v="38"/>
      <x v="46"/>
      <x v="91"/>
      <x v="18"/>
    </i>
    <i r="5">
      <x v="37"/>
    </i>
    <i t="default" r="3">
      <x v="46"/>
    </i>
    <i r="2">
      <x v="44"/>
      <x v="22"/>
      <x v="49"/>
      <x v="27"/>
    </i>
    <i t="default" r="3">
      <x v="22"/>
    </i>
    <i>
      <x v="2"/>
      <x/>
      <x v="2"/>
      <x v="12"/>
      <x v="49"/>
      <x/>
    </i>
    <i r="5">
      <x v="27"/>
    </i>
    <i t="default" r="3">
      <x v="12"/>
    </i>
    <i r="2">
      <x v="3"/>
      <x v="15"/>
      <x v="17"/>
      <x v="27"/>
    </i>
    <i t="default" r="3">
      <x v="15"/>
    </i>
    <i r="2">
      <x v="6"/>
      <x v="34"/>
      <x v="12"/>
      <x v="2"/>
    </i>
    <i r="4">
      <x v="13"/>
      <x v="2"/>
    </i>
    <i r="4">
      <x v="14"/>
      <x v="36"/>
    </i>
    <i r="4">
      <x v="62"/>
      <x v="35"/>
    </i>
    <i r="4">
      <x v="64"/>
      <x v="36"/>
    </i>
    <i r="4">
      <x v="67"/>
      <x v="36"/>
    </i>
    <i t="default" r="3">
      <x v="34"/>
    </i>
    <i r="2">
      <x v="10"/>
      <x v="45"/>
      <x v="49"/>
      <x v="27"/>
    </i>
    <i r="4">
      <x v="70"/>
      <x v="27"/>
    </i>
    <i r="4">
      <x v="71"/>
      <x v="27"/>
    </i>
    <i r="4">
      <x v="72"/>
      <x v="27"/>
    </i>
    <i t="default" r="3">
      <x v="45"/>
    </i>
    <i r="2">
      <x v="12"/>
      <x v="36"/>
      <x v="49"/>
      <x v="27"/>
    </i>
    <i t="default" r="3">
      <x v="36"/>
    </i>
    <i r="2">
      <x v="24"/>
      <x v="40"/>
      <x v="49"/>
      <x v="27"/>
    </i>
    <i t="default" r="3">
      <x v="40"/>
    </i>
    <i r="2">
      <x v="27"/>
      <x v="37"/>
      <x v="105"/>
      <x v="45"/>
    </i>
    <i r="4">
      <x v="106"/>
      <x v="45"/>
    </i>
    <i r="5">
      <x v="47"/>
    </i>
    <i r="4">
      <x v="107"/>
      <x v="45"/>
    </i>
    <i t="default" r="3">
      <x v="37"/>
    </i>
    <i r="2">
      <x v="28"/>
      <x v="2"/>
      <x v="49"/>
      <x v="27"/>
    </i>
    <i t="default" r="3">
      <x v="2"/>
    </i>
    <i r="2">
      <x v="29"/>
      <x v="25"/>
      <x v="49"/>
      <x v="27"/>
    </i>
    <i r="4">
      <x v="93"/>
      <x v="27"/>
    </i>
    <i t="default" r="3">
      <x v="25"/>
    </i>
    <i r="2">
      <x v="30"/>
      <x v="27"/>
      <x v="49"/>
      <x v="27"/>
    </i>
    <i t="default" r="3">
      <x v="27"/>
    </i>
    <i r="2">
      <x v="39"/>
      <x v="41"/>
      <x v="49"/>
      <x v="27"/>
    </i>
    <i t="default" r="3">
      <x v="41"/>
    </i>
    <i r="2">
      <x v="40"/>
      <x v="28"/>
      <x v="49"/>
      <x v="25"/>
    </i>
    <i r="5">
      <x v="26"/>
    </i>
    <i t="default" r="3">
      <x v="28"/>
    </i>
    <i r="2">
      <x v="41"/>
      <x v="23"/>
      <x v="49"/>
      <x v="27"/>
    </i>
    <i t="default" r="3">
      <x v="23"/>
    </i>
    <i r="2">
      <x v="42"/>
      <x v="42"/>
      <x v="49"/>
      <x v="27"/>
    </i>
    <i t="default" r="3">
      <x v="42"/>
    </i>
    <i r="2">
      <x v="46"/>
      <x v="43"/>
      <x v="49"/>
      <x v="27"/>
    </i>
    <i t="default" r="3">
      <x v="43"/>
    </i>
    <i r="2">
      <x v="48"/>
      <x v="38"/>
      <x v="49"/>
      <x v="27"/>
    </i>
    <i t="default" r="3">
      <x v="38"/>
    </i>
    <i>
      <x v="3"/>
      <x v="5"/>
      <x v="15"/>
      <x v="10"/>
      <x v="24"/>
      <x v="21"/>
    </i>
    <i r="5">
      <x v="27"/>
    </i>
    <i r="4">
      <x v="34"/>
      <x v="28"/>
    </i>
    <i r="5">
      <x v="29"/>
    </i>
    <i r="4">
      <x v="36"/>
      <x v="27"/>
    </i>
    <i r="4">
      <x v="37"/>
      <x v="27"/>
    </i>
    <i r="4">
      <x v="38"/>
      <x v="27"/>
    </i>
    <i r="4">
      <x v="48"/>
      <x v="27"/>
    </i>
    <i r="4">
      <x v="49"/>
      <x v="17"/>
    </i>
    <i r="5">
      <x v="31"/>
    </i>
    <i r="4">
      <x v="51"/>
      <x v="17"/>
    </i>
    <i r="5">
      <x v="28"/>
    </i>
    <i r="5">
      <x v="29"/>
    </i>
    <i r="5">
      <x v="30"/>
    </i>
    <i r="4">
      <x v="53"/>
      <x v="17"/>
    </i>
    <i r="4">
      <x v="54"/>
      <x v="27"/>
    </i>
    <i t="default" r="3">
      <x v="10"/>
    </i>
    <i r="2">
      <x v="16"/>
      <x v="11"/>
      <x v="41"/>
      <x v="27"/>
    </i>
    <i r="4">
      <x v="46"/>
      <x v="27"/>
    </i>
    <i r="4">
      <x v="51"/>
      <x v="27"/>
    </i>
    <i r="4">
      <x v="78"/>
      <x v="27"/>
    </i>
    <i r="4">
      <x v="79"/>
      <x v="27"/>
    </i>
    <i r="4">
      <x v="80"/>
      <x v="27"/>
    </i>
    <i r="4">
      <x v="82"/>
      <x v="27"/>
    </i>
    <i r="4">
      <x v="83"/>
      <x v="27"/>
    </i>
    <i r="4">
      <x v="84"/>
      <x v="27"/>
    </i>
    <i r="4">
      <x v="85"/>
      <x v="27"/>
    </i>
    <i r="4">
      <x v="86"/>
      <x v="27"/>
    </i>
    <i r="4">
      <x v="94"/>
      <x v="27"/>
    </i>
    <i t="default" r="3">
      <x v="11"/>
    </i>
    <i r="2">
      <x v="17"/>
      <x v="30"/>
      <x v="50"/>
      <x v="27"/>
    </i>
    <i r="4">
      <x v="52"/>
      <x v="27"/>
    </i>
    <i t="default" r="3">
      <x v="30"/>
    </i>
    <i>
      <x v="4"/>
      <x v="1"/>
      <x v="25"/>
      <x v="49"/>
      <x v="96"/>
      <x v="27"/>
    </i>
    <i r="4">
      <x v="97"/>
      <x v="27"/>
    </i>
    <i r="4">
      <x v="98"/>
      <x v="27"/>
    </i>
    <i r="4">
      <x v="99"/>
      <x v="27"/>
    </i>
    <i r="4">
      <x v="100"/>
      <x v="27"/>
    </i>
    <i r="4">
      <x v="101"/>
      <x v="27"/>
    </i>
    <i r="4">
      <x v="102"/>
      <x v="27"/>
    </i>
    <i r="4">
      <x v="103"/>
      <x v="57"/>
    </i>
    <i r="5">
      <x v="58"/>
    </i>
    <i t="default" r="3">
      <x v="49"/>
    </i>
    <i r="2">
      <x v="34"/>
      <x v="29"/>
      <x v="49"/>
      <x v="27"/>
    </i>
    <i t="default" r="3">
      <x v="29"/>
    </i>
    <i r="2">
      <x v="37"/>
      <x v="21"/>
      <x v="91"/>
      <x v="27"/>
    </i>
    <i t="default" r="3">
      <x v="21"/>
    </i>
    <i r="2">
      <x v="43"/>
      <x v="26"/>
      <x v="49"/>
      <x v="27"/>
    </i>
    <i t="default" r="3">
      <x v="26"/>
    </i>
    <i r="2">
      <x v="47"/>
      <x v="8"/>
      <x v="49"/>
      <x v="27"/>
    </i>
    <i t="default" r="3">
      <x v="8"/>
    </i>
    <i>
      <x v="5"/>
      <x v="4"/>
      <x v="32"/>
      <x v="17"/>
      <x v="88"/>
      <x v="51"/>
    </i>
    <i r="5">
      <x v="52"/>
    </i>
    <i r="4">
      <x v="89"/>
      <x v="53"/>
    </i>
    <i r="5">
      <x v="56"/>
    </i>
    <i r="4">
      <x v="90"/>
      <x v="27"/>
    </i>
    <i t="default" r="3">
      <x v="17"/>
    </i>
    <i r="2">
      <x v="33"/>
      <x v="6"/>
      <x v="49"/>
      <x v="27"/>
    </i>
    <i t="default" r="3">
      <x v="6"/>
    </i>
    <i r="2">
      <x v="49"/>
      <x v="31"/>
      <x v="49"/>
      <x v="27"/>
    </i>
    <i t="default" r="3">
      <x v="31"/>
    </i>
    <i t="grand">
      <x/>
    </i>
  </rowItems>
  <colFields count="1">
    <field x="-2"/>
  </colFields>
  <colItems count="2">
    <i>
      <x/>
    </i>
    <i i="1">
      <x v="1"/>
    </i>
  </colItems>
  <pageFields count="1">
    <pageField fld="11" hier="-1"/>
  </pageFields>
  <dataFields count="2">
    <dataField name="Брой от име" fld="6" subtotal="count" baseField="0" baseItem="0"/>
    <dataField name="Сума от Първоначална стойност" fld="14" baseField="9" baseItem="11" numFmtId="164"/>
  </dataFields>
  <formats count="161">
    <format dxfId="229">
      <pivotArea type="all" dataOnly="0" outline="0" fieldPosition="0"/>
    </format>
    <format dxfId="228">
      <pivotArea outline="0" collapsedLevelsAreSubtotals="1" fieldPosition="0"/>
    </format>
    <format dxfId="227">
      <pivotArea type="origin" dataOnly="0" labelOnly="1" outline="0" fieldPosition="0"/>
    </format>
    <format dxfId="226">
      <pivotArea field="4" type="button" dataOnly="0" labelOnly="1" outline="0" axis="axisRow" fieldPosition="1"/>
    </format>
    <format dxfId="225">
      <pivotArea field="2" type="button" dataOnly="0" labelOnly="1" outline="0" axis="axisRow" fieldPosition="2"/>
    </format>
    <format dxfId="224">
      <pivotArea field="5" type="button" dataOnly="0" labelOnly="1" outline="0" axis="axisRow" fieldPosition="3"/>
    </format>
    <format dxfId="223">
      <pivotArea field="6" type="button" dataOnly="0" labelOnly="1" outline="0"/>
    </format>
    <format dxfId="222">
      <pivotArea field="8" type="button" dataOnly="0" labelOnly="1" outline="0" axis="axisRow" fieldPosition="4"/>
    </format>
    <format dxfId="221">
      <pivotArea field="9" type="button" dataOnly="0" labelOnly="1" outline="0" axis="axisRow" fieldPosition="5"/>
    </format>
    <format dxfId="220">
      <pivotArea dataOnly="0" labelOnly="1" outline="0" fieldPosition="0">
        <references count="1">
          <reference field="4" count="1">
            <x v="3"/>
          </reference>
        </references>
      </pivotArea>
    </format>
    <format dxfId="219">
      <pivotArea dataOnly="0" labelOnly="1" outline="0" fieldPosition="0">
        <references count="1">
          <reference field="4" count="1" defaultSubtotal="1">
            <x v="3"/>
          </reference>
        </references>
      </pivotArea>
    </format>
    <format dxfId="218">
      <pivotArea dataOnly="0" labelOnly="1" grandRow="1" outline="0" fieldPosition="0"/>
    </format>
    <format dxfId="217">
      <pivotArea dataOnly="0" labelOnly="1" outline="0" fieldPosition="0">
        <references count="2">
          <reference field="2" count="3">
            <x v="0"/>
            <x v="15"/>
            <x v="19"/>
          </reference>
          <reference field="4" count="1" selected="0">
            <x v="3"/>
          </reference>
        </references>
      </pivotArea>
    </format>
    <format dxfId="216">
      <pivotArea dataOnly="0" labelOnly="1" outline="0" fieldPosition="0">
        <references count="2">
          <reference field="2" count="3" defaultSubtotal="1">
            <x v="0"/>
            <x v="15"/>
            <x v="19"/>
          </reference>
          <reference field="4" count="1" selected="0">
            <x v="3"/>
          </reference>
        </references>
      </pivotArea>
    </format>
    <format dxfId="215">
      <pivotArea dataOnly="0" labelOnly="1" outline="0" fieldPosition="0">
        <references count="3">
          <reference field="2" count="1" selected="0">
            <x v="0"/>
          </reference>
          <reference field="4" count="1" selected="0">
            <x v="3"/>
          </reference>
          <reference field="5" count="1">
            <x v="14"/>
          </reference>
        </references>
      </pivotArea>
    </format>
    <format dxfId="214">
      <pivotArea dataOnly="0" labelOnly="1" outline="0" fieldPosition="0">
        <references count="3">
          <reference field="2" count="1" selected="0">
            <x v="0"/>
          </reference>
          <reference field="4" count="1" selected="0">
            <x v="3"/>
          </reference>
          <reference field="5" count="1" defaultSubtotal="1">
            <x v="14"/>
          </reference>
        </references>
      </pivotArea>
    </format>
    <format dxfId="213">
      <pivotArea dataOnly="0" labelOnly="1" outline="0" fieldPosition="0">
        <references count="3">
          <reference field="2" count="1" selected="0">
            <x v="15"/>
          </reference>
          <reference field="4" count="1" selected="0">
            <x v="3"/>
          </reference>
          <reference field="5" count="1">
            <x v="10"/>
          </reference>
        </references>
      </pivotArea>
    </format>
    <format dxfId="212">
      <pivotArea dataOnly="0" labelOnly="1" outline="0" fieldPosition="0">
        <references count="3">
          <reference field="2" count="1" selected="0">
            <x v="15"/>
          </reference>
          <reference field="4" count="1" selected="0">
            <x v="3"/>
          </reference>
          <reference field="5" count="1" defaultSubtotal="1">
            <x v="10"/>
          </reference>
        </references>
      </pivotArea>
    </format>
    <format dxfId="211">
      <pivotArea dataOnly="0" labelOnly="1" outline="0" fieldPosition="0">
        <references count="3">
          <reference field="2" count="1" selected="0">
            <x v="19"/>
          </reference>
          <reference field="4" count="1" selected="0">
            <x v="3"/>
          </reference>
          <reference field="5" count="1">
            <x v="33"/>
          </reference>
        </references>
      </pivotArea>
    </format>
    <format dxfId="210">
      <pivotArea dataOnly="0" labelOnly="1" outline="0" fieldPosition="0">
        <references count="3">
          <reference field="2" count="1" selected="0">
            <x v="19"/>
          </reference>
          <reference field="4" count="1" selected="0">
            <x v="3"/>
          </reference>
          <reference field="5" count="1" defaultSubtotal="1">
            <x v="33"/>
          </reference>
        </references>
      </pivotArea>
    </format>
    <format dxfId="209">
      <pivotArea type="topRight" dataOnly="0" labelOnly="1" outline="0" fieldPosition="0"/>
    </format>
    <format dxfId="208">
      <pivotArea type="all" dataOnly="0" outline="0" fieldPosition="0"/>
    </format>
    <format dxfId="207">
      <pivotArea outline="0" collapsedLevelsAreSubtotals="1" fieldPosition="0"/>
    </format>
    <format dxfId="206">
      <pivotArea type="origin" dataOnly="0" labelOnly="1" outline="0" fieldPosition="0"/>
    </format>
    <format dxfId="205">
      <pivotArea field="4" type="button" dataOnly="0" labelOnly="1" outline="0" axis="axisRow" fieldPosition="1"/>
    </format>
    <format dxfId="204">
      <pivotArea field="2" type="button" dataOnly="0" labelOnly="1" outline="0" axis="axisRow" fieldPosition="2"/>
    </format>
    <format dxfId="203">
      <pivotArea field="5" type="button" dataOnly="0" labelOnly="1" outline="0" axis="axisRow" fieldPosition="3"/>
    </format>
    <format dxfId="202">
      <pivotArea field="6" type="button" dataOnly="0" labelOnly="1" outline="0"/>
    </format>
    <format dxfId="201">
      <pivotArea field="8" type="button" dataOnly="0" labelOnly="1" outline="0" axis="axisRow" fieldPosition="4"/>
    </format>
    <format dxfId="200">
      <pivotArea field="9" type="button" dataOnly="0" labelOnly="1" outline="0" axis="axisRow" fieldPosition="5"/>
    </format>
    <format dxfId="199">
      <pivotArea dataOnly="0" labelOnly="1" outline="0" fieldPosition="0">
        <references count="1">
          <reference field="4" count="0"/>
        </references>
      </pivotArea>
    </format>
    <format dxfId="198">
      <pivotArea dataOnly="0" labelOnly="1" outline="0" fieldPosition="0">
        <references count="1">
          <reference field="4" count="0" defaultSubtotal="1"/>
        </references>
      </pivotArea>
    </format>
    <format dxfId="197">
      <pivotArea dataOnly="0" labelOnly="1" grandRow="1" outline="0" fieldPosition="0"/>
    </format>
    <format dxfId="196">
      <pivotArea dataOnly="0" labelOnly="1" outline="0" fieldPosition="0">
        <references count="2">
          <reference field="2" count="16">
            <x v="2"/>
            <x v="3"/>
            <x v="6"/>
            <x v="10"/>
            <x v="12"/>
            <x v="24"/>
            <x v="27"/>
            <x v="28"/>
            <x v="29"/>
            <x v="30"/>
            <x v="39"/>
            <x v="40"/>
            <x v="41"/>
            <x v="42"/>
            <x v="46"/>
            <x v="48"/>
          </reference>
          <reference field="4" count="1" selected="0">
            <x v="0"/>
          </reference>
        </references>
      </pivotArea>
    </format>
    <format dxfId="195">
      <pivotArea dataOnly="0" labelOnly="1" outline="0" fieldPosition="0">
        <references count="2">
          <reference field="2" count="16" defaultSubtotal="1">
            <x v="2"/>
            <x v="3"/>
            <x v="6"/>
            <x v="10"/>
            <x v="12"/>
            <x v="24"/>
            <x v="27"/>
            <x v="28"/>
            <x v="29"/>
            <x v="30"/>
            <x v="39"/>
            <x v="40"/>
            <x v="41"/>
            <x v="42"/>
            <x v="46"/>
            <x v="48"/>
          </reference>
          <reference field="4" count="1" selected="0">
            <x v="0"/>
          </reference>
        </references>
      </pivotArea>
    </format>
    <format dxfId="194">
      <pivotArea dataOnly="0" labelOnly="1" outline="0" fieldPosition="0">
        <references count="2">
          <reference field="2" count="4">
            <x v="34"/>
            <x v="37"/>
            <x v="43"/>
            <x v="47"/>
          </reference>
          <reference field="4" count="1" selected="0">
            <x v="1"/>
          </reference>
        </references>
      </pivotArea>
    </format>
    <format dxfId="193">
      <pivotArea dataOnly="0" labelOnly="1" outline="0" fieldPosition="0">
        <references count="2">
          <reference field="2" count="4" defaultSubtotal="1">
            <x v="34"/>
            <x v="37"/>
            <x v="43"/>
            <x v="47"/>
          </reference>
          <reference field="4" count="1" selected="0">
            <x v="1"/>
          </reference>
        </references>
      </pivotArea>
    </format>
    <format dxfId="192">
      <pivotArea dataOnly="0" labelOnly="1" outline="0" fieldPosition="0">
        <references count="2">
          <reference field="2" count="15">
            <x v="4"/>
            <x v="5"/>
            <x v="7"/>
            <x v="8"/>
            <x v="9"/>
            <x v="11"/>
            <x v="13"/>
            <x v="14"/>
            <x v="16"/>
            <x v="20"/>
            <x v="21"/>
            <x v="26"/>
            <x v="31"/>
            <x v="38"/>
            <x v="44"/>
          </reference>
          <reference field="4" count="1" selected="0">
            <x v="2"/>
          </reference>
        </references>
      </pivotArea>
    </format>
    <format dxfId="191">
      <pivotArea dataOnly="0" labelOnly="1" outline="0" fieldPosition="0">
        <references count="2">
          <reference field="2" count="15" defaultSubtotal="1">
            <x v="4"/>
            <x v="5"/>
            <x v="7"/>
            <x v="8"/>
            <x v="9"/>
            <x v="11"/>
            <x v="13"/>
            <x v="14"/>
            <x v="16"/>
            <x v="20"/>
            <x v="21"/>
            <x v="26"/>
            <x v="31"/>
            <x v="38"/>
            <x v="44"/>
          </reference>
          <reference field="4" count="1" selected="0">
            <x v="2"/>
          </reference>
        </references>
      </pivotArea>
    </format>
    <format dxfId="190">
      <pivotArea dataOnly="0" labelOnly="1" outline="0" fieldPosition="0">
        <references count="2">
          <reference field="2" count="11">
            <x v="0"/>
            <x v="1"/>
            <x v="15"/>
            <x v="17"/>
            <x v="18"/>
            <x v="19"/>
            <x v="22"/>
            <x v="23"/>
            <x v="35"/>
            <x v="36"/>
            <x v="45"/>
          </reference>
          <reference field="4" count="1" selected="0">
            <x v="3"/>
          </reference>
        </references>
      </pivotArea>
    </format>
    <format dxfId="189">
      <pivotArea dataOnly="0" labelOnly="1" outline="0" fieldPosition="0">
        <references count="2">
          <reference field="2" count="11" defaultSubtotal="1">
            <x v="0"/>
            <x v="1"/>
            <x v="15"/>
            <x v="17"/>
            <x v="18"/>
            <x v="19"/>
            <x v="22"/>
            <x v="23"/>
            <x v="35"/>
            <x v="36"/>
            <x v="45"/>
          </reference>
          <reference field="4" count="1" selected="0">
            <x v="3"/>
          </reference>
        </references>
      </pivotArea>
    </format>
    <format dxfId="188">
      <pivotArea dataOnly="0" labelOnly="1" outline="0" fieldPosition="0">
        <references count="2">
          <reference field="2" count="3">
            <x v="32"/>
            <x v="33"/>
            <x v="49"/>
          </reference>
          <reference field="4" count="1" selected="0">
            <x v="4"/>
          </reference>
        </references>
      </pivotArea>
    </format>
    <format dxfId="187">
      <pivotArea dataOnly="0" labelOnly="1" outline="0" fieldPosition="0">
        <references count="2">
          <reference field="2" count="3" defaultSubtotal="1">
            <x v="32"/>
            <x v="33"/>
            <x v="49"/>
          </reference>
          <reference field="4" count="1" selected="0">
            <x v="4"/>
          </reference>
        </references>
      </pivotArea>
    </format>
    <format dxfId="186">
      <pivotArea dataOnly="0" labelOnly="1" outline="0" fieldPosition="0">
        <references count="3">
          <reference field="2" count="1" selected="0">
            <x v="2"/>
          </reference>
          <reference field="4" count="1" selected="0">
            <x v="0"/>
          </reference>
          <reference field="5" count="1">
            <x v="12"/>
          </reference>
        </references>
      </pivotArea>
    </format>
    <format dxfId="185">
      <pivotArea dataOnly="0" labelOnly="1" outline="0" fieldPosition="0">
        <references count="3">
          <reference field="2" count="1" selected="0">
            <x v="2"/>
          </reference>
          <reference field="4" count="1" selected="0">
            <x v="0"/>
          </reference>
          <reference field="5" count="1" defaultSubtotal="1">
            <x v="12"/>
          </reference>
        </references>
      </pivotArea>
    </format>
    <format dxfId="184">
      <pivotArea dataOnly="0" labelOnly="1" outline="0" fieldPosition="0">
        <references count="3">
          <reference field="2" count="1" selected="0">
            <x v="3"/>
          </reference>
          <reference field="4" count="1" selected="0">
            <x v="0"/>
          </reference>
          <reference field="5" count="1">
            <x v="15"/>
          </reference>
        </references>
      </pivotArea>
    </format>
    <format dxfId="183">
      <pivotArea dataOnly="0" labelOnly="1" outline="0" fieldPosition="0">
        <references count="3">
          <reference field="2" count="1" selected="0">
            <x v="3"/>
          </reference>
          <reference field="4" count="1" selected="0">
            <x v="0"/>
          </reference>
          <reference field="5" count="1" defaultSubtotal="1">
            <x v="15"/>
          </reference>
        </references>
      </pivotArea>
    </format>
    <format dxfId="182">
      <pivotArea dataOnly="0" labelOnly="1" outline="0" fieldPosition="0">
        <references count="3">
          <reference field="2" count="1" selected="0">
            <x v="6"/>
          </reference>
          <reference field="4" count="1" selected="0">
            <x v="0"/>
          </reference>
          <reference field="5" count="1">
            <x v="34"/>
          </reference>
        </references>
      </pivotArea>
    </format>
    <format dxfId="181">
      <pivotArea dataOnly="0" labelOnly="1" outline="0" fieldPosition="0">
        <references count="3">
          <reference field="2" count="1" selected="0">
            <x v="6"/>
          </reference>
          <reference field="4" count="1" selected="0">
            <x v="0"/>
          </reference>
          <reference field="5" count="1" defaultSubtotal="1">
            <x v="34"/>
          </reference>
        </references>
      </pivotArea>
    </format>
    <format dxfId="180">
      <pivotArea dataOnly="0" labelOnly="1" outline="0" fieldPosition="0">
        <references count="3">
          <reference field="2" count="1" selected="0">
            <x v="10"/>
          </reference>
          <reference field="4" count="1" selected="0">
            <x v="0"/>
          </reference>
          <reference field="5" count="1">
            <x v="45"/>
          </reference>
        </references>
      </pivotArea>
    </format>
    <format dxfId="179">
      <pivotArea dataOnly="0" labelOnly="1" outline="0" fieldPosition="0">
        <references count="3">
          <reference field="2" count="1" selected="0">
            <x v="10"/>
          </reference>
          <reference field="4" count="1" selected="0">
            <x v="0"/>
          </reference>
          <reference field="5" count="1" defaultSubtotal="1">
            <x v="45"/>
          </reference>
        </references>
      </pivotArea>
    </format>
    <format dxfId="178">
      <pivotArea dataOnly="0" labelOnly="1" outline="0" fieldPosition="0">
        <references count="3">
          <reference field="2" count="1" selected="0">
            <x v="12"/>
          </reference>
          <reference field="4" count="1" selected="0">
            <x v="0"/>
          </reference>
          <reference field="5" count="1">
            <x v="36"/>
          </reference>
        </references>
      </pivotArea>
    </format>
    <format dxfId="177">
      <pivotArea dataOnly="0" labelOnly="1" outline="0" fieldPosition="0">
        <references count="3">
          <reference field="2" count="1" selected="0">
            <x v="12"/>
          </reference>
          <reference field="4" count="1" selected="0">
            <x v="0"/>
          </reference>
          <reference field="5" count="1" defaultSubtotal="1">
            <x v="36"/>
          </reference>
        </references>
      </pivotArea>
    </format>
    <format dxfId="176">
      <pivotArea dataOnly="0" labelOnly="1" outline="0" fieldPosition="0">
        <references count="3">
          <reference field="2" count="1" selected="0">
            <x v="24"/>
          </reference>
          <reference field="4" count="1" selected="0">
            <x v="0"/>
          </reference>
          <reference field="5" count="1">
            <x v="40"/>
          </reference>
        </references>
      </pivotArea>
    </format>
    <format dxfId="175">
      <pivotArea dataOnly="0" labelOnly="1" outline="0" fieldPosition="0">
        <references count="3">
          <reference field="2" count="1" selected="0">
            <x v="24"/>
          </reference>
          <reference field="4" count="1" selected="0">
            <x v="0"/>
          </reference>
          <reference field="5" count="1" defaultSubtotal="1">
            <x v="40"/>
          </reference>
        </references>
      </pivotArea>
    </format>
    <format dxfId="174">
      <pivotArea dataOnly="0" labelOnly="1" outline="0" fieldPosition="0">
        <references count="3">
          <reference field="2" count="1" selected="0">
            <x v="27"/>
          </reference>
          <reference field="4" count="1" selected="0">
            <x v="0"/>
          </reference>
          <reference field="5" count="1">
            <x v="37"/>
          </reference>
        </references>
      </pivotArea>
    </format>
    <format dxfId="173">
      <pivotArea dataOnly="0" labelOnly="1" outline="0" fieldPosition="0">
        <references count="3">
          <reference field="2" count="1" selected="0">
            <x v="27"/>
          </reference>
          <reference field="4" count="1" selected="0">
            <x v="0"/>
          </reference>
          <reference field="5" count="1" defaultSubtotal="1">
            <x v="37"/>
          </reference>
        </references>
      </pivotArea>
    </format>
    <format dxfId="172">
      <pivotArea dataOnly="0" labelOnly="1" outline="0" fieldPosition="0">
        <references count="3">
          <reference field="2" count="1" selected="0">
            <x v="28"/>
          </reference>
          <reference field="4" count="1" selected="0">
            <x v="0"/>
          </reference>
          <reference field="5" count="1">
            <x v="2"/>
          </reference>
        </references>
      </pivotArea>
    </format>
    <format dxfId="171">
      <pivotArea dataOnly="0" labelOnly="1" outline="0" fieldPosition="0">
        <references count="3">
          <reference field="2" count="1" selected="0">
            <x v="28"/>
          </reference>
          <reference field="4" count="1" selected="0">
            <x v="0"/>
          </reference>
          <reference field="5" count="1" defaultSubtotal="1">
            <x v="2"/>
          </reference>
        </references>
      </pivotArea>
    </format>
    <format dxfId="170">
      <pivotArea dataOnly="0" labelOnly="1" outline="0" fieldPosition="0">
        <references count="3">
          <reference field="2" count="1" selected="0">
            <x v="29"/>
          </reference>
          <reference field="4" count="1" selected="0">
            <x v="0"/>
          </reference>
          <reference field="5" count="1">
            <x v="25"/>
          </reference>
        </references>
      </pivotArea>
    </format>
    <format dxfId="169">
      <pivotArea dataOnly="0" labelOnly="1" outline="0" fieldPosition="0">
        <references count="3">
          <reference field="2" count="1" selected="0">
            <x v="29"/>
          </reference>
          <reference field="4" count="1" selected="0">
            <x v="0"/>
          </reference>
          <reference field="5" count="1" defaultSubtotal="1">
            <x v="25"/>
          </reference>
        </references>
      </pivotArea>
    </format>
    <format dxfId="168">
      <pivotArea dataOnly="0" labelOnly="1" outline="0" fieldPosition="0">
        <references count="3">
          <reference field="2" count="1" selected="0">
            <x v="30"/>
          </reference>
          <reference field="4" count="1" selected="0">
            <x v="0"/>
          </reference>
          <reference field="5" count="1">
            <x v="27"/>
          </reference>
        </references>
      </pivotArea>
    </format>
    <format dxfId="167">
      <pivotArea dataOnly="0" labelOnly="1" outline="0" fieldPosition="0">
        <references count="3">
          <reference field="2" count="1" selected="0">
            <x v="30"/>
          </reference>
          <reference field="4" count="1" selected="0">
            <x v="0"/>
          </reference>
          <reference field="5" count="1" defaultSubtotal="1">
            <x v="27"/>
          </reference>
        </references>
      </pivotArea>
    </format>
    <format dxfId="166">
      <pivotArea dataOnly="0" labelOnly="1" outline="0" fieldPosition="0">
        <references count="3">
          <reference field="2" count="1" selected="0">
            <x v="39"/>
          </reference>
          <reference field="4" count="1" selected="0">
            <x v="0"/>
          </reference>
          <reference field="5" count="1">
            <x v="41"/>
          </reference>
        </references>
      </pivotArea>
    </format>
    <format dxfId="165">
      <pivotArea dataOnly="0" labelOnly="1" outline="0" fieldPosition="0">
        <references count="3">
          <reference field="2" count="1" selected="0">
            <x v="39"/>
          </reference>
          <reference field="4" count="1" selected="0">
            <x v="0"/>
          </reference>
          <reference field="5" count="1" defaultSubtotal="1">
            <x v="41"/>
          </reference>
        </references>
      </pivotArea>
    </format>
    <format dxfId="164">
      <pivotArea dataOnly="0" labelOnly="1" outline="0" fieldPosition="0">
        <references count="3">
          <reference field="2" count="1" selected="0">
            <x v="40"/>
          </reference>
          <reference field="4" count="1" selected="0">
            <x v="0"/>
          </reference>
          <reference field="5" count="1">
            <x v="28"/>
          </reference>
        </references>
      </pivotArea>
    </format>
    <format dxfId="163">
      <pivotArea dataOnly="0" labelOnly="1" outline="0" fieldPosition="0">
        <references count="3">
          <reference field="2" count="1" selected="0">
            <x v="40"/>
          </reference>
          <reference field="4" count="1" selected="0">
            <x v="0"/>
          </reference>
          <reference field="5" count="1" defaultSubtotal="1">
            <x v="28"/>
          </reference>
        </references>
      </pivotArea>
    </format>
    <format dxfId="162">
      <pivotArea dataOnly="0" labelOnly="1" outline="0" fieldPosition="0">
        <references count="3">
          <reference field="2" count="1" selected="0">
            <x v="41"/>
          </reference>
          <reference field="4" count="1" selected="0">
            <x v="0"/>
          </reference>
          <reference field="5" count="1">
            <x v="23"/>
          </reference>
        </references>
      </pivotArea>
    </format>
    <format dxfId="161">
      <pivotArea dataOnly="0" labelOnly="1" outline="0" fieldPosition="0">
        <references count="3">
          <reference field="2" count="1" selected="0">
            <x v="41"/>
          </reference>
          <reference field="4" count="1" selected="0">
            <x v="0"/>
          </reference>
          <reference field="5" count="1" defaultSubtotal="1">
            <x v="23"/>
          </reference>
        </references>
      </pivotArea>
    </format>
    <format dxfId="160">
      <pivotArea dataOnly="0" labelOnly="1" outline="0" fieldPosition="0">
        <references count="3">
          <reference field="2" count="1" selected="0">
            <x v="42"/>
          </reference>
          <reference field="4" count="1" selected="0">
            <x v="0"/>
          </reference>
          <reference field="5" count="1">
            <x v="42"/>
          </reference>
        </references>
      </pivotArea>
    </format>
    <format dxfId="159">
      <pivotArea dataOnly="0" labelOnly="1" outline="0" fieldPosition="0">
        <references count="3">
          <reference field="2" count="1" selected="0">
            <x v="42"/>
          </reference>
          <reference field="4" count="1" selected="0">
            <x v="0"/>
          </reference>
          <reference field="5" count="1" defaultSubtotal="1">
            <x v="42"/>
          </reference>
        </references>
      </pivotArea>
    </format>
    <format dxfId="158">
      <pivotArea dataOnly="0" labelOnly="1" outline="0" fieldPosition="0">
        <references count="3">
          <reference field="2" count="1" selected="0">
            <x v="46"/>
          </reference>
          <reference field="4" count="1" selected="0">
            <x v="0"/>
          </reference>
          <reference field="5" count="1">
            <x v="43"/>
          </reference>
        </references>
      </pivotArea>
    </format>
    <format dxfId="157">
      <pivotArea dataOnly="0" labelOnly="1" outline="0" fieldPosition="0">
        <references count="3">
          <reference field="2" count="1" selected="0">
            <x v="46"/>
          </reference>
          <reference field="4" count="1" selected="0">
            <x v="0"/>
          </reference>
          <reference field="5" count="1" defaultSubtotal="1">
            <x v="43"/>
          </reference>
        </references>
      </pivotArea>
    </format>
    <format dxfId="156">
      <pivotArea dataOnly="0" labelOnly="1" outline="0" fieldPosition="0">
        <references count="3">
          <reference field="2" count="1" selected="0">
            <x v="48"/>
          </reference>
          <reference field="4" count="1" selected="0">
            <x v="0"/>
          </reference>
          <reference field="5" count="1">
            <x v="38"/>
          </reference>
        </references>
      </pivotArea>
    </format>
    <format dxfId="155">
      <pivotArea dataOnly="0" labelOnly="1" outline="0" fieldPosition="0">
        <references count="3">
          <reference field="2" count="1" selected="0">
            <x v="48"/>
          </reference>
          <reference field="4" count="1" selected="0">
            <x v="0"/>
          </reference>
          <reference field="5" count="1" defaultSubtotal="1">
            <x v="38"/>
          </reference>
        </references>
      </pivotArea>
    </format>
    <format dxfId="154">
      <pivotArea dataOnly="0" labelOnly="1" outline="0" fieldPosition="0">
        <references count="3">
          <reference field="2" count="1" selected="0">
            <x v="34"/>
          </reference>
          <reference field="4" count="1" selected="0">
            <x v="1"/>
          </reference>
          <reference field="5" count="1">
            <x v="29"/>
          </reference>
        </references>
      </pivotArea>
    </format>
    <format dxfId="153">
      <pivotArea dataOnly="0" labelOnly="1" outline="0" fieldPosition="0">
        <references count="3">
          <reference field="2" count="1" selected="0">
            <x v="34"/>
          </reference>
          <reference field="4" count="1" selected="0">
            <x v="1"/>
          </reference>
          <reference field="5" count="1" defaultSubtotal="1">
            <x v="29"/>
          </reference>
        </references>
      </pivotArea>
    </format>
    <format dxfId="152">
      <pivotArea dataOnly="0" labelOnly="1" outline="0" fieldPosition="0">
        <references count="3">
          <reference field="2" count="1" selected="0">
            <x v="37"/>
          </reference>
          <reference field="4" count="1" selected="0">
            <x v="1"/>
          </reference>
          <reference field="5" count="1">
            <x v="21"/>
          </reference>
        </references>
      </pivotArea>
    </format>
    <format dxfId="151">
      <pivotArea dataOnly="0" labelOnly="1" outline="0" fieldPosition="0">
        <references count="3">
          <reference field="2" count="1" selected="0">
            <x v="37"/>
          </reference>
          <reference field="4" count="1" selected="0">
            <x v="1"/>
          </reference>
          <reference field="5" count="1" defaultSubtotal="1">
            <x v="21"/>
          </reference>
        </references>
      </pivotArea>
    </format>
    <format dxfId="150">
      <pivotArea dataOnly="0" labelOnly="1" outline="0" fieldPosition="0">
        <references count="3">
          <reference field="2" count="1" selected="0">
            <x v="43"/>
          </reference>
          <reference field="4" count="1" selected="0">
            <x v="1"/>
          </reference>
          <reference field="5" count="1">
            <x v="26"/>
          </reference>
        </references>
      </pivotArea>
    </format>
    <format dxfId="149">
      <pivotArea dataOnly="0" labelOnly="1" outline="0" fieldPosition="0">
        <references count="3">
          <reference field="2" count="1" selected="0">
            <x v="43"/>
          </reference>
          <reference field="4" count="1" selected="0">
            <x v="1"/>
          </reference>
          <reference field="5" count="1" defaultSubtotal="1">
            <x v="26"/>
          </reference>
        </references>
      </pivotArea>
    </format>
    <format dxfId="148">
      <pivotArea dataOnly="0" labelOnly="1" outline="0" fieldPosition="0">
        <references count="3">
          <reference field="2" count="1" selected="0">
            <x v="47"/>
          </reference>
          <reference field="4" count="1" selected="0">
            <x v="1"/>
          </reference>
          <reference field="5" count="1">
            <x v="8"/>
          </reference>
        </references>
      </pivotArea>
    </format>
    <format dxfId="147">
      <pivotArea dataOnly="0" labelOnly="1" outline="0" fieldPosition="0">
        <references count="3">
          <reference field="2" count="1" selected="0">
            <x v="47"/>
          </reference>
          <reference field="4" count="1" selected="0">
            <x v="1"/>
          </reference>
          <reference field="5" count="1" defaultSubtotal="1">
            <x v="8"/>
          </reference>
        </references>
      </pivotArea>
    </format>
    <format dxfId="146">
      <pivotArea dataOnly="0" labelOnly="1" outline="0" fieldPosition="0">
        <references count="3">
          <reference field="2" count="1" selected="0">
            <x v="4"/>
          </reference>
          <reference field="4" count="1" selected="0">
            <x v="2"/>
          </reference>
          <reference field="5" count="1">
            <x v="18"/>
          </reference>
        </references>
      </pivotArea>
    </format>
    <format dxfId="145">
      <pivotArea dataOnly="0" labelOnly="1" outline="0" fieldPosition="0">
        <references count="3">
          <reference field="2" count="1" selected="0">
            <x v="4"/>
          </reference>
          <reference field="4" count="1" selected="0">
            <x v="2"/>
          </reference>
          <reference field="5" count="1" defaultSubtotal="1">
            <x v="18"/>
          </reference>
        </references>
      </pivotArea>
    </format>
    <format dxfId="144">
      <pivotArea dataOnly="0" labelOnly="1" outline="0" fieldPosition="0">
        <references count="3">
          <reference field="2" count="1" selected="0">
            <x v="5"/>
          </reference>
          <reference field="4" count="1" selected="0">
            <x v="2"/>
          </reference>
          <reference field="5" count="1">
            <x v="35"/>
          </reference>
        </references>
      </pivotArea>
    </format>
    <format dxfId="143">
      <pivotArea dataOnly="0" labelOnly="1" outline="0" fieldPosition="0">
        <references count="3">
          <reference field="2" count="1" selected="0">
            <x v="5"/>
          </reference>
          <reference field="4" count="1" selected="0">
            <x v="2"/>
          </reference>
          <reference field="5" count="1" defaultSubtotal="1">
            <x v="35"/>
          </reference>
        </references>
      </pivotArea>
    </format>
    <format dxfId="142">
      <pivotArea dataOnly="0" labelOnly="1" outline="0" fieldPosition="0">
        <references count="3">
          <reference field="2" count="1" selected="0">
            <x v="7"/>
          </reference>
          <reference field="4" count="1" selected="0">
            <x v="2"/>
          </reference>
          <reference field="5" count="1">
            <x v="7"/>
          </reference>
        </references>
      </pivotArea>
    </format>
    <format dxfId="141">
      <pivotArea dataOnly="0" labelOnly="1" outline="0" fieldPosition="0">
        <references count="3">
          <reference field="2" count="1" selected="0">
            <x v="7"/>
          </reference>
          <reference field="4" count="1" selected="0">
            <x v="2"/>
          </reference>
          <reference field="5" count="1" defaultSubtotal="1">
            <x v="7"/>
          </reference>
        </references>
      </pivotArea>
    </format>
    <format dxfId="140">
      <pivotArea dataOnly="0" labelOnly="1" outline="0" fieldPosition="0">
        <references count="3">
          <reference field="2" count="1" selected="0">
            <x v="8"/>
          </reference>
          <reference field="4" count="1" selected="0">
            <x v="2"/>
          </reference>
          <reference field="5" count="1">
            <x v="32"/>
          </reference>
        </references>
      </pivotArea>
    </format>
    <format dxfId="139">
      <pivotArea dataOnly="0" labelOnly="1" outline="0" fieldPosition="0">
        <references count="3">
          <reference field="2" count="1" selected="0">
            <x v="8"/>
          </reference>
          <reference field="4" count="1" selected="0">
            <x v="2"/>
          </reference>
          <reference field="5" count="1" defaultSubtotal="1">
            <x v="32"/>
          </reference>
        </references>
      </pivotArea>
    </format>
    <format dxfId="138">
      <pivotArea dataOnly="0" labelOnly="1" outline="0" fieldPosition="0">
        <references count="3">
          <reference field="2" count="1" selected="0">
            <x v="9"/>
          </reference>
          <reference field="4" count="1" selected="0">
            <x v="2"/>
          </reference>
          <reference field="5" count="1">
            <x v="16"/>
          </reference>
        </references>
      </pivotArea>
    </format>
    <format dxfId="137">
      <pivotArea dataOnly="0" labelOnly="1" outline="0" fieldPosition="0">
        <references count="3">
          <reference field="2" count="1" selected="0">
            <x v="9"/>
          </reference>
          <reference field="4" count="1" selected="0">
            <x v="2"/>
          </reference>
          <reference field="5" count="1" defaultSubtotal="1">
            <x v="16"/>
          </reference>
        </references>
      </pivotArea>
    </format>
    <format dxfId="136">
      <pivotArea dataOnly="0" labelOnly="1" outline="0" fieldPosition="0">
        <references count="3">
          <reference field="2" count="1" selected="0">
            <x v="11"/>
          </reference>
          <reference field="4" count="1" selected="0">
            <x v="2"/>
          </reference>
          <reference field="5" count="1">
            <x v="44"/>
          </reference>
        </references>
      </pivotArea>
    </format>
    <format dxfId="135">
      <pivotArea dataOnly="0" labelOnly="1" outline="0" fieldPosition="0">
        <references count="3">
          <reference field="2" count="1" selected="0">
            <x v="11"/>
          </reference>
          <reference field="4" count="1" selected="0">
            <x v="2"/>
          </reference>
          <reference field="5" count="1" defaultSubtotal="1">
            <x v="44"/>
          </reference>
        </references>
      </pivotArea>
    </format>
    <format dxfId="134">
      <pivotArea dataOnly="0" labelOnly="1" outline="0" fieldPosition="0">
        <references count="3">
          <reference field="2" count="1" selected="0">
            <x v="13"/>
          </reference>
          <reference field="4" count="1" selected="0">
            <x v="2"/>
          </reference>
          <reference field="5" count="1">
            <x v="3"/>
          </reference>
        </references>
      </pivotArea>
    </format>
    <format dxfId="133">
      <pivotArea dataOnly="0" labelOnly="1" outline="0" fieldPosition="0">
        <references count="3">
          <reference field="2" count="1" selected="0">
            <x v="13"/>
          </reference>
          <reference field="4" count="1" selected="0">
            <x v="2"/>
          </reference>
          <reference field="5" count="1" defaultSubtotal="1">
            <x v="3"/>
          </reference>
        </references>
      </pivotArea>
    </format>
    <format dxfId="132">
      <pivotArea dataOnly="0" labelOnly="1" outline="0" fieldPosition="0">
        <references count="3">
          <reference field="2" count="1" selected="0">
            <x v="14"/>
          </reference>
          <reference field="4" count="1" selected="0">
            <x v="2"/>
          </reference>
          <reference field="5" count="1">
            <x v="24"/>
          </reference>
        </references>
      </pivotArea>
    </format>
    <format dxfId="131">
      <pivotArea dataOnly="0" labelOnly="1" outline="0" fieldPosition="0">
        <references count="3">
          <reference field="2" count="1" selected="0">
            <x v="14"/>
          </reference>
          <reference field="4" count="1" selected="0">
            <x v="2"/>
          </reference>
          <reference field="5" count="1" defaultSubtotal="1">
            <x v="24"/>
          </reference>
        </references>
      </pivotArea>
    </format>
    <format dxfId="130">
      <pivotArea dataOnly="0" labelOnly="1" outline="0" fieldPosition="0">
        <references count="3">
          <reference field="2" count="1" selected="0">
            <x v="16"/>
          </reference>
          <reference field="4" count="1" selected="0">
            <x v="2"/>
          </reference>
          <reference field="5" count="1">
            <x v="11"/>
          </reference>
        </references>
      </pivotArea>
    </format>
    <format dxfId="129">
      <pivotArea dataOnly="0" labelOnly="1" outline="0" fieldPosition="0">
        <references count="3">
          <reference field="2" count="1" selected="0">
            <x v="16"/>
          </reference>
          <reference field="4" count="1" selected="0">
            <x v="2"/>
          </reference>
          <reference field="5" count="1" defaultSubtotal="1">
            <x v="11"/>
          </reference>
        </references>
      </pivotArea>
    </format>
    <format dxfId="128">
      <pivotArea dataOnly="0" labelOnly="1" outline="0" fieldPosition="0">
        <references count="3">
          <reference field="2" count="1" selected="0">
            <x v="20"/>
          </reference>
          <reference field="4" count="1" selected="0">
            <x v="2"/>
          </reference>
          <reference field="5" count="1">
            <x v="0"/>
          </reference>
        </references>
      </pivotArea>
    </format>
    <format dxfId="127">
      <pivotArea dataOnly="0" labelOnly="1" outline="0" fieldPosition="0">
        <references count="3">
          <reference field="2" count="1" selected="0">
            <x v="20"/>
          </reference>
          <reference field="4" count="1" selected="0">
            <x v="2"/>
          </reference>
          <reference field="5" count="1" defaultSubtotal="1">
            <x v="0"/>
          </reference>
        </references>
      </pivotArea>
    </format>
    <format dxfId="126">
      <pivotArea dataOnly="0" labelOnly="1" outline="0" fieldPosition="0">
        <references count="3">
          <reference field="2" count="1" selected="0">
            <x v="21"/>
          </reference>
          <reference field="4" count="1" selected="0">
            <x v="2"/>
          </reference>
          <reference field="5" count="1">
            <x v="19"/>
          </reference>
        </references>
      </pivotArea>
    </format>
    <format dxfId="125">
      <pivotArea dataOnly="0" labelOnly="1" outline="0" fieldPosition="0">
        <references count="3">
          <reference field="2" count="1" selected="0">
            <x v="21"/>
          </reference>
          <reference field="4" count="1" selected="0">
            <x v="2"/>
          </reference>
          <reference field="5" count="1" defaultSubtotal="1">
            <x v="19"/>
          </reference>
        </references>
      </pivotArea>
    </format>
    <format dxfId="124">
      <pivotArea dataOnly="0" labelOnly="1" outline="0" fieldPosition="0">
        <references count="3">
          <reference field="2" count="1" selected="0">
            <x v="26"/>
          </reference>
          <reference field="4" count="1" selected="0">
            <x v="2"/>
          </reference>
          <reference field="5" count="1">
            <x v="39"/>
          </reference>
        </references>
      </pivotArea>
    </format>
    <format dxfId="123">
      <pivotArea dataOnly="0" labelOnly="1" outline="0" fieldPosition="0">
        <references count="3">
          <reference field="2" count="1" selected="0">
            <x v="26"/>
          </reference>
          <reference field="4" count="1" selected="0">
            <x v="2"/>
          </reference>
          <reference field="5" count="1" defaultSubtotal="1">
            <x v="39"/>
          </reference>
        </references>
      </pivotArea>
    </format>
    <format dxfId="122">
      <pivotArea dataOnly="0" labelOnly="1" outline="0" fieldPosition="0">
        <references count="3">
          <reference field="2" count="1" selected="0">
            <x v="31"/>
          </reference>
          <reference field="4" count="1" selected="0">
            <x v="2"/>
          </reference>
          <reference field="5" count="1">
            <x v="4"/>
          </reference>
        </references>
      </pivotArea>
    </format>
    <format dxfId="121">
      <pivotArea dataOnly="0" labelOnly="1" outline="0" fieldPosition="0">
        <references count="3">
          <reference field="2" count="1" selected="0">
            <x v="31"/>
          </reference>
          <reference field="4" count="1" selected="0">
            <x v="2"/>
          </reference>
          <reference field="5" count="1" defaultSubtotal="1">
            <x v="4"/>
          </reference>
        </references>
      </pivotArea>
    </format>
    <format dxfId="120">
      <pivotArea dataOnly="0" labelOnly="1" outline="0" fieldPosition="0">
        <references count="3">
          <reference field="2" count="1" selected="0">
            <x v="38"/>
          </reference>
          <reference field="4" count="1" selected="0">
            <x v="2"/>
          </reference>
          <reference field="5" count="1">
            <x v="46"/>
          </reference>
        </references>
      </pivotArea>
    </format>
    <format dxfId="119">
      <pivotArea dataOnly="0" labelOnly="1" outline="0" fieldPosition="0">
        <references count="3">
          <reference field="2" count="1" selected="0">
            <x v="38"/>
          </reference>
          <reference field="4" count="1" selected="0">
            <x v="2"/>
          </reference>
          <reference field="5" count="1" defaultSubtotal="1">
            <x v="46"/>
          </reference>
        </references>
      </pivotArea>
    </format>
    <format dxfId="118">
      <pivotArea dataOnly="0" labelOnly="1" outline="0" fieldPosition="0">
        <references count="3">
          <reference field="2" count="1" selected="0">
            <x v="44"/>
          </reference>
          <reference field="4" count="1" selected="0">
            <x v="2"/>
          </reference>
          <reference field="5" count="1">
            <x v="22"/>
          </reference>
        </references>
      </pivotArea>
    </format>
    <format dxfId="117">
      <pivotArea dataOnly="0" labelOnly="1" outline="0" fieldPosition="0">
        <references count="3">
          <reference field="2" count="1" selected="0">
            <x v="44"/>
          </reference>
          <reference field="4" count="1" selected="0">
            <x v="2"/>
          </reference>
          <reference field="5" count="1" defaultSubtotal="1">
            <x v="22"/>
          </reference>
        </references>
      </pivotArea>
    </format>
    <format dxfId="116">
      <pivotArea dataOnly="0" labelOnly="1" outline="0" fieldPosition="0">
        <references count="3">
          <reference field="2" count="1" selected="0">
            <x v="0"/>
          </reference>
          <reference field="4" count="1" selected="0">
            <x v="3"/>
          </reference>
          <reference field="5" count="1">
            <x v="14"/>
          </reference>
        </references>
      </pivotArea>
    </format>
    <format dxfId="115">
      <pivotArea dataOnly="0" labelOnly="1" outline="0" fieldPosition="0">
        <references count="3">
          <reference field="2" count="1" selected="0">
            <x v="0"/>
          </reference>
          <reference field="4" count="1" selected="0">
            <x v="3"/>
          </reference>
          <reference field="5" count="1" defaultSubtotal="1">
            <x v="14"/>
          </reference>
        </references>
      </pivotArea>
    </format>
    <format dxfId="114">
      <pivotArea dataOnly="0" labelOnly="1" outline="0" fieldPosition="0">
        <references count="3">
          <reference field="2" count="1" selected="0">
            <x v="1"/>
          </reference>
          <reference field="4" count="1" selected="0">
            <x v="3"/>
          </reference>
          <reference field="5" count="1">
            <x v="1"/>
          </reference>
        </references>
      </pivotArea>
    </format>
    <format dxfId="113">
      <pivotArea dataOnly="0" labelOnly="1" outline="0" fieldPosition="0">
        <references count="3">
          <reference field="2" count="1" selected="0">
            <x v="1"/>
          </reference>
          <reference field="4" count="1" selected="0">
            <x v="3"/>
          </reference>
          <reference field="5" count="1" defaultSubtotal="1">
            <x v="1"/>
          </reference>
        </references>
      </pivotArea>
    </format>
    <format dxfId="112">
      <pivotArea dataOnly="0" labelOnly="1" outline="0" fieldPosition="0">
        <references count="3">
          <reference field="2" count="1" selected="0">
            <x v="15"/>
          </reference>
          <reference field="4" count="1" selected="0">
            <x v="3"/>
          </reference>
          <reference field="5" count="1">
            <x v="10"/>
          </reference>
        </references>
      </pivotArea>
    </format>
    <format dxfId="111">
      <pivotArea dataOnly="0" labelOnly="1" outline="0" fieldPosition="0">
        <references count="3">
          <reference field="2" count="1" selected="0">
            <x v="15"/>
          </reference>
          <reference field="4" count="1" selected="0">
            <x v="3"/>
          </reference>
          <reference field="5" count="1" defaultSubtotal="1">
            <x v="10"/>
          </reference>
        </references>
      </pivotArea>
    </format>
    <format dxfId="110">
      <pivotArea dataOnly="0" labelOnly="1" outline="0" fieldPosition="0">
        <references count="3">
          <reference field="2" count="1" selected="0">
            <x v="17"/>
          </reference>
          <reference field="4" count="1" selected="0">
            <x v="3"/>
          </reference>
          <reference field="5" count="1">
            <x v="30"/>
          </reference>
        </references>
      </pivotArea>
    </format>
    <format dxfId="109">
      <pivotArea dataOnly="0" labelOnly="1" outline="0" fieldPosition="0">
        <references count="3">
          <reference field="2" count="1" selected="0">
            <x v="17"/>
          </reference>
          <reference field="4" count="1" selected="0">
            <x v="3"/>
          </reference>
          <reference field="5" count="1" defaultSubtotal="1">
            <x v="30"/>
          </reference>
        </references>
      </pivotArea>
    </format>
    <format dxfId="108">
      <pivotArea dataOnly="0" labelOnly="1" outline="0" fieldPosition="0">
        <references count="3">
          <reference field="2" count="1" selected="0">
            <x v="18"/>
          </reference>
          <reference field="4" count="1" selected="0">
            <x v="3"/>
          </reference>
          <reference field="5" count="1">
            <x v="9"/>
          </reference>
        </references>
      </pivotArea>
    </format>
    <format dxfId="107">
      <pivotArea dataOnly="0" labelOnly="1" outline="0" fieldPosition="0">
        <references count="3">
          <reference field="2" count="1" selected="0">
            <x v="18"/>
          </reference>
          <reference field="4" count="1" selected="0">
            <x v="3"/>
          </reference>
          <reference field="5" count="1" defaultSubtotal="1">
            <x v="9"/>
          </reference>
        </references>
      </pivotArea>
    </format>
    <format dxfId="106">
      <pivotArea dataOnly="0" labelOnly="1" outline="0" fieldPosition="0">
        <references count="3">
          <reference field="2" count="1" selected="0">
            <x v="19"/>
          </reference>
          <reference field="4" count="1" selected="0">
            <x v="3"/>
          </reference>
          <reference field="5" count="1">
            <x v="33"/>
          </reference>
        </references>
      </pivotArea>
    </format>
    <format dxfId="105">
      <pivotArea dataOnly="0" labelOnly="1" outline="0" fieldPosition="0">
        <references count="3">
          <reference field="2" count="1" selected="0">
            <x v="19"/>
          </reference>
          <reference field="4" count="1" selected="0">
            <x v="3"/>
          </reference>
          <reference field="5" count="1" defaultSubtotal="1">
            <x v="33"/>
          </reference>
        </references>
      </pivotArea>
    </format>
    <format dxfId="104">
      <pivotArea dataOnly="0" labelOnly="1" outline="0" fieldPosition="0">
        <references count="3">
          <reference field="2" count="1" selected="0">
            <x v="22"/>
          </reference>
          <reference field="4" count="1" selected="0">
            <x v="3"/>
          </reference>
          <reference field="5" count="1">
            <x v="5"/>
          </reference>
        </references>
      </pivotArea>
    </format>
    <format dxfId="103">
      <pivotArea dataOnly="0" labelOnly="1" outline="0" fieldPosition="0">
        <references count="3">
          <reference field="2" count="1" selected="0">
            <x v="22"/>
          </reference>
          <reference field="4" count="1" selected="0">
            <x v="3"/>
          </reference>
          <reference field="5" count="1" defaultSubtotal="1">
            <x v="5"/>
          </reference>
        </references>
      </pivotArea>
    </format>
    <format dxfId="102">
      <pivotArea dataOnly="0" labelOnly="1" outline="0" fieldPosition="0">
        <references count="3">
          <reference field="2" count="1" selected="0">
            <x v="23"/>
          </reference>
          <reference field="4" count="1" selected="0">
            <x v="3"/>
          </reference>
          <reference field="5" count="1">
            <x v="20"/>
          </reference>
        </references>
      </pivotArea>
    </format>
    <format dxfId="101">
      <pivotArea dataOnly="0" labelOnly="1" outline="0" fieldPosition="0">
        <references count="3">
          <reference field="2" count="1" selected="0">
            <x v="23"/>
          </reference>
          <reference field="4" count="1" selected="0">
            <x v="3"/>
          </reference>
          <reference field="5" count="1" defaultSubtotal="1">
            <x v="20"/>
          </reference>
        </references>
      </pivotArea>
    </format>
    <format dxfId="100">
      <pivotArea dataOnly="0" labelOnly="1" outline="0" fieldPosition="0">
        <references count="3">
          <reference field="2" count="1" selected="0">
            <x v="35"/>
          </reference>
          <reference field="4" count="1" selected="0">
            <x v="3"/>
          </reference>
          <reference field="5" count="1">
            <x v="13"/>
          </reference>
        </references>
      </pivotArea>
    </format>
    <format dxfId="99">
      <pivotArea dataOnly="0" labelOnly="1" outline="0" fieldPosition="0">
        <references count="3">
          <reference field="2" count="1" selected="0">
            <x v="35"/>
          </reference>
          <reference field="4" count="1" selected="0">
            <x v="3"/>
          </reference>
          <reference field="5" count="1" defaultSubtotal="1">
            <x v="13"/>
          </reference>
        </references>
      </pivotArea>
    </format>
    <format dxfId="98">
      <pivotArea dataOnly="0" labelOnly="1" outline="0" fieldPosition="0">
        <references count="3">
          <reference field="2" count="1" selected="0">
            <x v="36"/>
          </reference>
          <reference field="4" count="1" selected="0">
            <x v="3"/>
          </reference>
          <reference field="5" count="1">
            <x v="47"/>
          </reference>
        </references>
      </pivotArea>
    </format>
    <format dxfId="97">
      <pivotArea dataOnly="0" labelOnly="1" outline="0" fieldPosition="0">
        <references count="3">
          <reference field="2" count="1" selected="0">
            <x v="36"/>
          </reference>
          <reference field="4" count="1" selected="0">
            <x v="3"/>
          </reference>
          <reference field="5" count="1" defaultSubtotal="1">
            <x v="47"/>
          </reference>
        </references>
      </pivotArea>
    </format>
    <format dxfId="96">
      <pivotArea dataOnly="0" labelOnly="1" outline="0" fieldPosition="0">
        <references count="3">
          <reference field="2" count="1" selected="0">
            <x v="45"/>
          </reference>
          <reference field="4" count="1" selected="0">
            <x v="3"/>
          </reference>
          <reference field="5" count="1">
            <x v="48"/>
          </reference>
        </references>
      </pivotArea>
    </format>
    <format dxfId="95">
      <pivotArea dataOnly="0" labelOnly="1" outline="0" fieldPosition="0">
        <references count="3">
          <reference field="2" count="1" selected="0">
            <x v="45"/>
          </reference>
          <reference field="4" count="1" selected="0">
            <x v="3"/>
          </reference>
          <reference field="5" count="1" defaultSubtotal="1">
            <x v="48"/>
          </reference>
        </references>
      </pivotArea>
    </format>
    <format dxfId="94">
      <pivotArea dataOnly="0" labelOnly="1" outline="0" fieldPosition="0">
        <references count="3">
          <reference field="2" count="1" selected="0">
            <x v="32"/>
          </reference>
          <reference field="4" count="1" selected="0">
            <x v="4"/>
          </reference>
          <reference field="5" count="1">
            <x v="17"/>
          </reference>
        </references>
      </pivotArea>
    </format>
    <format dxfId="93">
      <pivotArea dataOnly="0" labelOnly="1" outline="0" fieldPosition="0">
        <references count="3">
          <reference field="2" count="1" selected="0">
            <x v="32"/>
          </reference>
          <reference field="4" count="1" selected="0">
            <x v="4"/>
          </reference>
          <reference field="5" count="1" defaultSubtotal="1">
            <x v="17"/>
          </reference>
        </references>
      </pivotArea>
    </format>
    <format dxfId="92">
      <pivotArea dataOnly="0" labelOnly="1" outline="0" fieldPosition="0">
        <references count="3">
          <reference field="2" count="1" selected="0">
            <x v="33"/>
          </reference>
          <reference field="4" count="1" selected="0">
            <x v="4"/>
          </reference>
          <reference field="5" count="1">
            <x v="6"/>
          </reference>
        </references>
      </pivotArea>
    </format>
    <format dxfId="91">
      <pivotArea dataOnly="0" labelOnly="1" outline="0" fieldPosition="0">
        <references count="3">
          <reference field="2" count="1" selected="0">
            <x v="33"/>
          </reference>
          <reference field="4" count="1" selected="0">
            <x v="4"/>
          </reference>
          <reference field="5" count="1" defaultSubtotal="1">
            <x v="6"/>
          </reference>
        </references>
      </pivotArea>
    </format>
    <format dxfId="90">
      <pivotArea dataOnly="0" labelOnly="1" outline="0" fieldPosition="0">
        <references count="3">
          <reference field="2" count="1" selected="0">
            <x v="49"/>
          </reference>
          <reference field="4" count="1" selected="0">
            <x v="4"/>
          </reference>
          <reference field="5" count="1">
            <x v="31"/>
          </reference>
        </references>
      </pivotArea>
    </format>
    <format dxfId="89">
      <pivotArea dataOnly="0" labelOnly="1" outline="0" fieldPosition="0">
        <references count="3">
          <reference field="2" count="1" selected="0">
            <x v="49"/>
          </reference>
          <reference field="4" count="1" selected="0">
            <x v="4"/>
          </reference>
          <reference field="5" count="1" defaultSubtotal="1">
            <x v="31"/>
          </reference>
        </references>
      </pivotArea>
    </format>
    <format dxfId="88">
      <pivotArea type="topRight" dataOnly="0" labelOnly="1" outline="0" fieldPosition="0"/>
    </format>
    <format dxfId="87">
      <pivotArea type="origin" dataOnly="0" labelOnly="1" outline="0" fieldPosition="0"/>
    </format>
    <format dxfId="86">
      <pivotArea type="topRight" dataOnly="0" labelOnly="1" outline="0" fieldPosition="0"/>
    </format>
    <format dxfId="85">
      <pivotArea field="3" type="button" dataOnly="0" labelOnly="1" outline="0" axis="axisRow" fieldPosition="0"/>
    </format>
    <format dxfId="84">
      <pivotArea field="4" type="button" dataOnly="0" labelOnly="1" outline="0" axis="axisRow" fieldPosition="1"/>
    </format>
    <format dxfId="83">
      <pivotArea field="2" type="button" dataOnly="0" labelOnly="1" outline="0" axis="axisRow" fieldPosition="2"/>
    </format>
    <format dxfId="82">
      <pivotArea field="5" type="button" dataOnly="0" labelOnly="1" outline="0" axis="axisRow" fieldPosition="3"/>
    </format>
    <format dxfId="81">
      <pivotArea field="6" type="button" dataOnly="0" labelOnly="1" outline="0"/>
    </format>
    <format dxfId="80">
      <pivotArea field="8" type="button" dataOnly="0" labelOnly="1" outline="0" axis="axisRow" fieldPosition="4"/>
    </format>
    <format dxfId="79">
      <pivotArea field="9" type="button" dataOnly="0" labelOnly="1" outline="0" axis="axisRow" fieldPosition="5"/>
    </format>
    <format dxfId="78">
      <pivotArea dataOnly="0" labelOnly="1" outline="0" fieldPosition="0">
        <references count="1">
          <reference field="11" count="1">
            <x v="1"/>
          </reference>
        </references>
      </pivotArea>
    </format>
    <format dxfId="77">
      <pivotArea dataOnly="0" labelOnly="1" outline="0" fieldPosition="0">
        <references count="1">
          <reference field="11" count="1">
            <x v="1"/>
          </reference>
        </references>
      </pivotArea>
    </format>
    <format dxfId="76">
      <pivotArea outline="0" fieldPosition="0">
        <references count="1">
          <reference field="4294967294" count="1">
            <x v="1"/>
          </reference>
        </references>
      </pivotArea>
    </format>
    <format dxfId="75">
      <pivotArea field="3" type="button" dataOnly="0" labelOnly="1" outline="0" axis="axisRow" fieldPosition="0"/>
    </format>
    <format dxfId="74">
      <pivotArea field="4" type="button" dataOnly="0" labelOnly="1" outline="0" axis="axisRow" fieldPosition="1"/>
    </format>
    <format dxfId="73">
      <pivotArea field="2" type="button" dataOnly="0" labelOnly="1" outline="0" axis="axisRow" fieldPosition="2"/>
    </format>
    <format dxfId="72">
      <pivotArea field="5" type="button" dataOnly="0" labelOnly="1" outline="0" axis="axisRow" fieldPosition="3"/>
    </format>
    <format dxfId="71">
      <pivotArea field="8" type="button" dataOnly="0" labelOnly="1" outline="0" axis="axisRow" fieldPosition="4"/>
    </format>
    <format dxfId="70">
      <pivotArea field="9" type="button" dataOnly="0" labelOnly="1" outline="0" axis="axisRow" fieldPosition="5"/>
    </format>
    <format dxfId="6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тема">
  <a:themeElements>
    <a:clrScheme name="О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tabColor theme="9" tint="0.79998168889431442"/>
  </sheetPr>
  <dimension ref="A1:J111"/>
  <sheetViews>
    <sheetView topLeftCell="B1" zoomScale="90" zoomScaleNormal="90" workbookViewId="0">
      <pane ySplit="1" topLeftCell="A2" activePane="bottomLeft" state="frozen"/>
      <selection activeCell="D668" sqref="D668"/>
      <selection pane="bottomLeft" activeCell="D668" sqref="D668"/>
    </sheetView>
  </sheetViews>
  <sheetFormatPr baseColWidth="10" defaultColWidth="9" defaultRowHeight="14.4" x14ac:dyDescent="0.3"/>
  <cols>
    <col min="1" max="1" width="10.88671875" style="3" customWidth="1"/>
    <col min="2" max="2" width="10.109375" style="3" customWidth="1"/>
    <col min="3" max="4" width="47.33203125" style="3" customWidth="1"/>
    <col min="5" max="5" width="18.6640625" style="3" customWidth="1"/>
    <col min="6" max="6" width="13.5546875" style="3" customWidth="1"/>
    <col min="7" max="8" width="44.5546875" style="3" customWidth="1"/>
    <col min="9" max="9" width="17.6640625" style="4" customWidth="1"/>
    <col min="10" max="10" width="9" style="17"/>
  </cols>
  <sheetData>
    <row r="1" spans="1:9" x14ac:dyDescent="0.3">
      <c r="A1" s="5" t="s">
        <v>116</v>
      </c>
      <c r="B1" s="6" t="s">
        <v>117</v>
      </c>
      <c r="C1" s="7" t="s">
        <v>118</v>
      </c>
      <c r="D1" s="7"/>
      <c r="E1" s="8" t="s">
        <v>119</v>
      </c>
      <c r="F1" s="9" t="s">
        <v>120</v>
      </c>
      <c r="G1" s="10" t="s">
        <v>121</v>
      </c>
      <c r="H1" s="55"/>
      <c r="I1" s="15" t="s">
        <v>122</v>
      </c>
    </row>
    <row r="2" spans="1:9" x14ac:dyDescent="0.3">
      <c r="A2" s="5"/>
      <c r="B2" s="1">
        <v>1</v>
      </c>
      <c r="C2" s="2" t="s">
        <v>123</v>
      </c>
      <c r="D2" s="2" t="s">
        <v>405</v>
      </c>
      <c r="E2" s="1" t="s">
        <v>124</v>
      </c>
      <c r="F2" s="1">
        <v>1</v>
      </c>
      <c r="G2" s="1" t="s">
        <v>125</v>
      </c>
      <c r="H2" s="16"/>
      <c r="I2" s="15" t="s">
        <v>126</v>
      </c>
    </row>
    <row r="3" spans="1:9" hidden="1" x14ac:dyDescent="0.3">
      <c r="A3" s="5"/>
      <c r="B3" s="1">
        <v>1</v>
      </c>
      <c r="C3" s="2" t="s">
        <v>123</v>
      </c>
      <c r="D3" s="2" t="s">
        <v>405</v>
      </c>
      <c r="E3" s="1" t="s">
        <v>127</v>
      </c>
      <c r="F3" s="1">
        <v>3</v>
      </c>
      <c r="G3" s="1" t="s">
        <v>125</v>
      </c>
      <c r="H3" s="16"/>
      <c r="I3" s="15" t="s">
        <v>126</v>
      </c>
    </row>
    <row r="4" spans="1:9" hidden="1" x14ac:dyDescent="0.3">
      <c r="A4" s="5"/>
      <c r="B4" s="1">
        <v>1</v>
      </c>
      <c r="C4" s="2" t="s">
        <v>123</v>
      </c>
      <c r="D4" s="2" t="s">
        <v>405</v>
      </c>
      <c r="E4" s="1" t="s">
        <v>128</v>
      </c>
      <c r="F4" s="1">
        <v>2</v>
      </c>
      <c r="G4" s="1" t="s">
        <v>125</v>
      </c>
      <c r="H4" s="16"/>
      <c r="I4" s="15" t="s">
        <v>126</v>
      </c>
    </row>
    <row r="5" spans="1:9" hidden="1" x14ac:dyDescent="0.3">
      <c r="A5" s="5"/>
      <c r="B5" s="1">
        <v>1</v>
      </c>
      <c r="C5" s="2" t="s">
        <v>123</v>
      </c>
      <c r="D5" s="2" t="s">
        <v>405</v>
      </c>
      <c r="E5" s="1" t="s">
        <v>129</v>
      </c>
      <c r="F5" s="1">
        <v>17</v>
      </c>
      <c r="G5" s="1" t="s">
        <v>125</v>
      </c>
      <c r="H5" s="16"/>
      <c r="I5" s="15" t="s">
        <v>126</v>
      </c>
    </row>
    <row r="6" spans="1:9" hidden="1" x14ac:dyDescent="0.3">
      <c r="A6" s="5"/>
      <c r="B6" s="1">
        <v>1</v>
      </c>
      <c r="C6" s="2" t="s">
        <v>123</v>
      </c>
      <c r="D6" s="2" t="s">
        <v>405</v>
      </c>
      <c r="E6" s="1" t="s">
        <v>130</v>
      </c>
      <c r="F6" s="1">
        <v>32</v>
      </c>
      <c r="G6" s="1" t="s">
        <v>125</v>
      </c>
      <c r="H6" s="16"/>
      <c r="I6" s="15" t="s">
        <v>126</v>
      </c>
    </row>
    <row r="7" spans="1:9" hidden="1" x14ac:dyDescent="0.3">
      <c r="A7" s="5"/>
      <c r="B7" s="1">
        <v>1</v>
      </c>
      <c r="C7" s="2" t="s">
        <v>123</v>
      </c>
      <c r="D7" s="2" t="s">
        <v>405</v>
      </c>
      <c r="E7" s="1" t="s">
        <v>131</v>
      </c>
      <c r="F7" s="1">
        <v>14</v>
      </c>
      <c r="G7" s="1" t="s">
        <v>125</v>
      </c>
      <c r="H7" s="16"/>
      <c r="I7" s="15" t="s">
        <v>126</v>
      </c>
    </row>
    <row r="8" spans="1:9" x14ac:dyDescent="0.3">
      <c r="A8" s="5"/>
      <c r="B8" s="1">
        <v>1</v>
      </c>
      <c r="C8" s="2" t="s">
        <v>123</v>
      </c>
      <c r="D8" s="2" t="s">
        <v>405</v>
      </c>
      <c r="E8" s="1" t="s">
        <v>131</v>
      </c>
      <c r="F8" s="1">
        <v>1</v>
      </c>
      <c r="G8" s="1" t="s">
        <v>125</v>
      </c>
      <c r="H8" s="16"/>
      <c r="I8" s="15" t="s">
        <v>238</v>
      </c>
    </row>
    <row r="9" spans="1:9" hidden="1" x14ac:dyDescent="0.3">
      <c r="A9" s="5"/>
      <c r="B9" s="1">
        <v>1</v>
      </c>
      <c r="C9" s="2" t="s">
        <v>123</v>
      </c>
      <c r="D9" s="2" t="s">
        <v>405</v>
      </c>
      <c r="E9" s="1" t="s">
        <v>131</v>
      </c>
      <c r="F9" s="1">
        <v>5</v>
      </c>
      <c r="G9" s="1" t="s">
        <v>125</v>
      </c>
      <c r="H9" s="16"/>
      <c r="I9" s="15" t="s">
        <v>239</v>
      </c>
    </row>
    <row r="10" spans="1:9" x14ac:dyDescent="0.3">
      <c r="A10" s="5"/>
      <c r="B10" s="1">
        <v>1</v>
      </c>
      <c r="C10" s="2" t="s">
        <v>123</v>
      </c>
      <c r="D10" s="2" t="s">
        <v>405</v>
      </c>
      <c r="E10" s="1" t="s">
        <v>132</v>
      </c>
      <c r="F10" s="1">
        <v>1</v>
      </c>
      <c r="G10" s="1" t="s">
        <v>125</v>
      </c>
      <c r="H10" s="16"/>
      <c r="I10" s="15" t="s">
        <v>126</v>
      </c>
    </row>
    <row r="11" spans="1:9" x14ac:dyDescent="0.3">
      <c r="A11" s="5"/>
      <c r="B11" s="1">
        <v>1</v>
      </c>
      <c r="C11" s="2" t="s">
        <v>123</v>
      </c>
      <c r="D11" s="2" t="s">
        <v>405</v>
      </c>
      <c r="E11" s="1" t="s">
        <v>133</v>
      </c>
      <c r="F11" s="1">
        <v>1</v>
      </c>
      <c r="G11" s="1" t="s">
        <v>125</v>
      </c>
      <c r="H11" s="16"/>
      <c r="I11" s="15" t="s">
        <v>126</v>
      </c>
    </row>
    <row r="12" spans="1:9" x14ac:dyDescent="0.3">
      <c r="A12" s="5"/>
      <c r="B12" s="1">
        <v>1</v>
      </c>
      <c r="C12" s="2" t="s">
        <v>123</v>
      </c>
      <c r="D12" s="2" t="s">
        <v>405</v>
      </c>
      <c r="E12" s="1" t="s">
        <v>134</v>
      </c>
      <c r="F12" s="1">
        <v>1</v>
      </c>
      <c r="G12" s="1" t="s">
        <v>125</v>
      </c>
      <c r="H12" s="16"/>
      <c r="I12" s="15" t="s">
        <v>126</v>
      </c>
    </row>
    <row r="13" spans="1:9" hidden="1" x14ac:dyDescent="0.3">
      <c r="A13" s="5"/>
      <c r="B13" s="1">
        <v>2</v>
      </c>
      <c r="C13" s="2" t="s">
        <v>135</v>
      </c>
      <c r="D13" s="2" t="s">
        <v>406</v>
      </c>
      <c r="E13" s="1" t="s">
        <v>136</v>
      </c>
      <c r="F13" s="1">
        <v>3</v>
      </c>
      <c r="G13" s="1" t="s">
        <v>137</v>
      </c>
      <c r="H13" s="16"/>
      <c r="I13" s="15" t="s">
        <v>126</v>
      </c>
    </row>
    <row r="14" spans="1:9" x14ac:dyDescent="0.3">
      <c r="A14" s="5"/>
      <c r="B14" s="1">
        <v>2</v>
      </c>
      <c r="C14" s="2" t="s">
        <v>135</v>
      </c>
      <c r="D14" s="2" t="s">
        <v>406</v>
      </c>
      <c r="E14" s="1" t="s">
        <v>138</v>
      </c>
      <c r="F14" s="1">
        <v>1</v>
      </c>
      <c r="G14" s="1" t="s">
        <v>137</v>
      </c>
      <c r="H14" s="16"/>
      <c r="I14" s="15" t="s">
        <v>126</v>
      </c>
    </row>
    <row r="15" spans="1:9" hidden="1" x14ac:dyDescent="0.3">
      <c r="A15" s="5"/>
      <c r="B15" s="1">
        <v>2</v>
      </c>
      <c r="C15" s="2" t="s">
        <v>135</v>
      </c>
      <c r="D15" s="2" t="s">
        <v>406</v>
      </c>
      <c r="E15" s="1" t="s">
        <v>139</v>
      </c>
      <c r="F15" s="1">
        <v>4</v>
      </c>
      <c r="G15" s="1" t="s">
        <v>137</v>
      </c>
      <c r="H15" s="16"/>
      <c r="I15" s="15" t="s">
        <v>126</v>
      </c>
    </row>
    <row r="16" spans="1:9" hidden="1" x14ac:dyDescent="0.3">
      <c r="A16" s="5"/>
      <c r="B16" s="1">
        <v>2</v>
      </c>
      <c r="C16" s="2" t="s">
        <v>135</v>
      </c>
      <c r="D16" s="2" t="s">
        <v>406</v>
      </c>
      <c r="E16" s="1" t="s">
        <v>140</v>
      </c>
      <c r="F16" s="1">
        <v>4</v>
      </c>
      <c r="G16" s="1" t="s">
        <v>137</v>
      </c>
      <c r="H16" s="16"/>
      <c r="I16" s="15" t="s">
        <v>126</v>
      </c>
    </row>
    <row r="17" spans="1:9" hidden="1" x14ac:dyDescent="0.3">
      <c r="A17" s="5"/>
      <c r="B17" s="1">
        <v>2</v>
      </c>
      <c r="C17" s="2" t="s">
        <v>135</v>
      </c>
      <c r="D17" s="2" t="s">
        <v>406</v>
      </c>
      <c r="E17" s="1" t="s">
        <v>141</v>
      </c>
      <c r="F17" s="1">
        <v>2</v>
      </c>
      <c r="G17" s="1" t="s">
        <v>137</v>
      </c>
      <c r="H17" s="16"/>
      <c r="I17" s="15" t="s">
        <v>126</v>
      </c>
    </row>
    <row r="18" spans="1:9" hidden="1" x14ac:dyDescent="0.3">
      <c r="A18" s="5"/>
      <c r="B18" s="1">
        <v>2</v>
      </c>
      <c r="C18" s="2" t="s">
        <v>135</v>
      </c>
      <c r="D18" s="2" t="s">
        <v>406</v>
      </c>
      <c r="E18" s="1" t="s">
        <v>142</v>
      </c>
      <c r="F18" s="1">
        <v>7</v>
      </c>
      <c r="G18" s="1" t="s">
        <v>137</v>
      </c>
      <c r="H18" s="16"/>
      <c r="I18" s="15" t="s">
        <v>126</v>
      </c>
    </row>
    <row r="19" spans="1:9" hidden="1" x14ac:dyDescent="0.3">
      <c r="A19" s="5"/>
      <c r="B19" s="1">
        <v>2</v>
      </c>
      <c r="C19" s="1" t="s">
        <v>135</v>
      </c>
      <c r="D19" s="2" t="s">
        <v>406</v>
      </c>
      <c r="E19" s="1" t="s">
        <v>143</v>
      </c>
      <c r="F19" s="1">
        <v>2</v>
      </c>
      <c r="G19" s="1" t="s">
        <v>144</v>
      </c>
      <c r="H19" s="16" t="s">
        <v>424</v>
      </c>
      <c r="I19" s="15" t="s">
        <v>126</v>
      </c>
    </row>
    <row r="20" spans="1:9" hidden="1" x14ac:dyDescent="0.3">
      <c r="A20" s="5"/>
      <c r="B20" s="1">
        <v>2</v>
      </c>
      <c r="C20" s="1" t="s">
        <v>135</v>
      </c>
      <c r="D20" s="2" t="s">
        <v>406</v>
      </c>
      <c r="E20" s="1" t="s">
        <v>145</v>
      </c>
      <c r="F20" s="1">
        <v>2</v>
      </c>
      <c r="G20" s="1" t="s">
        <v>146</v>
      </c>
      <c r="H20" s="16"/>
      <c r="I20" s="15" t="s">
        <v>126</v>
      </c>
    </row>
    <row r="21" spans="1:9" hidden="1" x14ac:dyDescent="0.3">
      <c r="A21" s="5"/>
      <c r="B21" s="1">
        <v>2</v>
      </c>
      <c r="C21" s="1" t="s">
        <v>135</v>
      </c>
      <c r="D21" s="2" t="s">
        <v>406</v>
      </c>
      <c r="E21" s="1" t="s">
        <v>131</v>
      </c>
      <c r="F21" s="1">
        <v>5</v>
      </c>
      <c r="G21" s="1" t="s">
        <v>147</v>
      </c>
      <c r="H21" s="16"/>
      <c r="I21" s="15" t="s">
        <v>126</v>
      </c>
    </row>
    <row r="22" spans="1:9" hidden="1" x14ac:dyDescent="0.3">
      <c r="A22" s="5"/>
      <c r="B22" s="1">
        <v>2</v>
      </c>
      <c r="C22" s="1" t="s">
        <v>135</v>
      </c>
      <c r="D22" s="2" t="s">
        <v>406</v>
      </c>
      <c r="E22" s="1" t="s">
        <v>148</v>
      </c>
      <c r="F22" s="1">
        <v>3</v>
      </c>
      <c r="G22" s="1" t="s">
        <v>147</v>
      </c>
      <c r="H22" s="16"/>
      <c r="I22" s="15" t="s">
        <v>126</v>
      </c>
    </row>
    <row r="23" spans="1:9" hidden="1" x14ac:dyDescent="0.3">
      <c r="A23" s="5"/>
      <c r="B23" s="1">
        <v>2</v>
      </c>
      <c r="C23" s="1" t="s">
        <v>135</v>
      </c>
      <c r="D23" s="2" t="s">
        <v>406</v>
      </c>
      <c r="E23" s="1" t="s">
        <v>127</v>
      </c>
      <c r="F23" s="1">
        <v>3</v>
      </c>
      <c r="G23" s="1" t="s">
        <v>147</v>
      </c>
      <c r="H23" s="16"/>
      <c r="I23" s="15" t="s">
        <v>126</v>
      </c>
    </row>
    <row r="24" spans="1:9" hidden="1" x14ac:dyDescent="0.3">
      <c r="A24" s="5"/>
      <c r="B24" s="1">
        <v>2</v>
      </c>
      <c r="C24" s="1" t="s">
        <v>135</v>
      </c>
      <c r="D24" s="2" t="s">
        <v>406</v>
      </c>
      <c r="E24" s="1" t="s">
        <v>129</v>
      </c>
      <c r="F24" s="1">
        <v>2</v>
      </c>
      <c r="G24" s="1" t="s">
        <v>147</v>
      </c>
      <c r="H24" s="16"/>
      <c r="I24" s="15" t="s">
        <v>126</v>
      </c>
    </row>
    <row r="25" spans="1:9" hidden="1" x14ac:dyDescent="0.3">
      <c r="A25" s="5"/>
      <c r="B25" s="1">
        <v>2</v>
      </c>
      <c r="C25" s="1" t="s">
        <v>135</v>
      </c>
      <c r="D25" s="2" t="s">
        <v>406</v>
      </c>
      <c r="E25" s="1" t="s">
        <v>130</v>
      </c>
      <c r="F25" s="1">
        <v>2</v>
      </c>
      <c r="G25" s="1" t="s">
        <v>147</v>
      </c>
      <c r="H25" s="16"/>
      <c r="I25" s="15" t="s">
        <v>126</v>
      </c>
    </row>
    <row r="26" spans="1:9" hidden="1" x14ac:dyDescent="0.3">
      <c r="A26" s="5"/>
      <c r="B26" s="1">
        <v>2</v>
      </c>
      <c r="C26" s="1" t="s">
        <v>135</v>
      </c>
      <c r="D26" s="2" t="s">
        <v>406</v>
      </c>
      <c r="E26" s="1" t="s">
        <v>132</v>
      </c>
      <c r="F26" s="1">
        <v>7</v>
      </c>
      <c r="G26" s="1" t="s">
        <v>147</v>
      </c>
      <c r="H26" s="16"/>
      <c r="I26" s="15" t="s">
        <v>126</v>
      </c>
    </row>
    <row r="27" spans="1:9" x14ac:dyDescent="0.3">
      <c r="A27" s="5"/>
      <c r="B27" s="1">
        <v>2</v>
      </c>
      <c r="C27" s="1" t="s">
        <v>135</v>
      </c>
      <c r="D27" s="2" t="s">
        <v>406</v>
      </c>
      <c r="E27" s="1" t="s">
        <v>149</v>
      </c>
      <c r="F27" s="1">
        <v>1</v>
      </c>
      <c r="G27" s="1" t="s">
        <v>147</v>
      </c>
      <c r="H27" s="16"/>
      <c r="I27" s="15" t="s">
        <v>126</v>
      </c>
    </row>
    <row r="28" spans="1:9" x14ac:dyDescent="0.3">
      <c r="A28" s="5"/>
      <c r="B28" s="1">
        <v>2</v>
      </c>
      <c r="C28" s="1" t="s">
        <v>135</v>
      </c>
      <c r="D28" s="2" t="s">
        <v>406</v>
      </c>
      <c r="E28" s="1" t="s">
        <v>150</v>
      </c>
      <c r="F28" s="1">
        <v>1</v>
      </c>
      <c r="G28" s="1" t="s">
        <v>137</v>
      </c>
      <c r="H28" s="16"/>
      <c r="I28" s="15" t="s">
        <v>126</v>
      </c>
    </row>
    <row r="29" spans="1:9" x14ac:dyDescent="0.3">
      <c r="A29" s="5"/>
      <c r="B29" s="1">
        <v>2</v>
      </c>
      <c r="C29" s="1" t="s">
        <v>135</v>
      </c>
      <c r="D29" s="2" t="s">
        <v>406</v>
      </c>
      <c r="E29" s="1" t="s">
        <v>151</v>
      </c>
      <c r="F29" s="1">
        <v>1</v>
      </c>
      <c r="G29" s="1" t="s">
        <v>147</v>
      </c>
      <c r="H29" s="16" t="s">
        <v>425</v>
      </c>
      <c r="I29" s="15" t="s">
        <v>126</v>
      </c>
    </row>
    <row r="30" spans="1:9" hidden="1" x14ac:dyDescent="0.3">
      <c r="A30" s="5"/>
      <c r="B30" s="1">
        <v>2</v>
      </c>
      <c r="C30" s="1" t="s">
        <v>135</v>
      </c>
      <c r="D30" s="2" t="s">
        <v>406</v>
      </c>
      <c r="E30" s="1" t="s">
        <v>151</v>
      </c>
      <c r="F30" s="1">
        <v>4</v>
      </c>
      <c r="G30" s="1" t="s">
        <v>144</v>
      </c>
      <c r="H30" s="16" t="s">
        <v>424</v>
      </c>
      <c r="I30" s="15" t="s">
        <v>126</v>
      </c>
    </row>
    <row r="31" spans="1:9" x14ac:dyDescent="0.3">
      <c r="A31" s="5"/>
      <c r="B31" s="1">
        <v>2</v>
      </c>
      <c r="C31" s="1" t="s">
        <v>135</v>
      </c>
      <c r="D31" s="2" t="s">
        <v>406</v>
      </c>
      <c r="E31" s="1" t="s">
        <v>152</v>
      </c>
      <c r="F31" s="1">
        <v>1</v>
      </c>
      <c r="G31" s="1" t="s">
        <v>137</v>
      </c>
      <c r="H31" s="16"/>
      <c r="I31" s="15" t="s">
        <v>126</v>
      </c>
    </row>
    <row r="32" spans="1:9" x14ac:dyDescent="0.3">
      <c r="A32" s="5"/>
      <c r="B32" s="1">
        <v>3</v>
      </c>
      <c r="C32" s="1" t="s">
        <v>123</v>
      </c>
      <c r="D32" s="2" t="s">
        <v>405</v>
      </c>
      <c r="E32" s="1" t="s">
        <v>129</v>
      </c>
      <c r="F32" s="1">
        <v>1</v>
      </c>
      <c r="G32" s="1" t="s">
        <v>153</v>
      </c>
      <c r="H32" s="16" t="s">
        <v>426</v>
      </c>
      <c r="I32" s="15" t="s">
        <v>126</v>
      </c>
    </row>
    <row r="33" spans="1:9" x14ac:dyDescent="0.3">
      <c r="A33" s="5"/>
      <c r="B33" s="1">
        <v>3</v>
      </c>
      <c r="C33" s="1" t="s">
        <v>123</v>
      </c>
      <c r="D33" s="2" t="s">
        <v>405</v>
      </c>
      <c r="E33" s="1" t="s">
        <v>130</v>
      </c>
      <c r="F33" s="1">
        <v>1</v>
      </c>
      <c r="G33" s="1" t="s">
        <v>153</v>
      </c>
      <c r="H33" s="16" t="s">
        <v>426</v>
      </c>
      <c r="I33" s="15" t="s">
        <v>126</v>
      </c>
    </row>
    <row r="34" spans="1:9" x14ac:dyDescent="0.3">
      <c r="A34" s="5"/>
      <c r="B34" s="1">
        <v>3</v>
      </c>
      <c r="C34" s="1" t="s">
        <v>123</v>
      </c>
      <c r="D34" s="2" t="s">
        <v>405</v>
      </c>
      <c r="E34" s="1" t="s">
        <v>131</v>
      </c>
      <c r="F34" s="1">
        <v>1</v>
      </c>
      <c r="G34" s="1" t="s">
        <v>153</v>
      </c>
      <c r="H34" s="16" t="s">
        <v>426</v>
      </c>
      <c r="I34" s="15" t="s">
        <v>126</v>
      </c>
    </row>
    <row r="35" spans="1:9" x14ac:dyDescent="0.3">
      <c r="A35" s="5"/>
      <c r="B35" s="1">
        <v>3</v>
      </c>
      <c r="C35" s="1" t="s">
        <v>123</v>
      </c>
      <c r="D35" s="2" t="s">
        <v>405</v>
      </c>
      <c r="E35" s="1" t="s">
        <v>154</v>
      </c>
      <c r="F35" s="1">
        <v>1</v>
      </c>
      <c r="G35" s="1" t="s">
        <v>153</v>
      </c>
      <c r="H35" s="16" t="s">
        <v>426</v>
      </c>
      <c r="I35" s="15" t="s">
        <v>126</v>
      </c>
    </row>
    <row r="36" spans="1:9" x14ac:dyDescent="0.3">
      <c r="A36" s="5"/>
      <c r="B36" s="1">
        <v>3</v>
      </c>
      <c r="C36" s="1" t="s">
        <v>123</v>
      </c>
      <c r="D36" s="2" t="s">
        <v>405</v>
      </c>
      <c r="E36" s="1" t="s">
        <v>155</v>
      </c>
      <c r="F36" s="1">
        <v>1</v>
      </c>
      <c r="G36" s="1" t="s">
        <v>153</v>
      </c>
      <c r="H36" s="16" t="s">
        <v>426</v>
      </c>
      <c r="I36" s="15" t="s">
        <v>126</v>
      </c>
    </row>
    <row r="37" spans="1:9" x14ac:dyDescent="0.3">
      <c r="A37" s="5"/>
      <c r="B37" s="1">
        <v>3</v>
      </c>
      <c r="C37" s="1" t="s">
        <v>123</v>
      </c>
      <c r="D37" s="2" t="s">
        <v>405</v>
      </c>
      <c r="E37" s="1" t="s">
        <v>156</v>
      </c>
      <c r="F37" s="1">
        <v>1</v>
      </c>
      <c r="G37" s="1" t="s">
        <v>153</v>
      </c>
      <c r="H37" s="16" t="s">
        <v>426</v>
      </c>
      <c r="I37" s="15" t="s">
        <v>126</v>
      </c>
    </row>
    <row r="38" spans="1:9" x14ac:dyDescent="0.3">
      <c r="A38" s="5"/>
      <c r="B38" s="1">
        <v>3</v>
      </c>
      <c r="C38" s="1" t="s">
        <v>123</v>
      </c>
      <c r="D38" s="2" t="s">
        <v>405</v>
      </c>
      <c r="E38" s="1" t="s">
        <v>157</v>
      </c>
      <c r="F38" s="1">
        <v>1</v>
      </c>
      <c r="G38" s="1" t="s">
        <v>153</v>
      </c>
      <c r="H38" s="16" t="s">
        <v>426</v>
      </c>
      <c r="I38" s="15" t="s">
        <v>126</v>
      </c>
    </row>
    <row r="39" spans="1:9" x14ac:dyDescent="0.3">
      <c r="A39" s="5"/>
      <c r="B39" s="1">
        <v>3</v>
      </c>
      <c r="C39" s="1" t="s">
        <v>123</v>
      </c>
      <c r="D39" s="2" t="s">
        <v>405</v>
      </c>
      <c r="E39" s="1" t="s">
        <v>158</v>
      </c>
      <c r="F39" s="1">
        <v>1</v>
      </c>
      <c r="G39" s="1" t="s">
        <v>153</v>
      </c>
      <c r="H39" s="16" t="s">
        <v>426</v>
      </c>
      <c r="I39" s="15" t="s">
        <v>126</v>
      </c>
    </row>
    <row r="40" spans="1:9" x14ac:dyDescent="0.3">
      <c r="A40" s="5"/>
      <c r="B40" s="1">
        <v>4</v>
      </c>
      <c r="C40" s="1" t="s">
        <v>159</v>
      </c>
      <c r="D40" s="1" t="s">
        <v>407</v>
      </c>
      <c r="E40" s="1" t="s">
        <v>160</v>
      </c>
      <c r="F40" s="1">
        <v>1</v>
      </c>
      <c r="G40" s="1"/>
      <c r="H40" s="16"/>
      <c r="I40" s="15" t="s">
        <v>126</v>
      </c>
    </row>
    <row r="41" spans="1:9" hidden="1" x14ac:dyDescent="0.3">
      <c r="A41" s="5"/>
      <c r="B41" s="1">
        <v>4</v>
      </c>
      <c r="C41" s="1" t="s">
        <v>161</v>
      </c>
      <c r="D41" s="1" t="s">
        <v>408</v>
      </c>
      <c r="E41" s="1"/>
      <c r="F41" s="1">
        <v>3</v>
      </c>
      <c r="G41" s="1" t="s">
        <v>162</v>
      </c>
      <c r="H41" s="16" t="s">
        <v>427</v>
      </c>
      <c r="I41" s="15" t="s">
        <v>126</v>
      </c>
    </row>
    <row r="42" spans="1:9" hidden="1" x14ac:dyDescent="0.3">
      <c r="A42" s="5"/>
      <c r="B42" s="1">
        <v>4</v>
      </c>
      <c r="C42" s="1" t="s">
        <v>163</v>
      </c>
      <c r="D42" s="1" t="s">
        <v>409</v>
      </c>
      <c r="E42" s="1" t="s">
        <v>164</v>
      </c>
      <c r="F42" s="1">
        <v>3</v>
      </c>
      <c r="G42" s="1"/>
      <c r="H42" s="16"/>
      <c r="I42" s="15" t="s">
        <v>126</v>
      </c>
    </row>
    <row r="43" spans="1:9" x14ac:dyDescent="0.3">
      <c r="A43" s="5"/>
      <c r="B43" s="1">
        <v>4</v>
      </c>
      <c r="C43" s="1" t="s">
        <v>163</v>
      </c>
      <c r="D43" s="1" t="s">
        <v>409</v>
      </c>
      <c r="E43" s="1" t="s">
        <v>165</v>
      </c>
      <c r="F43" s="1">
        <v>1</v>
      </c>
      <c r="G43" s="1"/>
      <c r="H43" s="16"/>
      <c r="I43" s="15" t="s">
        <v>126</v>
      </c>
    </row>
    <row r="44" spans="1:9" x14ac:dyDescent="0.3">
      <c r="A44" s="5"/>
      <c r="B44" s="1">
        <v>4</v>
      </c>
      <c r="C44" s="1" t="s">
        <v>163</v>
      </c>
      <c r="D44" s="1" t="s">
        <v>409</v>
      </c>
      <c r="E44" s="1" t="s">
        <v>166</v>
      </c>
      <c r="F44" s="1">
        <v>1</v>
      </c>
      <c r="G44" s="1"/>
      <c r="H44" s="16"/>
      <c r="I44" s="15" t="s">
        <v>126</v>
      </c>
    </row>
    <row r="45" spans="1:9" x14ac:dyDescent="0.3">
      <c r="A45" s="5"/>
      <c r="B45" s="1">
        <v>4</v>
      </c>
      <c r="C45" s="1" t="s">
        <v>167</v>
      </c>
      <c r="D45" s="1" t="s">
        <v>410</v>
      </c>
      <c r="E45" s="1" t="s">
        <v>168</v>
      </c>
      <c r="F45" s="1">
        <v>1</v>
      </c>
      <c r="G45" s="1"/>
      <c r="H45" s="16"/>
      <c r="I45" s="15" t="s">
        <v>126</v>
      </c>
    </row>
    <row r="46" spans="1:9" x14ac:dyDescent="0.3">
      <c r="A46" s="5"/>
      <c r="B46" s="1">
        <v>4</v>
      </c>
      <c r="C46" s="1" t="s">
        <v>167</v>
      </c>
      <c r="D46" s="1" t="s">
        <v>410</v>
      </c>
      <c r="E46" s="1" t="s">
        <v>169</v>
      </c>
      <c r="F46" s="1">
        <v>1</v>
      </c>
      <c r="G46" s="1"/>
      <c r="H46" s="16"/>
      <c r="I46" s="15" t="s">
        <v>126</v>
      </c>
    </row>
    <row r="47" spans="1:9" hidden="1" x14ac:dyDescent="0.3">
      <c r="A47" s="5"/>
      <c r="B47" s="1">
        <v>5</v>
      </c>
      <c r="C47" s="1" t="s">
        <v>170</v>
      </c>
      <c r="D47" s="1" t="s">
        <v>411</v>
      </c>
      <c r="E47" s="11">
        <v>3.2</v>
      </c>
      <c r="F47" s="12">
        <v>7</v>
      </c>
      <c r="G47" s="1" t="s">
        <v>171</v>
      </c>
      <c r="H47" s="16"/>
      <c r="I47" s="15" t="s">
        <v>126</v>
      </c>
    </row>
    <row r="48" spans="1:9" hidden="1" x14ac:dyDescent="0.3">
      <c r="A48" s="5"/>
      <c r="B48" s="1">
        <v>5</v>
      </c>
      <c r="C48" s="1" t="s">
        <v>170</v>
      </c>
      <c r="D48" s="1" t="s">
        <v>411</v>
      </c>
      <c r="E48" s="11">
        <v>4.8</v>
      </c>
      <c r="F48" s="12">
        <v>8</v>
      </c>
      <c r="G48" s="1" t="s">
        <v>171</v>
      </c>
      <c r="H48" s="16"/>
      <c r="I48" s="15" t="s">
        <v>126</v>
      </c>
    </row>
    <row r="49" spans="1:9" hidden="1" x14ac:dyDescent="0.3">
      <c r="A49" s="5"/>
      <c r="B49" s="1">
        <v>5</v>
      </c>
      <c r="C49" s="1" t="s">
        <v>170</v>
      </c>
      <c r="D49" s="1" t="s">
        <v>411</v>
      </c>
      <c r="E49" s="11">
        <v>6.4</v>
      </c>
      <c r="F49" s="12">
        <v>7</v>
      </c>
      <c r="G49" s="1" t="s">
        <v>171</v>
      </c>
      <c r="H49" s="16"/>
      <c r="I49" s="15" t="s">
        <v>126</v>
      </c>
    </row>
    <row r="50" spans="1:9" x14ac:dyDescent="0.3">
      <c r="A50" s="5"/>
      <c r="B50" s="1">
        <v>5</v>
      </c>
      <c r="C50" s="1" t="s">
        <v>170</v>
      </c>
      <c r="D50" s="1" t="s">
        <v>411</v>
      </c>
      <c r="E50" s="11">
        <v>7.9</v>
      </c>
      <c r="F50" s="12">
        <v>1</v>
      </c>
      <c r="G50" s="1" t="s">
        <v>171</v>
      </c>
      <c r="H50" s="16"/>
      <c r="I50" s="15" t="s">
        <v>126</v>
      </c>
    </row>
    <row r="51" spans="1:9" hidden="1" x14ac:dyDescent="0.3">
      <c r="A51" s="5"/>
      <c r="B51" s="1">
        <v>5</v>
      </c>
      <c r="C51" s="1" t="s">
        <v>170</v>
      </c>
      <c r="D51" s="1" t="s">
        <v>411</v>
      </c>
      <c r="E51" s="11">
        <v>9.5</v>
      </c>
      <c r="F51" s="12">
        <v>10</v>
      </c>
      <c r="G51" s="1" t="s">
        <v>171</v>
      </c>
      <c r="H51" s="16"/>
      <c r="I51" s="15" t="s">
        <v>126</v>
      </c>
    </row>
    <row r="52" spans="1:9" hidden="1" x14ac:dyDescent="0.3">
      <c r="A52" s="5"/>
      <c r="B52" s="1">
        <v>5</v>
      </c>
      <c r="C52" s="1" t="s">
        <v>170</v>
      </c>
      <c r="D52" s="1" t="s">
        <v>411</v>
      </c>
      <c r="E52" s="11">
        <v>12.7</v>
      </c>
      <c r="F52" s="12">
        <v>5</v>
      </c>
      <c r="G52" s="1" t="s">
        <v>171</v>
      </c>
      <c r="H52" s="16"/>
      <c r="I52" s="15" t="s">
        <v>126</v>
      </c>
    </row>
    <row r="53" spans="1:9" hidden="1" x14ac:dyDescent="0.3">
      <c r="A53" s="5"/>
      <c r="B53" s="1">
        <v>5</v>
      </c>
      <c r="C53" s="1" t="s">
        <v>170</v>
      </c>
      <c r="D53" s="1" t="s">
        <v>411</v>
      </c>
      <c r="E53" s="11">
        <v>19.100000000000001</v>
      </c>
      <c r="F53" s="12">
        <v>2</v>
      </c>
      <c r="G53" s="1" t="s">
        <v>171</v>
      </c>
      <c r="H53" s="16"/>
      <c r="I53" s="15" t="s">
        <v>126</v>
      </c>
    </row>
    <row r="54" spans="1:9" x14ac:dyDescent="0.3">
      <c r="A54" s="5"/>
      <c r="B54" s="1">
        <v>5</v>
      </c>
      <c r="C54" s="1" t="s">
        <v>170</v>
      </c>
      <c r="D54" s="1" t="s">
        <v>411</v>
      </c>
      <c r="E54" s="11">
        <v>22.2</v>
      </c>
      <c r="F54" s="12">
        <v>1</v>
      </c>
      <c r="G54" s="1" t="s">
        <v>171</v>
      </c>
      <c r="H54" s="16"/>
      <c r="I54" s="15" t="s">
        <v>126</v>
      </c>
    </row>
    <row r="55" spans="1:9" hidden="1" x14ac:dyDescent="0.3">
      <c r="A55" s="5"/>
      <c r="B55" s="1">
        <v>1</v>
      </c>
      <c r="C55" s="1" t="s">
        <v>123</v>
      </c>
      <c r="D55" s="2" t="s">
        <v>405</v>
      </c>
      <c r="E55" s="1">
        <v>16</v>
      </c>
      <c r="F55" s="1">
        <v>2</v>
      </c>
      <c r="G55" s="1"/>
      <c r="H55" s="16"/>
      <c r="I55" s="16" t="s">
        <v>11</v>
      </c>
    </row>
    <row r="56" spans="1:9" x14ac:dyDescent="0.3">
      <c r="A56" s="5"/>
      <c r="B56" s="1">
        <v>1</v>
      </c>
      <c r="C56" s="1" t="s">
        <v>123</v>
      </c>
      <c r="D56" s="2" t="s">
        <v>405</v>
      </c>
      <c r="E56" s="1">
        <v>18</v>
      </c>
      <c r="F56" s="1">
        <v>1</v>
      </c>
      <c r="G56" s="1"/>
      <c r="H56" s="16"/>
      <c r="I56" s="16" t="s">
        <v>11</v>
      </c>
    </row>
    <row r="57" spans="1:9" x14ac:dyDescent="0.3">
      <c r="A57" s="5"/>
      <c r="B57" s="1">
        <v>1</v>
      </c>
      <c r="C57" s="1" t="s">
        <v>123</v>
      </c>
      <c r="D57" s="2" t="s">
        <v>405</v>
      </c>
      <c r="E57" s="1">
        <v>20</v>
      </c>
      <c r="F57" s="1">
        <v>1</v>
      </c>
      <c r="G57" s="1"/>
      <c r="H57" s="16"/>
      <c r="I57" s="16" t="s">
        <v>11</v>
      </c>
    </row>
    <row r="58" spans="1:9" hidden="1" x14ac:dyDescent="0.3">
      <c r="A58" s="5"/>
      <c r="B58" s="1">
        <v>1</v>
      </c>
      <c r="C58" s="1" t="s">
        <v>123</v>
      </c>
      <c r="D58" s="2" t="s">
        <v>405</v>
      </c>
      <c r="E58" s="1">
        <v>22</v>
      </c>
      <c r="F58" s="1">
        <v>2</v>
      </c>
      <c r="G58" s="1"/>
      <c r="H58" s="16"/>
      <c r="I58" s="16" t="s">
        <v>11</v>
      </c>
    </row>
    <row r="59" spans="1:9" hidden="1" x14ac:dyDescent="0.3">
      <c r="A59" s="5"/>
      <c r="B59" s="1">
        <v>1</v>
      </c>
      <c r="C59" s="1" t="s">
        <v>123</v>
      </c>
      <c r="D59" s="2" t="s">
        <v>405</v>
      </c>
      <c r="E59" s="1">
        <v>24</v>
      </c>
      <c r="F59" s="1">
        <v>9</v>
      </c>
      <c r="G59" s="1"/>
      <c r="H59" s="16"/>
      <c r="I59" s="16" t="s">
        <v>11</v>
      </c>
    </row>
    <row r="60" spans="1:9" hidden="1" x14ac:dyDescent="0.3">
      <c r="A60" s="5"/>
      <c r="B60" s="1">
        <v>1</v>
      </c>
      <c r="C60" s="1" t="s">
        <v>123</v>
      </c>
      <c r="D60" s="2" t="s">
        <v>405</v>
      </c>
      <c r="E60" s="1">
        <v>26</v>
      </c>
      <c r="F60" s="1">
        <v>11</v>
      </c>
      <c r="G60" s="1"/>
      <c r="H60" s="16"/>
      <c r="I60" s="16" t="s">
        <v>11</v>
      </c>
    </row>
    <row r="61" spans="1:9" hidden="1" x14ac:dyDescent="0.3">
      <c r="A61" s="5"/>
      <c r="B61" s="1">
        <v>1</v>
      </c>
      <c r="C61" s="1" t="s">
        <v>123</v>
      </c>
      <c r="D61" s="2" t="s">
        <v>405</v>
      </c>
      <c r="E61" s="1">
        <v>28</v>
      </c>
      <c r="F61" s="1">
        <v>8</v>
      </c>
      <c r="G61" s="1"/>
      <c r="H61" s="16"/>
      <c r="I61" s="16" t="s">
        <v>11</v>
      </c>
    </row>
    <row r="62" spans="1:9" hidden="1" x14ac:dyDescent="0.3">
      <c r="A62" s="5"/>
      <c r="B62" s="1">
        <v>1</v>
      </c>
      <c r="C62" s="1" t="s">
        <v>123</v>
      </c>
      <c r="D62" s="2" t="s">
        <v>405</v>
      </c>
      <c r="E62" s="1">
        <v>30</v>
      </c>
      <c r="F62" s="1">
        <v>4</v>
      </c>
      <c r="G62" s="1"/>
      <c r="H62" s="16"/>
      <c r="I62" s="16" t="s">
        <v>11</v>
      </c>
    </row>
    <row r="63" spans="1:9" hidden="1" x14ac:dyDescent="0.3">
      <c r="A63" s="5"/>
      <c r="B63" s="1">
        <v>1</v>
      </c>
      <c r="C63" s="1" t="s">
        <v>123</v>
      </c>
      <c r="D63" s="2" t="s">
        <v>405</v>
      </c>
      <c r="E63" s="1">
        <v>32</v>
      </c>
      <c r="F63" s="1">
        <v>5</v>
      </c>
      <c r="G63" s="1"/>
      <c r="H63" s="16"/>
      <c r="I63" s="16" t="s">
        <v>11</v>
      </c>
    </row>
    <row r="64" spans="1:9" hidden="1" x14ac:dyDescent="0.3">
      <c r="A64" s="5"/>
      <c r="B64" s="1">
        <v>1</v>
      </c>
      <c r="C64" s="1" t="s">
        <v>123</v>
      </c>
      <c r="D64" s="2" t="s">
        <v>405</v>
      </c>
      <c r="E64" s="1">
        <v>34</v>
      </c>
      <c r="F64" s="1">
        <v>3</v>
      </c>
      <c r="G64" s="1"/>
      <c r="H64" s="16"/>
      <c r="I64" s="16" t="s">
        <v>11</v>
      </c>
    </row>
    <row r="65" spans="1:9" hidden="1" x14ac:dyDescent="0.3">
      <c r="A65" s="5"/>
      <c r="B65" s="1">
        <v>1</v>
      </c>
      <c r="C65" s="1" t="s">
        <v>123</v>
      </c>
      <c r="D65" s="2" t="s">
        <v>405</v>
      </c>
      <c r="E65" s="1">
        <v>36</v>
      </c>
      <c r="F65" s="1">
        <v>2</v>
      </c>
      <c r="G65" s="1"/>
      <c r="H65" s="16"/>
      <c r="I65" s="16" t="s">
        <v>11</v>
      </c>
    </row>
    <row r="66" spans="1:9" hidden="1" x14ac:dyDescent="0.3">
      <c r="A66" s="5"/>
      <c r="B66" s="1">
        <v>1</v>
      </c>
      <c r="C66" s="1" t="s">
        <v>123</v>
      </c>
      <c r="D66" s="2" t="s">
        <v>405</v>
      </c>
      <c r="E66" s="1">
        <v>38</v>
      </c>
      <c r="F66" s="1">
        <v>2</v>
      </c>
      <c r="G66" s="1"/>
      <c r="H66" s="16"/>
      <c r="I66" s="16" t="s">
        <v>11</v>
      </c>
    </row>
    <row r="67" spans="1:9" x14ac:dyDescent="0.3">
      <c r="A67" s="5"/>
      <c r="B67" s="1">
        <v>2</v>
      </c>
      <c r="C67" s="1" t="s">
        <v>172</v>
      </c>
      <c r="D67" s="1" t="s">
        <v>412</v>
      </c>
      <c r="E67" s="1">
        <v>6</v>
      </c>
      <c r="F67" s="1">
        <v>1</v>
      </c>
      <c r="G67" s="1"/>
      <c r="H67" s="16"/>
      <c r="I67" s="16" t="s">
        <v>11</v>
      </c>
    </row>
    <row r="68" spans="1:9" hidden="1" x14ac:dyDescent="0.3">
      <c r="A68" s="5"/>
      <c r="B68" s="1">
        <v>2</v>
      </c>
      <c r="C68" s="1" t="s">
        <v>172</v>
      </c>
      <c r="D68" s="1" t="s">
        <v>412</v>
      </c>
      <c r="E68" s="1">
        <v>8</v>
      </c>
      <c r="F68" s="1">
        <v>2</v>
      </c>
      <c r="G68" s="1"/>
      <c r="H68" s="16"/>
      <c r="I68" s="16" t="s">
        <v>11</v>
      </c>
    </row>
    <row r="69" spans="1:9" hidden="1" x14ac:dyDescent="0.3">
      <c r="A69" s="5"/>
      <c r="B69" s="1">
        <v>2</v>
      </c>
      <c r="C69" s="1" t="s">
        <v>172</v>
      </c>
      <c r="D69" s="1" t="s">
        <v>412</v>
      </c>
      <c r="E69" s="1">
        <v>10</v>
      </c>
      <c r="F69" s="1">
        <v>10</v>
      </c>
      <c r="G69" s="1"/>
      <c r="H69" s="16"/>
      <c r="I69" s="16" t="s">
        <v>11</v>
      </c>
    </row>
    <row r="70" spans="1:9" hidden="1" x14ac:dyDescent="0.3">
      <c r="A70" s="5"/>
      <c r="B70" s="1">
        <v>2</v>
      </c>
      <c r="C70" s="1" t="s">
        <v>172</v>
      </c>
      <c r="D70" s="1" t="s">
        <v>412</v>
      </c>
      <c r="E70" s="1">
        <v>18</v>
      </c>
      <c r="F70" s="1">
        <v>3</v>
      </c>
      <c r="G70" s="1"/>
      <c r="H70" s="16"/>
      <c r="I70" s="16" t="s">
        <v>11</v>
      </c>
    </row>
    <row r="71" spans="1:9" hidden="1" x14ac:dyDescent="0.3">
      <c r="A71" s="5"/>
      <c r="B71" s="1">
        <v>2</v>
      </c>
      <c r="C71" s="1" t="s">
        <v>172</v>
      </c>
      <c r="D71" s="1" t="s">
        <v>412</v>
      </c>
      <c r="E71" s="1">
        <v>22</v>
      </c>
      <c r="F71" s="1">
        <v>2</v>
      </c>
      <c r="G71" s="1"/>
      <c r="H71" s="16"/>
      <c r="I71" s="16" t="s">
        <v>11</v>
      </c>
    </row>
    <row r="72" spans="1:9" x14ac:dyDescent="0.3">
      <c r="A72" s="5"/>
      <c r="B72" s="1">
        <v>2</v>
      </c>
      <c r="C72" s="1" t="s">
        <v>172</v>
      </c>
      <c r="D72" s="1" t="s">
        <v>412</v>
      </c>
      <c r="E72" s="1">
        <v>24</v>
      </c>
      <c r="F72" s="1">
        <v>1</v>
      </c>
      <c r="G72" s="1"/>
      <c r="H72" s="16"/>
      <c r="I72" s="16" t="s">
        <v>11</v>
      </c>
    </row>
    <row r="73" spans="1:9" x14ac:dyDescent="0.3">
      <c r="A73" s="5"/>
      <c r="B73" s="1">
        <v>2</v>
      </c>
      <c r="C73" s="1" t="s">
        <v>172</v>
      </c>
      <c r="D73" s="1" t="s">
        <v>412</v>
      </c>
      <c r="E73" s="1">
        <v>28</v>
      </c>
      <c r="F73" s="1">
        <v>1</v>
      </c>
      <c r="G73" s="1"/>
      <c r="H73" s="16"/>
      <c r="I73" s="16" t="s">
        <v>11</v>
      </c>
    </row>
    <row r="74" spans="1:9" hidden="1" x14ac:dyDescent="0.3">
      <c r="A74" s="5"/>
      <c r="B74" s="1">
        <v>2</v>
      </c>
      <c r="C74" s="1" t="s">
        <v>135</v>
      </c>
      <c r="D74" s="2" t="s">
        <v>406</v>
      </c>
      <c r="E74" s="1">
        <v>5</v>
      </c>
      <c r="F74" s="1">
        <v>4</v>
      </c>
      <c r="G74" s="1" t="s">
        <v>137</v>
      </c>
      <c r="H74" s="16"/>
      <c r="I74" s="16" t="s">
        <v>11</v>
      </c>
    </row>
    <row r="75" spans="1:9" hidden="1" x14ac:dyDescent="0.3">
      <c r="A75" s="5"/>
      <c r="B75" s="1">
        <v>2</v>
      </c>
      <c r="C75" s="1" t="s">
        <v>135</v>
      </c>
      <c r="D75" s="2" t="s">
        <v>406</v>
      </c>
      <c r="E75" s="1">
        <v>6</v>
      </c>
      <c r="F75" s="1">
        <v>3</v>
      </c>
      <c r="G75" s="1" t="s">
        <v>137</v>
      </c>
      <c r="H75" s="16"/>
      <c r="I75" s="16" t="s">
        <v>11</v>
      </c>
    </row>
    <row r="76" spans="1:9" hidden="1" x14ac:dyDescent="0.3">
      <c r="A76" s="5"/>
      <c r="B76" s="1">
        <v>2</v>
      </c>
      <c r="C76" s="1" t="s">
        <v>135</v>
      </c>
      <c r="D76" s="2" t="s">
        <v>406</v>
      </c>
      <c r="E76" s="1">
        <v>7</v>
      </c>
      <c r="F76" s="1">
        <v>3</v>
      </c>
      <c r="G76" s="1" t="s">
        <v>137</v>
      </c>
      <c r="H76" s="16"/>
      <c r="I76" s="16" t="s">
        <v>11</v>
      </c>
    </row>
    <row r="77" spans="1:9" hidden="1" x14ac:dyDescent="0.3">
      <c r="A77" s="5"/>
      <c r="B77" s="1">
        <v>2</v>
      </c>
      <c r="C77" s="1" t="s">
        <v>135</v>
      </c>
      <c r="D77" s="2" t="s">
        <v>406</v>
      </c>
      <c r="E77" s="1">
        <v>8</v>
      </c>
      <c r="F77" s="1">
        <v>4</v>
      </c>
      <c r="G77" s="1" t="s">
        <v>137</v>
      </c>
      <c r="H77" s="16"/>
      <c r="I77" s="16" t="s">
        <v>11</v>
      </c>
    </row>
    <row r="78" spans="1:9" x14ac:dyDescent="0.3">
      <c r="A78" s="5"/>
      <c r="B78" s="1">
        <v>2</v>
      </c>
      <c r="C78" s="1" t="s">
        <v>135</v>
      </c>
      <c r="D78" s="2" t="s">
        <v>406</v>
      </c>
      <c r="E78" s="1">
        <v>10</v>
      </c>
      <c r="F78" s="1">
        <v>1</v>
      </c>
      <c r="G78" s="1" t="s">
        <v>137</v>
      </c>
      <c r="H78" s="16"/>
      <c r="I78" s="16" t="s">
        <v>11</v>
      </c>
    </row>
    <row r="79" spans="1:9" x14ac:dyDescent="0.3">
      <c r="A79" s="5"/>
      <c r="B79" s="1">
        <v>2</v>
      </c>
      <c r="C79" s="1" t="s">
        <v>135</v>
      </c>
      <c r="D79" s="2" t="s">
        <v>406</v>
      </c>
      <c r="E79" s="1">
        <v>20</v>
      </c>
      <c r="F79" s="1">
        <v>1</v>
      </c>
      <c r="G79" s="1" t="s">
        <v>137</v>
      </c>
      <c r="H79" s="16"/>
      <c r="I79" s="16" t="s">
        <v>11</v>
      </c>
    </row>
    <row r="80" spans="1:9" x14ac:dyDescent="0.3">
      <c r="A80" s="5"/>
      <c r="B80" s="1">
        <v>4</v>
      </c>
      <c r="C80" s="1" t="s">
        <v>173</v>
      </c>
      <c r="D80" s="1" t="s">
        <v>405</v>
      </c>
      <c r="E80" s="1">
        <v>22</v>
      </c>
      <c r="F80" s="1">
        <v>1</v>
      </c>
      <c r="G80" s="1"/>
      <c r="H80" s="16"/>
      <c r="I80" s="16" t="s">
        <v>11</v>
      </c>
    </row>
    <row r="81" spans="1:9" hidden="1" x14ac:dyDescent="0.3">
      <c r="A81" s="5"/>
      <c r="B81" s="1">
        <v>4</v>
      </c>
      <c r="C81" s="1" t="s">
        <v>173</v>
      </c>
      <c r="D81" s="1" t="s">
        <v>405</v>
      </c>
      <c r="E81" s="1">
        <v>26</v>
      </c>
      <c r="F81" s="1">
        <v>2</v>
      </c>
      <c r="G81" s="1"/>
      <c r="H81" s="16"/>
      <c r="I81" s="16" t="s">
        <v>11</v>
      </c>
    </row>
    <row r="82" spans="1:9" hidden="1" x14ac:dyDescent="0.3">
      <c r="A82" s="5"/>
      <c r="B82" s="1">
        <v>4</v>
      </c>
      <c r="C82" s="1" t="s">
        <v>173</v>
      </c>
      <c r="D82" s="1" t="s">
        <v>405</v>
      </c>
      <c r="E82" s="1">
        <v>28</v>
      </c>
      <c r="F82" s="1">
        <v>2</v>
      </c>
      <c r="G82" s="1"/>
      <c r="H82" s="16"/>
      <c r="I82" s="16" t="s">
        <v>11</v>
      </c>
    </row>
    <row r="83" spans="1:9" hidden="1" x14ac:dyDescent="0.3">
      <c r="A83" s="5"/>
      <c r="B83" s="1">
        <v>4</v>
      </c>
      <c r="C83" s="1" t="s">
        <v>173</v>
      </c>
      <c r="D83" s="1" t="s">
        <v>405</v>
      </c>
      <c r="E83" s="1">
        <v>32</v>
      </c>
      <c r="F83" s="1">
        <v>4</v>
      </c>
      <c r="G83" s="1"/>
      <c r="H83" s="16"/>
      <c r="I83" s="16" t="s">
        <v>11</v>
      </c>
    </row>
    <row r="84" spans="1:9" hidden="1" x14ac:dyDescent="0.3">
      <c r="A84" s="5"/>
      <c r="B84" s="1">
        <v>4</v>
      </c>
      <c r="C84" s="1" t="s">
        <v>173</v>
      </c>
      <c r="D84" s="1" t="s">
        <v>405</v>
      </c>
      <c r="E84" s="1">
        <v>38</v>
      </c>
      <c r="F84" s="1">
        <v>2</v>
      </c>
      <c r="G84" s="1"/>
      <c r="H84" s="16"/>
      <c r="I84" s="16" t="s">
        <v>11</v>
      </c>
    </row>
    <row r="85" spans="1:9" x14ac:dyDescent="0.3">
      <c r="A85" s="5"/>
      <c r="B85" s="1">
        <v>4</v>
      </c>
      <c r="C85" s="1" t="s">
        <v>174</v>
      </c>
      <c r="D85" s="1" t="s">
        <v>413</v>
      </c>
      <c r="E85" s="1" t="s">
        <v>175</v>
      </c>
      <c r="F85" s="1">
        <v>1</v>
      </c>
      <c r="G85" s="1"/>
      <c r="H85" s="16"/>
      <c r="I85" s="16" t="s">
        <v>11</v>
      </c>
    </row>
    <row r="86" spans="1:9" hidden="1" x14ac:dyDescent="0.3">
      <c r="A86" s="5"/>
      <c r="B86" s="1">
        <v>4</v>
      </c>
      <c r="C86" s="1" t="s">
        <v>176</v>
      </c>
      <c r="D86" s="1" t="s">
        <v>414</v>
      </c>
      <c r="E86" s="1" t="s">
        <v>177</v>
      </c>
      <c r="F86" s="1">
        <v>7</v>
      </c>
      <c r="G86" s="1"/>
      <c r="H86" s="16"/>
      <c r="I86" s="16" t="s">
        <v>11</v>
      </c>
    </row>
    <row r="87" spans="1:9" x14ac:dyDescent="0.3">
      <c r="A87" s="5"/>
      <c r="B87" s="1">
        <v>4</v>
      </c>
      <c r="C87" s="1" t="s">
        <v>178</v>
      </c>
      <c r="D87" s="1" t="s">
        <v>415</v>
      </c>
      <c r="E87" s="1"/>
      <c r="F87" s="1">
        <v>1</v>
      </c>
      <c r="G87" s="1"/>
      <c r="H87" s="16"/>
      <c r="I87" s="16" t="s">
        <v>11</v>
      </c>
    </row>
    <row r="88" spans="1:9" x14ac:dyDescent="0.3">
      <c r="A88" s="5"/>
      <c r="B88" s="1">
        <v>4</v>
      </c>
      <c r="C88" s="1" t="s">
        <v>179</v>
      </c>
      <c r="D88" s="1" t="s">
        <v>416</v>
      </c>
      <c r="E88" s="1" t="s">
        <v>180</v>
      </c>
      <c r="F88" s="1">
        <v>1</v>
      </c>
      <c r="G88" s="1"/>
      <c r="H88" s="16"/>
      <c r="I88" s="16" t="s">
        <v>11</v>
      </c>
    </row>
    <row r="89" spans="1:9" hidden="1" x14ac:dyDescent="0.3">
      <c r="A89" s="5"/>
      <c r="B89" s="1">
        <v>4</v>
      </c>
      <c r="C89" s="1" t="s">
        <v>179</v>
      </c>
      <c r="D89" s="1" t="s">
        <v>416</v>
      </c>
      <c r="E89" s="1" t="s">
        <v>181</v>
      </c>
      <c r="F89" s="1">
        <v>4</v>
      </c>
      <c r="G89" s="1"/>
      <c r="H89" s="16"/>
      <c r="I89" s="16" t="s">
        <v>11</v>
      </c>
    </row>
    <row r="90" spans="1:9" x14ac:dyDescent="0.3">
      <c r="A90" s="5"/>
      <c r="B90" s="1">
        <v>4</v>
      </c>
      <c r="C90" s="1" t="s">
        <v>182</v>
      </c>
      <c r="D90" s="1" t="s">
        <v>417</v>
      </c>
      <c r="E90" s="1" t="s">
        <v>183</v>
      </c>
      <c r="F90" s="1">
        <v>1</v>
      </c>
      <c r="G90" s="1"/>
      <c r="H90" s="16"/>
      <c r="I90" s="16" t="s">
        <v>11</v>
      </c>
    </row>
    <row r="91" spans="1:9" x14ac:dyDescent="0.3">
      <c r="A91" s="5"/>
      <c r="B91" s="1">
        <v>4</v>
      </c>
      <c r="C91" s="1" t="s">
        <v>182</v>
      </c>
      <c r="D91" s="1" t="s">
        <v>417</v>
      </c>
      <c r="E91" s="13" t="s">
        <v>184</v>
      </c>
      <c r="F91" s="1">
        <v>1</v>
      </c>
      <c r="G91" s="1"/>
      <c r="H91" s="16"/>
      <c r="I91" s="16" t="s">
        <v>11</v>
      </c>
    </row>
    <row r="92" spans="1:9" hidden="1" x14ac:dyDescent="0.3">
      <c r="A92" s="5"/>
      <c r="B92" s="1">
        <v>4</v>
      </c>
      <c r="C92" s="1" t="s">
        <v>185</v>
      </c>
      <c r="D92" s="1" t="s">
        <v>418</v>
      </c>
      <c r="E92" s="1" t="s">
        <v>186</v>
      </c>
      <c r="F92" s="1">
        <v>8</v>
      </c>
      <c r="G92" s="1"/>
      <c r="H92" s="16"/>
      <c r="I92" s="16" t="s">
        <v>11</v>
      </c>
    </row>
    <row r="93" spans="1:9" hidden="1" x14ac:dyDescent="0.3">
      <c r="A93" s="5"/>
      <c r="B93" s="1">
        <v>4</v>
      </c>
      <c r="C93" s="1" t="s">
        <v>185</v>
      </c>
      <c r="D93" s="1" t="s">
        <v>418</v>
      </c>
      <c r="E93" s="1" t="s">
        <v>183</v>
      </c>
      <c r="F93" s="1">
        <v>3</v>
      </c>
      <c r="G93" s="1"/>
      <c r="H93" s="16"/>
      <c r="I93" s="16" t="s">
        <v>11</v>
      </c>
    </row>
    <row r="94" spans="1:9" hidden="1" x14ac:dyDescent="0.3">
      <c r="A94" s="5"/>
      <c r="B94" s="1">
        <v>5</v>
      </c>
      <c r="C94" s="1" t="s">
        <v>170</v>
      </c>
      <c r="D94" s="1" t="s">
        <v>411</v>
      </c>
      <c r="E94" s="1">
        <v>3.2</v>
      </c>
      <c r="F94" s="1">
        <v>4</v>
      </c>
      <c r="G94" s="1"/>
      <c r="H94" s="16"/>
      <c r="I94" s="16" t="s">
        <v>11</v>
      </c>
    </row>
    <row r="95" spans="1:9" hidden="1" x14ac:dyDescent="0.3">
      <c r="A95" s="5"/>
      <c r="B95" s="1">
        <v>5</v>
      </c>
      <c r="C95" s="1" t="s">
        <v>170</v>
      </c>
      <c r="D95" s="1" t="s">
        <v>411</v>
      </c>
      <c r="E95" s="1">
        <v>6.4</v>
      </c>
      <c r="F95" s="1">
        <v>4</v>
      </c>
      <c r="G95" s="1"/>
      <c r="H95" s="16"/>
      <c r="I95" s="16" t="s">
        <v>11</v>
      </c>
    </row>
    <row r="96" spans="1:9" x14ac:dyDescent="0.3">
      <c r="A96" s="5"/>
      <c r="B96" s="1">
        <v>5</v>
      </c>
      <c r="C96" s="1" t="s">
        <v>170</v>
      </c>
      <c r="D96" s="1" t="s">
        <v>411</v>
      </c>
      <c r="E96" s="1">
        <v>9.6</v>
      </c>
      <c r="F96" s="1">
        <v>1</v>
      </c>
      <c r="G96" s="1"/>
      <c r="H96" s="16"/>
      <c r="I96" s="16" t="s">
        <v>11</v>
      </c>
    </row>
    <row r="97" spans="1:9" hidden="1" x14ac:dyDescent="0.3">
      <c r="A97" s="5"/>
      <c r="B97" s="1">
        <v>5</v>
      </c>
      <c r="C97" s="1" t="s">
        <v>170</v>
      </c>
      <c r="D97" s="1" t="s">
        <v>411</v>
      </c>
      <c r="E97" s="1">
        <v>12.7</v>
      </c>
      <c r="F97" s="1">
        <v>2</v>
      </c>
      <c r="G97" s="1"/>
      <c r="H97" s="16"/>
      <c r="I97" s="16" t="s">
        <v>11</v>
      </c>
    </row>
    <row r="98" spans="1:9" hidden="1" x14ac:dyDescent="0.3">
      <c r="A98" s="5"/>
      <c r="B98" s="1">
        <v>5</v>
      </c>
      <c r="C98" s="1" t="s">
        <v>170</v>
      </c>
      <c r="D98" s="1" t="s">
        <v>411</v>
      </c>
      <c r="E98" s="1">
        <v>15.9</v>
      </c>
      <c r="F98" s="1">
        <v>2</v>
      </c>
      <c r="G98" s="1"/>
      <c r="H98" s="16"/>
      <c r="I98" s="16" t="s">
        <v>11</v>
      </c>
    </row>
    <row r="99" spans="1:9" hidden="1" x14ac:dyDescent="0.3">
      <c r="A99" s="5"/>
      <c r="B99" s="1">
        <v>5</v>
      </c>
      <c r="C99" s="1" t="s">
        <v>170</v>
      </c>
      <c r="D99" s="1" t="s">
        <v>411</v>
      </c>
      <c r="E99" s="1">
        <v>19.100000000000001</v>
      </c>
      <c r="F99" s="1">
        <v>2</v>
      </c>
      <c r="G99" s="1"/>
      <c r="H99" s="16"/>
      <c r="I99" s="16" t="s">
        <v>11</v>
      </c>
    </row>
    <row r="100" spans="1:9" hidden="1" x14ac:dyDescent="0.3">
      <c r="A100" s="5"/>
      <c r="B100" s="1">
        <v>5</v>
      </c>
      <c r="C100" s="1" t="s">
        <v>170</v>
      </c>
      <c r="D100" s="1" t="s">
        <v>411</v>
      </c>
      <c r="E100" s="1">
        <v>22.2</v>
      </c>
      <c r="F100" s="1">
        <v>2</v>
      </c>
      <c r="G100" s="1"/>
      <c r="H100" s="16"/>
      <c r="I100" s="16" t="s">
        <v>11</v>
      </c>
    </row>
    <row r="101" spans="1:9" x14ac:dyDescent="0.3">
      <c r="A101" s="5"/>
      <c r="B101" s="1">
        <v>6</v>
      </c>
      <c r="C101" s="1" t="s">
        <v>247</v>
      </c>
      <c r="D101" s="1" t="s">
        <v>419</v>
      </c>
      <c r="E101" s="1" t="s">
        <v>248</v>
      </c>
      <c r="F101" s="1">
        <v>1</v>
      </c>
      <c r="G101" s="1" t="s">
        <v>249</v>
      </c>
      <c r="H101" s="16" t="s">
        <v>428</v>
      </c>
      <c r="I101" s="16" t="s">
        <v>126</v>
      </c>
    </row>
    <row r="102" spans="1:9" x14ac:dyDescent="0.3">
      <c r="A102" s="5"/>
      <c r="B102" s="1">
        <v>6</v>
      </c>
      <c r="C102" s="1" t="s">
        <v>247</v>
      </c>
      <c r="D102" s="1" t="s">
        <v>419</v>
      </c>
      <c r="E102" s="14">
        <v>44499</v>
      </c>
      <c r="F102" s="1">
        <v>1</v>
      </c>
      <c r="G102" s="1" t="s">
        <v>61</v>
      </c>
      <c r="H102" s="16" t="s">
        <v>429</v>
      </c>
      <c r="I102" s="16" t="s">
        <v>126</v>
      </c>
    </row>
    <row r="103" spans="1:9" x14ac:dyDescent="0.3">
      <c r="A103" s="5"/>
      <c r="B103" s="1">
        <v>7</v>
      </c>
      <c r="C103" s="1" t="s">
        <v>250</v>
      </c>
      <c r="D103" s="1" t="s">
        <v>420</v>
      </c>
      <c r="E103" s="1" t="s">
        <v>252</v>
      </c>
      <c r="F103" s="1">
        <v>1</v>
      </c>
      <c r="G103" s="1" t="s">
        <v>251</v>
      </c>
      <c r="H103" s="16" t="s">
        <v>430</v>
      </c>
      <c r="I103" s="16" t="s">
        <v>126</v>
      </c>
    </row>
    <row r="104" spans="1:9" hidden="1" x14ac:dyDescent="0.3">
      <c r="A104" s="5"/>
      <c r="B104" s="1">
        <v>8</v>
      </c>
      <c r="C104" s="1" t="s">
        <v>253</v>
      </c>
      <c r="D104" s="1" t="s">
        <v>421</v>
      </c>
      <c r="E104" s="1" t="s">
        <v>143</v>
      </c>
      <c r="F104" s="1">
        <v>2</v>
      </c>
      <c r="G104" s="1"/>
      <c r="H104" s="16"/>
      <c r="I104" s="16" t="s">
        <v>126</v>
      </c>
    </row>
    <row r="105" spans="1:9" hidden="1" x14ac:dyDescent="0.3">
      <c r="A105" s="5"/>
      <c r="B105" s="1">
        <v>8</v>
      </c>
      <c r="C105" s="1" t="s">
        <v>253</v>
      </c>
      <c r="D105" s="1" t="s">
        <v>421</v>
      </c>
      <c r="E105" s="1" t="s">
        <v>143</v>
      </c>
      <c r="F105" s="1">
        <v>3</v>
      </c>
      <c r="G105" s="1"/>
      <c r="H105" s="16"/>
      <c r="I105" s="16" t="s">
        <v>11</v>
      </c>
    </row>
    <row r="106" spans="1:9" ht="28.8" hidden="1" x14ac:dyDescent="0.3">
      <c r="A106" s="5"/>
      <c r="B106" s="1">
        <v>2</v>
      </c>
      <c r="C106" s="1" t="s">
        <v>135</v>
      </c>
      <c r="D106" s="1" t="s">
        <v>431</v>
      </c>
      <c r="E106" s="1" t="s">
        <v>254</v>
      </c>
      <c r="F106" s="1">
        <v>2</v>
      </c>
      <c r="G106" s="1"/>
      <c r="H106" s="16"/>
      <c r="I106" s="16" t="s">
        <v>126</v>
      </c>
    </row>
    <row r="107" spans="1:9" hidden="1" x14ac:dyDescent="0.3">
      <c r="A107" s="5"/>
      <c r="B107" s="1">
        <v>9</v>
      </c>
      <c r="C107" s="1" t="s">
        <v>261</v>
      </c>
      <c r="D107" s="1" t="s">
        <v>422</v>
      </c>
      <c r="E107" s="1" t="s">
        <v>263</v>
      </c>
      <c r="F107" s="1">
        <v>2</v>
      </c>
      <c r="G107" s="1"/>
      <c r="H107" s="16"/>
      <c r="I107" s="16" t="s">
        <v>126</v>
      </c>
    </row>
    <row r="108" spans="1:9" x14ac:dyDescent="0.3">
      <c r="A108" s="5"/>
      <c r="B108" s="1">
        <v>9</v>
      </c>
      <c r="C108" s="1" t="s">
        <v>261</v>
      </c>
      <c r="D108" s="1" t="s">
        <v>422</v>
      </c>
      <c r="E108" s="1" t="s">
        <v>263</v>
      </c>
      <c r="F108" s="1">
        <v>1</v>
      </c>
      <c r="G108" s="1"/>
      <c r="H108" s="16"/>
      <c r="I108" s="16" t="s">
        <v>11</v>
      </c>
    </row>
    <row r="109" spans="1:9" x14ac:dyDescent="0.3">
      <c r="A109" s="5"/>
      <c r="B109" s="1">
        <v>9</v>
      </c>
      <c r="C109" s="1" t="s">
        <v>262</v>
      </c>
      <c r="D109" s="1" t="s">
        <v>423</v>
      </c>
      <c r="E109" s="1" t="s">
        <v>263</v>
      </c>
      <c r="F109" s="1">
        <v>1</v>
      </c>
      <c r="G109" s="1"/>
      <c r="H109" s="16"/>
      <c r="I109" s="16" t="s">
        <v>11</v>
      </c>
    </row>
    <row r="110" spans="1:9" x14ac:dyDescent="0.3">
      <c r="A110" s="5"/>
      <c r="B110" s="1"/>
      <c r="C110" s="1"/>
      <c r="D110" s="1"/>
      <c r="E110" s="1"/>
      <c r="F110" s="1"/>
      <c r="G110" s="1"/>
      <c r="H110" s="16"/>
      <c r="I110" s="16"/>
    </row>
    <row r="111" spans="1:9" x14ac:dyDescent="0.3">
      <c r="A111" s="5"/>
      <c r="B111" s="1"/>
      <c r="C111" s="1"/>
      <c r="D111" s="1"/>
      <c r="E111" s="1"/>
      <c r="F111" s="1"/>
      <c r="G111" s="1"/>
      <c r="H111" s="16"/>
      <c r="I111" s="16"/>
    </row>
  </sheetData>
  <sheetProtection selectLockedCells="1" selectUnlockedCells="1"/>
  <autoFilter ref="A1:I109" xr:uid="{00000000-0009-0000-0000-000000000000}">
    <filterColumn colId="5">
      <filters>
        <filter val="1"/>
      </filters>
    </filterColumn>
  </autoFilter>
  <pageMargins left="0.7" right="0.7" top="0.75" bottom="0.75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D43"/>
  <sheetViews>
    <sheetView workbookViewId="0">
      <pane xSplit="4" ySplit="2" topLeftCell="E3" activePane="bottomRight" state="frozen"/>
      <selection pane="topRight" activeCell="E1" sqref="E1"/>
      <selection pane="bottomLeft" activeCell="A3" sqref="A3"/>
      <selection pane="bottomRight" sqref="A1:D1"/>
    </sheetView>
  </sheetViews>
  <sheetFormatPr baseColWidth="10" defaultColWidth="9.109375" defaultRowHeight="14.4" x14ac:dyDescent="0.3"/>
  <cols>
    <col min="1" max="1" width="26" style="4" customWidth="1"/>
    <col min="2" max="2" width="37" style="65" bestFit="1" customWidth="1"/>
    <col min="3" max="3" width="18.88671875" style="65" bestFit="1" customWidth="1"/>
    <col min="4" max="4" width="12.6640625" style="65" bestFit="1" customWidth="1"/>
    <col min="5" max="16384" width="9.109375" style="65"/>
  </cols>
  <sheetData>
    <row r="1" spans="1:4" ht="18" x14ac:dyDescent="0.3">
      <c r="A1" s="328" t="s">
        <v>1148</v>
      </c>
      <c r="B1" s="328"/>
      <c r="C1" s="328"/>
      <c r="D1" s="328"/>
    </row>
    <row r="3" spans="1:4" x14ac:dyDescent="0.3">
      <c r="A3" s="329" t="s">
        <v>1163</v>
      </c>
      <c r="B3" s="329"/>
      <c r="C3" s="329"/>
      <c r="D3" s="329"/>
    </row>
    <row r="4" spans="1:4" x14ac:dyDescent="0.3">
      <c r="A4" s="82" t="s">
        <v>1356</v>
      </c>
      <c r="B4" s="82" t="s">
        <v>1014</v>
      </c>
      <c r="C4" s="82" t="s">
        <v>1015</v>
      </c>
      <c r="D4" s="82" t="s">
        <v>1357</v>
      </c>
    </row>
    <row r="5" spans="1:4" x14ac:dyDescent="0.3">
      <c r="A5" s="79" t="s">
        <v>191</v>
      </c>
      <c r="B5" s="78" t="s">
        <v>1073</v>
      </c>
      <c r="C5" s="78" t="s">
        <v>1083</v>
      </c>
      <c r="D5" s="63">
        <v>1</v>
      </c>
    </row>
    <row r="6" spans="1:4" x14ac:dyDescent="0.3">
      <c r="A6" s="323" t="s">
        <v>1244</v>
      </c>
      <c r="B6" s="324"/>
      <c r="C6" s="324"/>
      <c r="D6" s="80">
        <f>SUBTOTAL(9,D5)</f>
        <v>1</v>
      </c>
    </row>
    <row r="7" spans="1:4" x14ac:dyDescent="0.3">
      <c r="A7" s="79" t="s">
        <v>69</v>
      </c>
      <c r="B7" s="78"/>
      <c r="C7" s="78"/>
      <c r="D7" s="63">
        <v>7</v>
      </c>
    </row>
    <row r="8" spans="1:4" x14ac:dyDescent="0.3">
      <c r="A8" s="323" t="s">
        <v>1336</v>
      </c>
      <c r="B8" s="324"/>
      <c r="C8" s="324"/>
      <c r="D8" s="80">
        <f>SUBTOTAL(9,D7)</f>
        <v>7</v>
      </c>
    </row>
    <row r="9" spans="1:4" x14ac:dyDescent="0.3">
      <c r="A9" s="325" t="s">
        <v>44</v>
      </c>
      <c r="B9" s="78" t="s">
        <v>1287</v>
      </c>
      <c r="C9" s="78"/>
      <c r="D9" s="63">
        <v>1</v>
      </c>
    </row>
    <row r="10" spans="1:4" x14ac:dyDescent="0.3">
      <c r="A10" s="326"/>
      <c r="B10" s="78" t="s">
        <v>1288</v>
      </c>
      <c r="C10" s="78"/>
      <c r="D10" s="63">
        <v>2</v>
      </c>
    </row>
    <row r="11" spans="1:4" x14ac:dyDescent="0.3">
      <c r="A11" s="323" t="s">
        <v>1327</v>
      </c>
      <c r="B11" s="324"/>
      <c r="C11" s="324"/>
      <c r="D11" s="80">
        <f>SUBTOTAL(9,D9:D10)</f>
        <v>3</v>
      </c>
    </row>
    <row r="12" spans="1:4" x14ac:dyDescent="0.3">
      <c r="A12" s="79" t="s">
        <v>114</v>
      </c>
      <c r="B12" s="78"/>
      <c r="C12" s="78"/>
      <c r="D12" s="63">
        <v>4</v>
      </c>
    </row>
    <row r="13" spans="1:4" x14ac:dyDescent="0.3">
      <c r="A13" s="323" t="s">
        <v>1337</v>
      </c>
      <c r="B13" s="324"/>
      <c r="C13" s="324"/>
      <c r="D13" s="80">
        <f>SUBTOTAL(9,D12)</f>
        <v>4</v>
      </c>
    </row>
    <row r="14" spans="1:4" ht="15" customHeight="1" x14ac:dyDescent="0.3">
      <c r="A14" s="325" t="s">
        <v>225</v>
      </c>
      <c r="B14" s="78" t="s">
        <v>1075</v>
      </c>
      <c r="C14" s="78"/>
      <c r="D14" s="63">
        <v>1</v>
      </c>
    </row>
    <row r="15" spans="1:4" x14ac:dyDescent="0.3">
      <c r="A15" s="326"/>
      <c r="B15" s="78" t="s">
        <v>1295</v>
      </c>
      <c r="C15" s="78" t="s">
        <v>1290</v>
      </c>
      <c r="D15" s="63">
        <v>4</v>
      </c>
    </row>
    <row r="16" spans="1:4" x14ac:dyDescent="0.3">
      <c r="A16" s="326"/>
      <c r="B16" s="307" t="s">
        <v>1345</v>
      </c>
      <c r="C16" s="78" t="s">
        <v>1291</v>
      </c>
      <c r="D16" s="63">
        <v>1</v>
      </c>
    </row>
    <row r="17" spans="1:4" x14ac:dyDescent="0.3">
      <c r="A17" s="326"/>
      <c r="B17" s="308"/>
      <c r="C17" s="78" t="s">
        <v>1292</v>
      </c>
      <c r="D17" s="63">
        <v>1</v>
      </c>
    </row>
    <row r="18" spans="1:4" x14ac:dyDescent="0.3">
      <c r="A18" s="326"/>
      <c r="B18" s="308"/>
      <c r="C18" s="78" t="s">
        <v>1289</v>
      </c>
      <c r="D18" s="63">
        <v>1</v>
      </c>
    </row>
    <row r="19" spans="1:4" x14ac:dyDescent="0.3">
      <c r="A19" s="326"/>
      <c r="B19" s="78" t="s">
        <v>1344</v>
      </c>
      <c r="C19" s="78" t="s">
        <v>1293</v>
      </c>
      <c r="D19" s="63">
        <v>1</v>
      </c>
    </row>
    <row r="20" spans="1:4" ht="15" customHeight="1" x14ac:dyDescent="0.3">
      <c r="A20" s="323" t="s">
        <v>1338</v>
      </c>
      <c r="B20" s="324"/>
      <c r="C20" s="324"/>
      <c r="D20" s="80">
        <f>SUBTOTAL(9,D14:D19)</f>
        <v>9</v>
      </c>
    </row>
    <row r="21" spans="1:4" x14ac:dyDescent="0.3">
      <c r="A21" s="79" t="s">
        <v>221</v>
      </c>
      <c r="B21" s="78" t="s">
        <v>1320</v>
      </c>
      <c r="C21" s="78"/>
      <c r="D21" s="63">
        <v>5</v>
      </c>
    </row>
    <row r="22" spans="1:4" x14ac:dyDescent="0.3">
      <c r="A22" s="323" t="s">
        <v>1247</v>
      </c>
      <c r="B22" s="324"/>
      <c r="C22" s="324"/>
      <c r="D22" s="80">
        <f>SUBTOTAL(9,D21)</f>
        <v>5</v>
      </c>
    </row>
    <row r="23" spans="1:4" x14ac:dyDescent="0.3">
      <c r="A23" s="79" t="s">
        <v>595</v>
      </c>
      <c r="B23" s="78"/>
      <c r="C23" s="78"/>
      <c r="D23" s="63">
        <v>2</v>
      </c>
    </row>
    <row r="24" spans="1:4" x14ac:dyDescent="0.3">
      <c r="A24" s="323" t="s">
        <v>1339</v>
      </c>
      <c r="B24" s="324"/>
      <c r="C24" s="324"/>
      <c r="D24" s="80">
        <f>SUBTOTAL(9,D23)</f>
        <v>2</v>
      </c>
    </row>
    <row r="25" spans="1:4" x14ac:dyDescent="0.3">
      <c r="A25" s="329" t="s">
        <v>1151</v>
      </c>
      <c r="B25" s="329"/>
      <c r="C25" s="329"/>
      <c r="D25" s="329"/>
    </row>
    <row r="26" spans="1:4" x14ac:dyDescent="0.3">
      <c r="A26" s="82" t="s">
        <v>1356</v>
      </c>
      <c r="B26" s="82" t="s">
        <v>1014</v>
      </c>
      <c r="C26" s="82" t="s">
        <v>1015</v>
      </c>
      <c r="D26" s="82" t="s">
        <v>1357</v>
      </c>
    </row>
    <row r="27" spans="1:4" ht="15" customHeight="1" x14ac:dyDescent="0.3">
      <c r="A27" s="325" t="s">
        <v>203</v>
      </c>
      <c r="B27" s="78" t="s">
        <v>1090</v>
      </c>
      <c r="C27" s="78"/>
      <c r="D27" s="63">
        <v>1</v>
      </c>
    </row>
    <row r="28" spans="1:4" x14ac:dyDescent="0.3">
      <c r="A28" s="326"/>
      <c r="B28" s="78" t="s">
        <v>1139</v>
      </c>
      <c r="C28" s="78"/>
      <c r="D28" s="63">
        <v>1</v>
      </c>
    </row>
    <row r="29" spans="1:4" x14ac:dyDescent="0.3">
      <c r="A29" s="326"/>
      <c r="B29" s="78" t="s">
        <v>1079</v>
      </c>
      <c r="C29" s="78"/>
      <c r="D29" s="63">
        <v>1</v>
      </c>
    </row>
    <row r="30" spans="1:4" ht="15" customHeight="1" x14ac:dyDescent="0.3">
      <c r="A30" s="323" t="s">
        <v>1342</v>
      </c>
      <c r="B30" s="324"/>
      <c r="C30" s="324"/>
      <c r="D30" s="80">
        <f>SUBTOTAL(9,D27:D29)</f>
        <v>3</v>
      </c>
    </row>
    <row r="31" spans="1:4" x14ac:dyDescent="0.3">
      <c r="A31" s="79" t="s">
        <v>7</v>
      </c>
      <c r="B31" s="78" t="s">
        <v>1071</v>
      </c>
      <c r="C31" s="78"/>
      <c r="D31" s="63">
        <v>1</v>
      </c>
    </row>
    <row r="32" spans="1:4" ht="15" customHeight="1" x14ac:dyDescent="0.3">
      <c r="A32" s="323" t="s">
        <v>1343</v>
      </c>
      <c r="B32" s="324"/>
      <c r="C32" s="324"/>
      <c r="D32" s="80">
        <f>SUBTOTAL(9,D31)</f>
        <v>1</v>
      </c>
    </row>
    <row r="33" spans="1:4" x14ac:dyDescent="0.3">
      <c r="A33" s="329" t="s">
        <v>1058</v>
      </c>
      <c r="B33" s="329"/>
      <c r="C33" s="329"/>
      <c r="D33" s="329"/>
    </row>
    <row r="34" spans="1:4" x14ac:dyDescent="0.3">
      <c r="A34" s="82" t="s">
        <v>1356</v>
      </c>
      <c r="B34" s="82" t="s">
        <v>1014</v>
      </c>
      <c r="C34" s="82" t="s">
        <v>1015</v>
      </c>
      <c r="D34" s="82" t="s">
        <v>1357</v>
      </c>
    </row>
    <row r="35" spans="1:4" x14ac:dyDescent="0.3">
      <c r="A35" s="79" t="s">
        <v>258</v>
      </c>
      <c r="B35" s="78"/>
      <c r="C35" s="78" t="s">
        <v>1145</v>
      </c>
      <c r="D35" s="63">
        <v>1</v>
      </c>
    </row>
    <row r="36" spans="1:4" ht="15" customHeight="1" x14ac:dyDescent="0.3">
      <c r="A36" s="323" t="s">
        <v>1340</v>
      </c>
      <c r="B36" s="324"/>
      <c r="C36" s="324"/>
      <c r="D36" s="80">
        <f>SUBTOTAL(9,D35)</f>
        <v>1</v>
      </c>
    </row>
    <row r="37" spans="1:4" x14ac:dyDescent="0.3">
      <c r="A37" s="79" t="s">
        <v>617</v>
      </c>
      <c r="B37" s="78"/>
      <c r="C37" s="78"/>
      <c r="D37" s="63">
        <v>1</v>
      </c>
    </row>
    <row r="38" spans="1:4" ht="15" customHeight="1" x14ac:dyDescent="0.3">
      <c r="A38" s="323" t="s">
        <v>1341</v>
      </c>
      <c r="B38" s="324"/>
      <c r="C38" s="324"/>
      <c r="D38" s="80">
        <f>SUBTOTAL(9,D37)</f>
        <v>1</v>
      </c>
    </row>
    <row r="39" spans="1:4" x14ac:dyDescent="0.3">
      <c r="A39" s="329" t="s">
        <v>1353</v>
      </c>
      <c r="B39" s="329"/>
      <c r="C39" s="329"/>
      <c r="D39" s="329"/>
    </row>
    <row r="40" spans="1:4" x14ac:dyDescent="0.3">
      <c r="A40" s="82" t="s">
        <v>1356</v>
      </c>
      <c r="B40" s="82" t="s">
        <v>1014</v>
      </c>
      <c r="C40" s="82" t="s">
        <v>1015</v>
      </c>
      <c r="D40" s="82" t="s">
        <v>1357</v>
      </c>
    </row>
    <row r="41" spans="1:4" x14ac:dyDescent="0.3">
      <c r="A41" s="79" t="s">
        <v>201</v>
      </c>
      <c r="B41" s="78" t="s">
        <v>1060</v>
      </c>
      <c r="C41" s="78" t="s">
        <v>1176</v>
      </c>
      <c r="D41" s="63">
        <v>2</v>
      </c>
    </row>
    <row r="42" spans="1:4" ht="15" customHeight="1" x14ac:dyDescent="0.3">
      <c r="A42" s="323" t="s">
        <v>1245</v>
      </c>
      <c r="B42" s="324"/>
      <c r="C42" s="324"/>
      <c r="D42" s="80">
        <f>SUBTOTAL(9,D41)</f>
        <v>2</v>
      </c>
    </row>
    <row r="43" spans="1:4" x14ac:dyDescent="0.3">
      <c r="A43" s="330" t="s">
        <v>1324</v>
      </c>
      <c r="B43" s="331"/>
      <c r="C43" s="332"/>
      <c r="D43" s="81">
        <f>SUBTOTAL(9,D5:D42)</f>
        <v>39</v>
      </c>
    </row>
  </sheetData>
  <mergeCells count="22">
    <mergeCell ref="A1:D1"/>
    <mergeCell ref="A3:D3"/>
    <mergeCell ref="A33:D33"/>
    <mergeCell ref="A38:C38"/>
    <mergeCell ref="A20:C20"/>
    <mergeCell ref="A22:C22"/>
    <mergeCell ref="A24:C24"/>
    <mergeCell ref="A25:D25"/>
    <mergeCell ref="A43:C43"/>
    <mergeCell ref="A6:C6"/>
    <mergeCell ref="A8:C8"/>
    <mergeCell ref="A9:A10"/>
    <mergeCell ref="A11:C11"/>
    <mergeCell ref="A13:C13"/>
    <mergeCell ref="A14:A19"/>
    <mergeCell ref="B16:B18"/>
    <mergeCell ref="A36:C36"/>
    <mergeCell ref="A42:C42"/>
    <mergeCell ref="A30:C30"/>
    <mergeCell ref="A27:A29"/>
    <mergeCell ref="A32:C32"/>
    <mergeCell ref="A39:D39"/>
  </mergeCells>
  <conditionalFormatting sqref="A43">
    <cfRule type="containsText" dxfId="49" priority="18" operator="containsText" text="(празно)">
      <formula>NOT(ISERROR(SEARCH("(празно)",A43)))</formula>
    </cfRule>
  </conditionalFormatting>
  <conditionalFormatting sqref="A5:C24">
    <cfRule type="containsText" dxfId="48" priority="11" operator="containsText" text="(празно)">
      <formula>NOT(ISERROR(SEARCH("(празно)",A5)))</formula>
    </cfRule>
  </conditionalFormatting>
  <conditionalFormatting sqref="A27:C32">
    <cfRule type="containsText" dxfId="47" priority="8" operator="containsText" text="(празно)">
      <formula>NOT(ISERROR(SEARCH("(празно)",A27)))</formula>
    </cfRule>
  </conditionalFormatting>
  <conditionalFormatting sqref="A35:C38">
    <cfRule type="containsText" dxfId="46" priority="4" operator="containsText" text="(празно)">
      <formula>NOT(ISERROR(SEARCH("(празно)",A35)))</formula>
    </cfRule>
  </conditionalFormatting>
  <conditionalFormatting sqref="A41:C42">
    <cfRule type="containsText" dxfId="45" priority="1" operator="containsText" text="(празно)">
      <formula>NOT(ISERROR(SEARCH("(празно)",A41)))</formula>
    </cfRule>
  </conditionalFormatting>
  <conditionalFormatting sqref="A4:D4 D43">
    <cfRule type="containsText" dxfId="44" priority="19" operator="containsText" text="(празно)">
      <formula>NOT(ISERROR(SEARCH("(празно)",A4)))</formula>
    </cfRule>
  </conditionalFormatting>
  <conditionalFormatting sqref="A26:D26">
    <cfRule type="containsText" dxfId="43" priority="10" operator="containsText" text="(празно)">
      <formula>NOT(ISERROR(SEARCH("(празно)",A26)))</formula>
    </cfRule>
  </conditionalFormatting>
  <conditionalFormatting sqref="A34:D34">
    <cfRule type="containsText" dxfId="42" priority="17" operator="containsText" text="(празно)">
      <formula>NOT(ISERROR(SEARCH("(празно)",A34)))</formula>
    </cfRule>
  </conditionalFormatting>
  <conditionalFormatting sqref="A40:D40">
    <cfRule type="containsText" dxfId="41" priority="16" operator="containsText" text="(празно)">
      <formula>NOT(ISERROR(SEARCH("(празно)",A40)))</formula>
    </cfRule>
  </conditionalFormatting>
  <printOptions horizontalCentered="1"/>
  <pageMargins left="0.70866141732283472" right="0.23622047244094491" top="0.47244094488188981" bottom="0.51181102362204722" header="0.31496062992125984" footer="0.19685039370078741"/>
  <pageSetup paperSize="9" scale="98" fitToHeight="0" orientation="portrait" r:id="rId1"/>
  <headerFooter>
    <oddFooter>&amp;C&amp;A&amp;Rстр.&amp;P от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D80"/>
  <sheetViews>
    <sheetView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F17" sqref="F17"/>
    </sheetView>
  </sheetViews>
  <sheetFormatPr baseColWidth="10" defaultColWidth="9.109375" defaultRowHeight="14.4" x14ac:dyDescent="0.3"/>
  <cols>
    <col min="1" max="1" width="26" style="4" customWidth="1"/>
    <col min="2" max="2" width="37" style="65" bestFit="1" customWidth="1"/>
    <col min="3" max="3" width="18.88671875" style="65" bestFit="1" customWidth="1"/>
    <col min="4" max="4" width="12.6640625" style="65" bestFit="1" customWidth="1"/>
    <col min="5" max="16384" width="9.109375" style="65"/>
  </cols>
  <sheetData>
    <row r="1" spans="1:4" ht="18" x14ac:dyDescent="0.3">
      <c r="A1" s="328" t="s">
        <v>1360</v>
      </c>
      <c r="B1" s="328"/>
      <c r="C1" s="328"/>
      <c r="D1" s="328"/>
    </row>
    <row r="3" spans="1:4" x14ac:dyDescent="0.3">
      <c r="A3" s="329" t="s">
        <v>1163</v>
      </c>
      <c r="B3" s="329"/>
      <c r="C3" s="329"/>
      <c r="D3" s="329"/>
    </row>
    <row r="4" spans="1:4" x14ac:dyDescent="0.3">
      <c r="A4" s="82" t="s">
        <v>1356</v>
      </c>
      <c r="B4" s="82" t="s">
        <v>1014</v>
      </c>
      <c r="C4" s="82" t="s">
        <v>1015</v>
      </c>
      <c r="D4" s="82" t="s">
        <v>1357</v>
      </c>
    </row>
    <row r="5" spans="1:4" ht="28.8" x14ac:dyDescent="0.3">
      <c r="A5" s="325" t="s">
        <v>190</v>
      </c>
      <c r="B5" s="78" t="s">
        <v>1046</v>
      </c>
      <c r="C5" s="78" t="s">
        <v>1048</v>
      </c>
      <c r="D5" s="63">
        <v>1</v>
      </c>
    </row>
    <row r="6" spans="1:4" ht="43.2" x14ac:dyDescent="0.3">
      <c r="A6" s="326"/>
      <c r="B6" s="78" t="s">
        <v>6</v>
      </c>
      <c r="C6" s="78" t="s">
        <v>1050</v>
      </c>
      <c r="D6" s="63">
        <v>1</v>
      </c>
    </row>
    <row r="7" spans="1:4" x14ac:dyDescent="0.3">
      <c r="A7" s="326"/>
      <c r="B7" s="307"/>
      <c r="C7" s="78" t="s">
        <v>1049</v>
      </c>
      <c r="D7" s="63">
        <v>1</v>
      </c>
    </row>
    <row r="8" spans="1:4" x14ac:dyDescent="0.3">
      <c r="A8" s="326"/>
      <c r="B8" s="308"/>
      <c r="C8" s="78"/>
      <c r="D8" s="63">
        <v>21</v>
      </c>
    </row>
    <row r="9" spans="1:4" x14ac:dyDescent="0.3">
      <c r="A9" s="326"/>
      <c r="B9" s="308"/>
      <c r="C9" s="78" t="s">
        <v>1047</v>
      </c>
      <c r="D9" s="63">
        <v>1</v>
      </c>
    </row>
    <row r="10" spans="1:4" x14ac:dyDescent="0.3">
      <c r="A10" s="326"/>
      <c r="B10" s="78" t="s">
        <v>1208</v>
      </c>
      <c r="C10" s="78"/>
      <c r="D10" s="63">
        <v>1</v>
      </c>
    </row>
    <row r="11" spans="1:4" ht="15" customHeight="1" x14ac:dyDescent="0.3">
      <c r="A11" s="336" t="s">
        <v>1243</v>
      </c>
      <c r="B11" s="337"/>
      <c r="C11" s="337"/>
      <c r="D11" s="83">
        <f>SUBTOTAL(9,D5:D10)</f>
        <v>26</v>
      </c>
    </row>
    <row r="12" spans="1:4" x14ac:dyDescent="0.3">
      <c r="A12" s="325" t="s">
        <v>191</v>
      </c>
      <c r="B12" s="307" t="s">
        <v>1102</v>
      </c>
      <c r="C12" s="78" t="s">
        <v>1074</v>
      </c>
      <c r="D12" s="63">
        <v>1</v>
      </c>
    </row>
    <row r="13" spans="1:4" x14ac:dyDescent="0.3">
      <c r="A13" s="326"/>
      <c r="B13" s="308"/>
      <c r="C13" s="78" t="s">
        <v>1212</v>
      </c>
      <c r="D13" s="63">
        <v>1</v>
      </c>
    </row>
    <row r="14" spans="1:4" x14ac:dyDescent="0.3">
      <c r="A14" s="326"/>
      <c r="B14" s="78" t="s">
        <v>1100</v>
      </c>
      <c r="C14" s="78" t="s">
        <v>1083</v>
      </c>
      <c r="D14" s="63">
        <v>2</v>
      </c>
    </row>
    <row r="15" spans="1:4" x14ac:dyDescent="0.3">
      <c r="A15" s="326"/>
      <c r="B15" s="307" t="s">
        <v>1073</v>
      </c>
      <c r="C15" s="78" t="s">
        <v>1096</v>
      </c>
      <c r="D15" s="63">
        <v>2</v>
      </c>
    </row>
    <row r="16" spans="1:4" x14ac:dyDescent="0.3">
      <c r="A16" s="326"/>
      <c r="B16" s="308"/>
      <c r="C16" s="78" t="s">
        <v>1074</v>
      </c>
      <c r="D16" s="63">
        <v>1</v>
      </c>
    </row>
    <row r="17" spans="1:4" x14ac:dyDescent="0.3">
      <c r="A17" s="326"/>
      <c r="B17" s="308"/>
      <c r="C17" s="78" t="s">
        <v>1083</v>
      </c>
      <c r="D17" s="63">
        <v>4</v>
      </c>
    </row>
    <row r="18" spans="1:4" x14ac:dyDescent="0.3">
      <c r="A18" s="326"/>
      <c r="B18" s="78" t="s">
        <v>1113</v>
      </c>
      <c r="C18" s="78" t="s">
        <v>1096</v>
      </c>
      <c r="D18" s="63">
        <v>1</v>
      </c>
    </row>
    <row r="19" spans="1:4" x14ac:dyDescent="0.3">
      <c r="A19" s="326"/>
      <c r="B19" s="78" t="s">
        <v>1105</v>
      </c>
      <c r="C19" s="78" t="s">
        <v>1083</v>
      </c>
      <c r="D19" s="63">
        <v>1</v>
      </c>
    </row>
    <row r="20" spans="1:4" x14ac:dyDescent="0.3">
      <c r="A20" s="326"/>
      <c r="B20" s="78" t="s">
        <v>1210</v>
      </c>
      <c r="C20" s="78" t="s">
        <v>1096</v>
      </c>
      <c r="D20" s="63">
        <v>4</v>
      </c>
    </row>
    <row r="21" spans="1:4" x14ac:dyDescent="0.3">
      <c r="A21" s="326"/>
      <c r="B21" s="78" t="s">
        <v>1215</v>
      </c>
      <c r="C21" s="78" t="s">
        <v>1096</v>
      </c>
      <c r="D21" s="63">
        <v>1</v>
      </c>
    </row>
    <row r="22" spans="1:4" x14ac:dyDescent="0.3">
      <c r="A22" s="333" t="s">
        <v>1244</v>
      </c>
      <c r="B22" s="334"/>
      <c r="C22" s="335"/>
      <c r="D22" s="80">
        <f>SUBTOTAL(9,D12:D21)</f>
        <v>18</v>
      </c>
    </row>
    <row r="23" spans="1:4" x14ac:dyDescent="0.3">
      <c r="A23" s="327" t="s">
        <v>1151</v>
      </c>
      <c r="B23" s="327"/>
      <c r="C23" s="327"/>
      <c r="D23" s="327"/>
    </row>
    <row r="24" spans="1:4" x14ac:dyDescent="0.3">
      <c r="A24" s="82" t="s">
        <v>1356</v>
      </c>
      <c r="B24" s="82" t="s">
        <v>1014</v>
      </c>
      <c r="C24" s="82" t="s">
        <v>1015</v>
      </c>
      <c r="D24" s="82" t="s">
        <v>1357</v>
      </c>
    </row>
    <row r="25" spans="1:4" ht="15" customHeight="1" x14ac:dyDescent="0.3">
      <c r="A25" s="325" t="s">
        <v>212</v>
      </c>
      <c r="B25" s="78" t="s">
        <v>1217</v>
      </c>
      <c r="C25" s="78"/>
      <c r="D25" s="63">
        <v>1</v>
      </c>
    </row>
    <row r="26" spans="1:4" x14ac:dyDescent="0.3">
      <c r="A26" s="326"/>
      <c r="B26" s="78" t="s">
        <v>1218</v>
      </c>
      <c r="C26" s="78" t="s">
        <v>1068</v>
      </c>
      <c r="D26" s="63">
        <v>1</v>
      </c>
    </row>
    <row r="27" spans="1:4" ht="15" customHeight="1" x14ac:dyDescent="0.3">
      <c r="A27" s="333" t="s">
        <v>1261</v>
      </c>
      <c r="B27" s="334"/>
      <c r="C27" s="335"/>
      <c r="D27" s="80">
        <f>SUBTOTAL(9,D25:D26)</f>
        <v>2</v>
      </c>
    </row>
    <row r="28" spans="1:4" ht="15" customHeight="1" x14ac:dyDescent="0.3">
      <c r="A28" s="79" t="s">
        <v>115</v>
      </c>
      <c r="B28" s="78"/>
      <c r="C28" s="78"/>
      <c r="D28" s="63">
        <v>1</v>
      </c>
    </row>
    <row r="29" spans="1:4" ht="15" customHeight="1" x14ac:dyDescent="0.3">
      <c r="A29" s="333" t="s">
        <v>1262</v>
      </c>
      <c r="B29" s="334"/>
      <c r="C29" s="335"/>
      <c r="D29" s="80">
        <f>SUBTOTAL(9,D28)</f>
        <v>1</v>
      </c>
    </row>
    <row r="30" spans="1:4" ht="15" customHeight="1" x14ac:dyDescent="0.3">
      <c r="A30" s="325" t="s">
        <v>194</v>
      </c>
      <c r="B30" s="78" t="s">
        <v>1130</v>
      </c>
      <c r="C30" s="78"/>
      <c r="D30" s="63">
        <v>1</v>
      </c>
    </row>
    <row r="31" spans="1:4" x14ac:dyDescent="0.3">
      <c r="A31" s="326"/>
      <c r="B31" s="78" t="s">
        <v>1087</v>
      </c>
      <c r="C31" s="78" t="s">
        <v>1229</v>
      </c>
      <c r="D31" s="63">
        <v>1</v>
      </c>
    </row>
    <row r="32" spans="1:4" ht="15" customHeight="1" x14ac:dyDescent="0.3">
      <c r="A32" s="333" t="s">
        <v>1263</v>
      </c>
      <c r="B32" s="334"/>
      <c r="C32" s="335"/>
      <c r="D32" s="80">
        <f>SUBTOTAL(9,D30:D31)</f>
        <v>2</v>
      </c>
    </row>
    <row r="33" spans="1:4" x14ac:dyDescent="0.3">
      <c r="A33" s="325" t="s">
        <v>195</v>
      </c>
      <c r="B33" s="78" t="s">
        <v>1062</v>
      </c>
      <c r="C33" s="78" t="s">
        <v>1236</v>
      </c>
      <c r="D33" s="63">
        <v>1</v>
      </c>
    </row>
    <row r="34" spans="1:4" x14ac:dyDescent="0.3">
      <c r="A34" s="326"/>
      <c r="B34" s="78" t="s">
        <v>1078</v>
      </c>
      <c r="C34" s="78" t="s">
        <v>1239</v>
      </c>
      <c r="D34" s="63">
        <v>1</v>
      </c>
    </row>
    <row r="35" spans="1:4" x14ac:dyDescent="0.3">
      <c r="A35" s="326"/>
      <c r="B35" s="78" t="s">
        <v>1234</v>
      </c>
      <c r="C35" s="78" t="s">
        <v>1236</v>
      </c>
      <c r="D35" s="63">
        <v>1</v>
      </c>
    </row>
    <row r="36" spans="1:4" ht="15" customHeight="1" x14ac:dyDescent="0.3">
      <c r="A36" s="333" t="s">
        <v>1264</v>
      </c>
      <c r="B36" s="334"/>
      <c r="C36" s="335"/>
      <c r="D36" s="80">
        <f>SUBTOTAL(9,D33:D35)</f>
        <v>3</v>
      </c>
    </row>
    <row r="37" spans="1:4" x14ac:dyDescent="0.3">
      <c r="A37" s="79" t="s">
        <v>43</v>
      </c>
      <c r="B37" s="78" t="s">
        <v>1119</v>
      </c>
      <c r="C37" s="78" t="s">
        <v>1085</v>
      </c>
      <c r="D37" s="63">
        <v>1</v>
      </c>
    </row>
    <row r="38" spans="1:4" ht="15" customHeight="1" x14ac:dyDescent="0.3">
      <c r="A38" s="333" t="s">
        <v>1265</v>
      </c>
      <c r="B38" s="334"/>
      <c r="C38" s="335"/>
      <c r="D38" s="80">
        <f>SUBTOTAL(9,D37)</f>
        <v>1</v>
      </c>
    </row>
    <row r="39" spans="1:4" x14ac:dyDescent="0.3">
      <c r="A39" s="79" t="s">
        <v>197</v>
      </c>
      <c r="B39" s="78"/>
      <c r="C39" s="78" t="s">
        <v>1082</v>
      </c>
      <c r="D39" s="63">
        <v>1</v>
      </c>
    </row>
    <row r="40" spans="1:4" x14ac:dyDescent="0.3">
      <c r="A40" s="333" t="s">
        <v>1266</v>
      </c>
      <c r="B40" s="334"/>
      <c r="C40" s="335"/>
      <c r="D40" s="80">
        <f>SUBTOTAL(9,D39)</f>
        <v>1</v>
      </c>
    </row>
    <row r="41" spans="1:4" ht="28.8" x14ac:dyDescent="0.3">
      <c r="A41" s="79" t="s">
        <v>200</v>
      </c>
      <c r="B41" s="78"/>
      <c r="C41" s="78"/>
      <c r="D41" s="63">
        <v>1</v>
      </c>
    </row>
    <row r="42" spans="1:4" ht="15" customHeight="1" x14ac:dyDescent="0.3">
      <c r="A42" s="333" t="s">
        <v>1267</v>
      </c>
      <c r="B42" s="334"/>
      <c r="C42" s="335"/>
      <c r="D42" s="80">
        <f>SUBTOTAL(9,D41)</f>
        <v>1</v>
      </c>
    </row>
    <row r="43" spans="1:4" x14ac:dyDescent="0.3">
      <c r="A43" s="79" t="s">
        <v>204</v>
      </c>
      <c r="B43" s="78"/>
      <c r="C43" s="78"/>
      <c r="D43" s="63">
        <v>1</v>
      </c>
    </row>
    <row r="44" spans="1:4" x14ac:dyDescent="0.3">
      <c r="A44" s="333" t="s">
        <v>1269</v>
      </c>
      <c r="B44" s="334"/>
      <c r="C44" s="335"/>
      <c r="D44" s="80">
        <f>SUBTOTAL(9,D43)</f>
        <v>1</v>
      </c>
    </row>
    <row r="45" spans="1:4" x14ac:dyDescent="0.3">
      <c r="A45" s="327" t="s">
        <v>1058</v>
      </c>
      <c r="B45" s="327"/>
      <c r="C45" s="327"/>
      <c r="D45" s="327"/>
    </row>
    <row r="46" spans="1:4" x14ac:dyDescent="0.3">
      <c r="A46" s="82" t="s">
        <v>1356</v>
      </c>
      <c r="B46" s="82" t="s">
        <v>1014</v>
      </c>
      <c r="C46" s="82" t="s">
        <v>1015</v>
      </c>
      <c r="D46" s="82" t="s">
        <v>1357</v>
      </c>
    </row>
    <row r="47" spans="1:4" x14ac:dyDescent="0.3">
      <c r="A47" s="79" t="s">
        <v>192</v>
      </c>
      <c r="B47" s="78"/>
      <c r="C47" s="78"/>
      <c r="D47" s="63">
        <v>2</v>
      </c>
    </row>
    <row r="48" spans="1:4" ht="15" customHeight="1" x14ac:dyDescent="0.3">
      <c r="A48" s="333" t="s">
        <v>1249</v>
      </c>
      <c r="B48" s="334"/>
      <c r="C48" s="335"/>
      <c r="D48" s="80">
        <f>SUBTOTAL(9,D47)</f>
        <v>2</v>
      </c>
    </row>
    <row r="49" spans="1:4" x14ac:dyDescent="0.3">
      <c r="A49" s="79" t="s">
        <v>213</v>
      </c>
      <c r="B49" s="78" t="s">
        <v>1068</v>
      </c>
      <c r="C49" s="78"/>
      <c r="D49" s="63">
        <v>1</v>
      </c>
    </row>
    <row r="50" spans="1:4" x14ac:dyDescent="0.3">
      <c r="A50" s="333" t="s">
        <v>1250</v>
      </c>
      <c r="B50" s="334"/>
      <c r="C50" s="335"/>
      <c r="D50" s="80">
        <f>SUBTOTAL(9,D49)</f>
        <v>1</v>
      </c>
    </row>
    <row r="51" spans="1:4" x14ac:dyDescent="0.3">
      <c r="A51" s="325" t="s">
        <v>193</v>
      </c>
      <c r="B51" s="78" t="s">
        <v>1142</v>
      </c>
      <c r="C51" s="78" t="s">
        <v>1095</v>
      </c>
      <c r="D51" s="63">
        <v>1</v>
      </c>
    </row>
    <row r="52" spans="1:4" x14ac:dyDescent="0.3">
      <c r="A52" s="326"/>
      <c r="B52" s="78" t="s">
        <v>1108</v>
      </c>
      <c r="C52" s="78" t="s">
        <v>1095</v>
      </c>
      <c r="D52" s="63">
        <v>1</v>
      </c>
    </row>
    <row r="53" spans="1:4" x14ac:dyDescent="0.3">
      <c r="A53" s="326"/>
      <c r="B53" s="78" t="s">
        <v>1226</v>
      </c>
      <c r="C53" s="78" t="s">
        <v>1225</v>
      </c>
      <c r="D53" s="63">
        <v>1</v>
      </c>
    </row>
    <row r="54" spans="1:4" x14ac:dyDescent="0.3">
      <c r="A54" s="333" t="s">
        <v>1251</v>
      </c>
      <c r="B54" s="334"/>
      <c r="C54" s="335"/>
      <c r="D54" s="80">
        <f>SUBTOTAL(9,D51:D53)</f>
        <v>3</v>
      </c>
    </row>
    <row r="55" spans="1:4" ht="15" customHeight="1" x14ac:dyDescent="0.3">
      <c r="A55" s="325" t="s">
        <v>196</v>
      </c>
      <c r="B55" s="78"/>
      <c r="C55" s="78"/>
      <c r="D55" s="63">
        <v>1</v>
      </c>
    </row>
    <row r="56" spans="1:4" x14ac:dyDescent="0.3">
      <c r="A56" s="326"/>
      <c r="B56" s="78" t="s">
        <v>1242</v>
      </c>
      <c r="C56" s="78"/>
      <c r="D56" s="63">
        <v>1</v>
      </c>
    </row>
    <row r="57" spans="1:4" ht="15" customHeight="1" x14ac:dyDescent="0.3">
      <c r="A57" s="333" t="s">
        <v>1252</v>
      </c>
      <c r="B57" s="334"/>
      <c r="C57" s="335"/>
      <c r="D57" s="80">
        <f>SUBTOTAL(9,D55:D56)</f>
        <v>2</v>
      </c>
    </row>
    <row r="58" spans="1:4" x14ac:dyDescent="0.3">
      <c r="A58" s="325" t="s">
        <v>205</v>
      </c>
      <c r="B58" s="78" t="s">
        <v>1346</v>
      </c>
      <c r="C58" s="78" t="s">
        <v>1301</v>
      </c>
      <c r="D58" s="63">
        <v>1</v>
      </c>
    </row>
    <row r="59" spans="1:4" x14ac:dyDescent="0.3">
      <c r="A59" s="326"/>
      <c r="B59" s="78" t="s">
        <v>1348</v>
      </c>
      <c r="C59" s="78" t="s">
        <v>1301</v>
      </c>
      <c r="D59" s="63">
        <v>1</v>
      </c>
    </row>
    <row r="60" spans="1:4" x14ac:dyDescent="0.3">
      <c r="A60" s="333" t="s">
        <v>1254</v>
      </c>
      <c r="B60" s="334"/>
      <c r="C60" s="335"/>
      <c r="D60" s="80">
        <f>SUBTOTAL(9,D58:D59)</f>
        <v>2</v>
      </c>
    </row>
    <row r="61" spans="1:4" x14ac:dyDescent="0.3">
      <c r="A61" s="327" t="s">
        <v>1353</v>
      </c>
      <c r="B61" s="327"/>
      <c r="C61" s="327"/>
      <c r="D61" s="327"/>
    </row>
    <row r="62" spans="1:4" x14ac:dyDescent="0.3">
      <c r="A62" s="82" t="s">
        <v>1356</v>
      </c>
      <c r="B62" s="82" t="s">
        <v>1014</v>
      </c>
      <c r="C62" s="82" t="s">
        <v>1015</v>
      </c>
      <c r="D62" s="82" t="s">
        <v>1357</v>
      </c>
    </row>
    <row r="63" spans="1:4" x14ac:dyDescent="0.3">
      <c r="A63" s="325" t="s">
        <v>201</v>
      </c>
      <c r="B63" s="78" t="s">
        <v>1060</v>
      </c>
      <c r="C63" s="78" t="s">
        <v>1176</v>
      </c>
      <c r="D63" s="63">
        <v>1</v>
      </c>
    </row>
    <row r="64" spans="1:4" x14ac:dyDescent="0.3">
      <c r="A64" s="326"/>
      <c r="B64" s="78" t="s">
        <v>1081</v>
      </c>
      <c r="C64" s="78"/>
      <c r="D64" s="63">
        <v>1</v>
      </c>
    </row>
    <row r="65" spans="1:4" x14ac:dyDescent="0.3">
      <c r="A65" s="326"/>
      <c r="B65" s="78" t="s">
        <v>1131</v>
      </c>
      <c r="C65" s="78"/>
      <c r="D65" s="63">
        <v>1</v>
      </c>
    </row>
    <row r="66" spans="1:4" x14ac:dyDescent="0.3">
      <c r="A66" s="326"/>
      <c r="B66" s="78"/>
      <c r="C66" s="78" t="s">
        <v>1076</v>
      </c>
      <c r="D66" s="63">
        <v>1</v>
      </c>
    </row>
    <row r="67" spans="1:4" x14ac:dyDescent="0.3">
      <c r="A67" s="326"/>
      <c r="B67" s="78" t="s">
        <v>1171</v>
      </c>
      <c r="C67" s="78" t="s">
        <v>1076</v>
      </c>
      <c r="D67" s="63">
        <v>2</v>
      </c>
    </row>
    <row r="68" spans="1:4" x14ac:dyDescent="0.3">
      <c r="A68" s="333" t="s">
        <v>1245</v>
      </c>
      <c r="B68" s="334"/>
      <c r="C68" s="335"/>
      <c r="D68" s="80">
        <f>SUBTOTAL(9,D63:D67)</f>
        <v>6</v>
      </c>
    </row>
    <row r="69" spans="1:4" x14ac:dyDescent="0.3">
      <c r="A69" s="325" t="s">
        <v>1157</v>
      </c>
      <c r="B69" s="78" t="s">
        <v>1168</v>
      </c>
      <c r="C69" s="78"/>
      <c r="D69" s="63">
        <v>3</v>
      </c>
    </row>
    <row r="70" spans="1:4" x14ac:dyDescent="0.3">
      <c r="A70" s="326"/>
      <c r="B70" s="78" t="s">
        <v>1167</v>
      </c>
      <c r="C70" s="78"/>
      <c r="D70" s="63">
        <v>1</v>
      </c>
    </row>
    <row r="71" spans="1:4" x14ac:dyDescent="0.3">
      <c r="A71" s="333" t="s">
        <v>1246</v>
      </c>
      <c r="B71" s="334"/>
      <c r="C71" s="335"/>
      <c r="D71" s="80">
        <f>SUBTOTAL(9,D69:D70)</f>
        <v>4</v>
      </c>
    </row>
    <row r="72" spans="1:4" x14ac:dyDescent="0.3">
      <c r="A72" s="327" t="s">
        <v>1158</v>
      </c>
      <c r="B72" s="327"/>
      <c r="C72" s="327"/>
      <c r="D72" s="327"/>
    </row>
    <row r="73" spans="1:4" x14ac:dyDescent="0.3">
      <c r="A73" s="82" t="s">
        <v>1356</v>
      </c>
      <c r="B73" s="82" t="s">
        <v>1014</v>
      </c>
      <c r="C73" s="82" t="s">
        <v>1015</v>
      </c>
      <c r="D73" s="82" t="s">
        <v>1357</v>
      </c>
    </row>
    <row r="74" spans="1:4" ht="15" customHeight="1" x14ac:dyDescent="0.3">
      <c r="A74" s="325" t="s">
        <v>1053</v>
      </c>
      <c r="B74" s="78" t="s">
        <v>1311</v>
      </c>
      <c r="C74" s="78" t="s">
        <v>1313</v>
      </c>
      <c r="D74" s="63">
        <v>1</v>
      </c>
    </row>
    <row r="75" spans="1:4" x14ac:dyDescent="0.3">
      <c r="A75" s="326"/>
      <c r="B75" s="78" t="s">
        <v>1316</v>
      </c>
      <c r="C75" s="78" t="s">
        <v>1317</v>
      </c>
      <c r="D75" s="63">
        <v>1</v>
      </c>
    </row>
    <row r="76" spans="1:4" x14ac:dyDescent="0.3">
      <c r="A76" s="326"/>
      <c r="B76" s="78" t="s">
        <v>1319</v>
      </c>
      <c r="C76" s="78"/>
      <c r="D76" s="63">
        <v>1</v>
      </c>
    </row>
    <row r="77" spans="1:4" ht="15" customHeight="1" x14ac:dyDescent="0.3">
      <c r="A77" s="333" t="s">
        <v>1276</v>
      </c>
      <c r="B77" s="334"/>
      <c r="C77" s="335"/>
      <c r="D77" s="80">
        <f>SUBTOTAL(9,D74:D76)</f>
        <v>3</v>
      </c>
    </row>
    <row r="78" spans="1:4" ht="28.8" x14ac:dyDescent="0.3">
      <c r="A78" s="79" t="s">
        <v>1156</v>
      </c>
      <c r="B78" s="78"/>
      <c r="C78" s="78"/>
      <c r="D78" s="63">
        <v>1</v>
      </c>
    </row>
    <row r="79" spans="1:4" ht="15" customHeight="1" x14ac:dyDescent="0.3">
      <c r="A79" s="333" t="s">
        <v>1278</v>
      </c>
      <c r="B79" s="334"/>
      <c r="C79" s="335"/>
      <c r="D79" s="80">
        <f>SUBTOTAL(9,D78)</f>
        <v>1</v>
      </c>
    </row>
    <row r="80" spans="1:4" x14ac:dyDescent="0.3">
      <c r="A80" s="330" t="s">
        <v>1324</v>
      </c>
      <c r="B80" s="331"/>
      <c r="C80" s="332"/>
      <c r="D80" s="81">
        <f>SUBTOTAL(9,D5:D79)</f>
        <v>80</v>
      </c>
    </row>
  </sheetData>
  <mergeCells count="40">
    <mergeCell ref="A22:C22"/>
    <mergeCell ref="A1:D1"/>
    <mergeCell ref="A3:D3"/>
    <mergeCell ref="A11:C11"/>
    <mergeCell ref="A80:C80"/>
    <mergeCell ref="A23:D23"/>
    <mergeCell ref="A45:D45"/>
    <mergeCell ref="A42:C42"/>
    <mergeCell ref="A44:C44"/>
    <mergeCell ref="A5:A10"/>
    <mergeCell ref="B7:B9"/>
    <mergeCell ref="A12:A21"/>
    <mergeCell ref="B12:B13"/>
    <mergeCell ref="B15:B17"/>
    <mergeCell ref="A58:A59"/>
    <mergeCell ref="A40:C40"/>
    <mergeCell ref="A25:A26"/>
    <mergeCell ref="A27:C27"/>
    <mergeCell ref="A30:A31"/>
    <mergeCell ref="A32:C32"/>
    <mergeCell ref="A33:A35"/>
    <mergeCell ref="A36:C36"/>
    <mergeCell ref="A38:C38"/>
    <mergeCell ref="A29:C29"/>
    <mergeCell ref="A50:C50"/>
    <mergeCell ref="A48:C48"/>
    <mergeCell ref="A51:A53"/>
    <mergeCell ref="A54:C54"/>
    <mergeCell ref="A55:A56"/>
    <mergeCell ref="A57:C57"/>
    <mergeCell ref="A79:C79"/>
    <mergeCell ref="A74:A76"/>
    <mergeCell ref="A77:C77"/>
    <mergeCell ref="A60:C60"/>
    <mergeCell ref="A63:A67"/>
    <mergeCell ref="A68:C68"/>
    <mergeCell ref="A69:A70"/>
    <mergeCell ref="A71:C71"/>
    <mergeCell ref="A72:D72"/>
    <mergeCell ref="A61:D61"/>
  </mergeCells>
  <conditionalFormatting sqref="A80">
    <cfRule type="containsText" dxfId="40" priority="22" operator="containsText" text="(празно)">
      <formula>NOT(ISERROR(SEARCH("(празно)",A80)))</formula>
    </cfRule>
  </conditionalFormatting>
  <conditionalFormatting sqref="A5:C22">
    <cfRule type="containsText" dxfId="39" priority="12" operator="containsText" text="(празно)">
      <formula>NOT(ISERROR(SEARCH("(празно)",A5)))</formula>
    </cfRule>
  </conditionalFormatting>
  <conditionalFormatting sqref="A25:C44">
    <cfRule type="containsText" dxfId="38" priority="10" operator="containsText" text="(празно)">
      <formula>NOT(ISERROR(SEARCH("(празно)",A25)))</formula>
    </cfRule>
  </conditionalFormatting>
  <conditionalFormatting sqref="A47:C60">
    <cfRule type="containsText" dxfId="37" priority="6" operator="containsText" text="(празно)">
      <formula>NOT(ISERROR(SEARCH("(празно)",A47)))</formula>
    </cfRule>
  </conditionalFormatting>
  <conditionalFormatting sqref="A63:C71">
    <cfRule type="containsText" dxfId="36" priority="4" operator="containsText" text="(празно)">
      <formula>NOT(ISERROR(SEARCH("(празно)",A63)))</formula>
    </cfRule>
  </conditionalFormatting>
  <conditionalFormatting sqref="A74:C79">
    <cfRule type="containsText" dxfId="35" priority="1" operator="containsText" text="(празно)">
      <formula>NOT(ISERROR(SEARCH("(празно)",A74)))</formula>
    </cfRule>
  </conditionalFormatting>
  <conditionalFormatting sqref="A4:D4 D80">
    <cfRule type="containsText" dxfId="34" priority="23" operator="containsText" text="(празно)">
      <formula>NOT(ISERROR(SEARCH("(празно)",A4)))</formula>
    </cfRule>
  </conditionalFormatting>
  <conditionalFormatting sqref="A24:D24">
    <cfRule type="containsText" dxfId="33" priority="9" operator="containsText" text="(празно)">
      <formula>NOT(ISERROR(SEARCH("(празно)",A24)))</formula>
    </cfRule>
  </conditionalFormatting>
  <conditionalFormatting sqref="A46:D46">
    <cfRule type="containsText" dxfId="32" priority="21" operator="containsText" text="(празно)">
      <formula>NOT(ISERROR(SEARCH("(празно)",A46)))</formula>
    </cfRule>
  </conditionalFormatting>
  <conditionalFormatting sqref="A62:D62">
    <cfRule type="containsText" dxfId="31" priority="20" operator="containsText" text="(празно)">
      <formula>NOT(ISERROR(SEARCH("(празно)",A62)))</formula>
    </cfRule>
  </conditionalFormatting>
  <conditionalFormatting sqref="A73:D73">
    <cfRule type="containsText" dxfId="30" priority="3" operator="containsText" text="(празно)">
      <formula>NOT(ISERROR(SEARCH("(празно)",A73)))</formula>
    </cfRule>
  </conditionalFormatting>
  <printOptions horizontalCentered="1"/>
  <pageMargins left="0.70866141732283472" right="0.23622047244094491" top="0.47244094488188981" bottom="0.51181102362204722" header="0.31496062992125984" footer="0.19685039370078741"/>
  <pageSetup paperSize="9" scale="98" fitToHeight="0" orientation="portrait" r:id="rId1"/>
  <headerFooter>
    <oddFooter>&amp;C&amp;A&amp;Rстр.&amp;P от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D25"/>
  <sheetViews>
    <sheetView workbookViewId="0">
      <pane xSplit="4" ySplit="2" topLeftCell="E3" activePane="bottomRight" state="frozen"/>
      <selection pane="topRight" activeCell="E1" sqref="E1"/>
      <selection pane="bottomLeft" activeCell="A3" sqref="A3"/>
      <selection pane="bottomRight" sqref="A1:D1"/>
    </sheetView>
  </sheetViews>
  <sheetFormatPr baseColWidth="10" defaultColWidth="9.109375" defaultRowHeight="14.4" x14ac:dyDescent="0.3"/>
  <cols>
    <col min="1" max="1" width="26" style="4" customWidth="1"/>
    <col min="2" max="2" width="37" style="65" bestFit="1" customWidth="1"/>
    <col min="3" max="3" width="18.88671875" style="65" bestFit="1" customWidth="1"/>
    <col min="4" max="4" width="12.6640625" style="65" bestFit="1" customWidth="1"/>
    <col min="5" max="16384" width="9.109375" style="65"/>
  </cols>
  <sheetData>
    <row r="1" spans="1:4" ht="18" x14ac:dyDescent="0.3">
      <c r="A1" s="328" t="s">
        <v>1155</v>
      </c>
      <c r="B1" s="328"/>
      <c r="C1" s="328"/>
      <c r="D1" s="328"/>
    </row>
    <row r="3" spans="1:4" x14ac:dyDescent="0.3">
      <c r="A3" s="329" t="s">
        <v>1163</v>
      </c>
      <c r="B3" s="329"/>
      <c r="C3" s="329"/>
      <c r="D3" s="329"/>
    </row>
    <row r="4" spans="1:4" x14ac:dyDescent="0.3">
      <c r="A4" s="82" t="s">
        <v>1356</v>
      </c>
      <c r="B4" s="82" t="s">
        <v>1014</v>
      </c>
      <c r="C4" s="82" t="s">
        <v>1015</v>
      </c>
      <c r="D4" s="82" t="s">
        <v>1357</v>
      </c>
    </row>
    <row r="5" spans="1:4" x14ac:dyDescent="0.3">
      <c r="A5" s="79" t="s">
        <v>190</v>
      </c>
      <c r="B5" s="78"/>
      <c r="C5" s="78"/>
      <c r="D5" s="63">
        <v>1</v>
      </c>
    </row>
    <row r="6" spans="1:4" x14ac:dyDescent="0.3">
      <c r="A6" s="323" t="s">
        <v>1243</v>
      </c>
      <c r="B6" s="324"/>
      <c r="C6" s="324"/>
      <c r="D6" s="80">
        <f>SUBTOTAL(9,D5)</f>
        <v>1</v>
      </c>
    </row>
    <row r="7" spans="1:4" x14ac:dyDescent="0.3">
      <c r="A7" s="79" t="s">
        <v>44</v>
      </c>
      <c r="B7" s="78" t="s">
        <v>1124</v>
      </c>
      <c r="C7" s="78"/>
      <c r="D7" s="63">
        <v>1</v>
      </c>
    </row>
    <row r="8" spans="1:4" x14ac:dyDescent="0.3">
      <c r="A8" s="323" t="s">
        <v>1327</v>
      </c>
      <c r="B8" s="324"/>
      <c r="C8" s="324"/>
      <c r="D8" s="80">
        <f>SUBTOTAL(9,D7)</f>
        <v>1</v>
      </c>
    </row>
    <row r="9" spans="1:4" x14ac:dyDescent="0.3">
      <c r="A9" s="329" t="s">
        <v>1353</v>
      </c>
      <c r="B9" s="329"/>
      <c r="C9" s="329"/>
      <c r="D9" s="329"/>
    </row>
    <row r="10" spans="1:4" x14ac:dyDescent="0.3">
      <c r="A10" s="82" t="s">
        <v>1356</v>
      </c>
      <c r="B10" s="82" t="s">
        <v>1014</v>
      </c>
      <c r="C10" s="82" t="s">
        <v>1015</v>
      </c>
      <c r="D10" s="82" t="s">
        <v>1357</v>
      </c>
    </row>
    <row r="11" spans="1:4" x14ac:dyDescent="0.3">
      <c r="A11" s="79" t="s">
        <v>201</v>
      </c>
      <c r="B11" s="78" t="s">
        <v>1060</v>
      </c>
      <c r="C11" s="78" t="s">
        <v>1176</v>
      </c>
      <c r="D11" s="63">
        <v>1</v>
      </c>
    </row>
    <row r="12" spans="1:4" x14ac:dyDescent="0.3">
      <c r="A12" s="323" t="s">
        <v>1245</v>
      </c>
      <c r="B12" s="324"/>
      <c r="C12" s="324"/>
      <c r="D12" s="80">
        <f>SUBTOTAL(9,D11)</f>
        <v>1</v>
      </c>
    </row>
    <row r="13" spans="1:4" x14ac:dyDescent="0.3">
      <c r="A13" s="329" t="s">
        <v>1152</v>
      </c>
      <c r="B13" s="329"/>
      <c r="C13" s="329"/>
      <c r="D13" s="329"/>
    </row>
    <row r="14" spans="1:4" x14ac:dyDescent="0.3">
      <c r="A14" s="82" t="s">
        <v>1356</v>
      </c>
      <c r="B14" s="82" t="s">
        <v>1014</v>
      </c>
      <c r="C14" s="82" t="s">
        <v>1015</v>
      </c>
      <c r="D14" s="82" t="s">
        <v>1357</v>
      </c>
    </row>
    <row r="15" spans="1:4" x14ac:dyDescent="0.3">
      <c r="A15" s="325" t="s">
        <v>1354</v>
      </c>
      <c r="B15" s="78" t="s">
        <v>1330</v>
      </c>
      <c r="C15" s="78"/>
      <c r="D15" s="63">
        <v>1</v>
      </c>
    </row>
    <row r="16" spans="1:4" x14ac:dyDescent="0.3">
      <c r="A16" s="326"/>
      <c r="B16" s="78" t="s">
        <v>1332</v>
      </c>
      <c r="C16" s="78"/>
      <c r="D16" s="63">
        <v>1</v>
      </c>
    </row>
    <row r="17" spans="1:4" ht="28.8" x14ac:dyDescent="0.3">
      <c r="A17" s="326"/>
      <c r="B17" s="78" t="s">
        <v>1333</v>
      </c>
      <c r="C17" s="78"/>
      <c r="D17" s="63">
        <v>1</v>
      </c>
    </row>
    <row r="18" spans="1:4" ht="28.8" x14ac:dyDescent="0.3">
      <c r="A18" s="326"/>
      <c r="B18" s="78" t="s">
        <v>1334</v>
      </c>
      <c r="C18" s="78"/>
      <c r="D18" s="63">
        <v>1</v>
      </c>
    </row>
    <row r="19" spans="1:4" ht="28.8" x14ac:dyDescent="0.3">
      <c r="A19" s="326"/>
      <c r="B19" s="78" t="s">
        <v>1329</v>
      </c>
      <c r="C19" s="78"/>
      <c r="D19" s="63">
        <v>2</v>
      </c>
    </row>
    <row r="20" spans="1:4" x14ac:dyDescent="0.3">
      <c r="A20" s="326"/>
      <c r="B20" s="78" t="s">
        <v>1328</v>
      </c>
      <c r="C20" s="78"/>
      <c r="D20" s="63">
        <v>3</v>
      </c>
    </row>
    <row r="21" spans="1:4" x14ac:dyDescent="0.3">
      <c r="A21" s="326"/>
      <c r="B21" s="78" t="s">
        <v>1335</v>
      </c>
      <c r="C21" s="78"/>
      <c r="D21" s="63">
        <v>1</v>
      </c>
    </row>
    <row r="22" spans="1:4" x14ac:dyDescent="0.3">
      <c r="A22" s="326"/>
      <c r="B22" s="307" t="s">
        <v>627</v>
      </c>
      <c r="C22" s="78" t="s">
        <v>626</v>
      </c>
      <c r="D22" s="63">
        <v>1</v>
      </c>
    </row>
    <row r="23" spans="1:4" x14ac:dyDescent="0.3">
      <c r="A23" s="326"/>
      <c r="B23" s="308"/>
      <c r="C23" s="78" t="s">
        <v>628</v>
      </c>
      <c r="D23" s="63">
        <v>1</v>
      </c>
    </row>
    <row r="24" spans="1:4" x14ac:dyDescent="0.3">
      <c r="A24" s="323" t="s">
        <v>1355</v>
      </c>
      <c r="B24" s="324"/>
      <c r="C24" s="324"/>
      <c r="D24" s="80">
        <f>SUBTOTAL(9,D15:D23)</f>
        <v>12</v>
      </c>
    </row>
    <row r="25" spans="1:4" x14ac:dyDescent="0.3">
      <c r="A25" s="330" t="s">
        <v>1324</v>
      </c>
      <c r="B25" s="331"/>
      <c r="C25" s="332"/>
      <c r="D25" s="81">
        <f>SUBTOTAL(9,D5:D24)</f>
        <v>15</v>
      </c>
    </row>
  </sheetData>
  <mergeCells count="11">
    <mergeCell ref="A3:D3"/>
    <mergeCell ref="A1:D1"/>
    <mergeCell ref="A9:D9"/>
    <mergeCell ref="A13:D13"/>
    <mergeCell ref="A25:C25"/>
    <mergeCell ref="A12:C12"/>
    <mergeCell ref="A15:A23"/>
    <mergeCell ref="B22:B23"/>
    <mergeCell ref="A24:C24"/>
    <mergeCell ref="A6:C6"/>
    <mergeCell ref="A8:C8"/>
  </mergeCells>
  <conditionalFormatting sqref="A25">
    <cfRule type="containsText" dxfId="29" priority="3" operator="containsText" text="(празно)">
      <formula>NOT(ISERROR(SEARCH("(празно)",A25)))</formula>
    </cfRule>
  </conditionalFormatting>
  <conditionalFormatting sqref="A4:D4 A5:C8 A11:C12 A15:C24 D25">
    <cfRule type="containsText" dxfId="28" priority="4" operator="containsText" text="(празно)">
      <formula>NOT(ISERROR(SEARCH("(празно)",A4)))</formula>
    </cfRule>
  </conditionalFormatting>
  <conditionalFormatting sqref="A10:D10">
    <cfRule type="containsText" dxfId="27" priority="2" operator="containsText" text="(празно)">
      <formula>NOT(ISERROR(SEARCH("(празно)",A10)))</formula>
    </cfRule>
  </conditionalFormatting>
  <conditionalFormatting sqref="A14:D14">
    <cfRule type="containsText" dxfId="26" priority="1" operator="containsText" text="(празно)">
      <formula>NOT(ISERROR(SEARCH("(празно)",A14)))</formula>
    </cfRule>
  </conditionalFormatting>
  <printOptions horizontalCentered="1"/>
  <pageMargins left="0.70866141732283472" right="0.23622047244094491" top="0.47244094488188981" bottom="0.51181102362204722" header="0.31496062992125984" footer="0.19685039370078741"/>
  <pageSetup paperSize="9" scale="98" fitToHeight="0" orientation="portrait" r:id="rId1"/>
  <headerFooter>
    <oddFooter>&amp;C&amp;A&amp;Rстр.&amp;P от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D34"/>
  <sheetViews>
    <sheetView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D35" sqref="D35"/>
    </sheetView>
  </sheetViews>
  <sheetFormatPr baseColWidth="10" defaultColWidth="9.109375" defaultRowHeight="14.4" x14ac:dyDescent="0.3"/>
  <cols>
    <col min="1" max="1" width="26" style="4" customWidth="1"/>
    <col min="2" max="2" width="37" style="65" bestFit="1" customWidth="1"/>
    <col min="3" max="3" width="18.88671875" style="65" bestFit="1" customWidth="1"/>
    <col min="4" max="4" width="12.6640625" style="65" bestFit="1" customWidth="1"/>
    <col min="5" max="16384" width="9.109375" style="65"/>
  </cols>
  <sheetData>
    <row r="1" spans="1:4" ht="18" x14ac:dyDescent="0.3">
      <c r="A1" s="328" t="s">
        <v>1154</v>
      </c>
      <c r="B1" s="328"/>
      <c r="C1" s="328"/>
      <c r="D1" s="328"/>
    </row>
    <row r="3" spans="1:4" x14ac:dyDescent="0.3">
      <c r="A3" s="329" t="s">
        <v>1163</v>
      </c>
      <c r="B3" s="329"/>
      <c r="C3" s="329"/>
      <c r="D3" s="329"/>
    </row>
    <row r="4" spans="1:4" x14ac:dyDescent="0.3">
      <c r="A4" s="82" t="s">
        <v>1356</v>
      </c>
      <c r="B4" s="82" t="s">
        <v>1014</v>
      </c>
      <c r="C4" s="82" t="s">
        <v>1015</v>
      </c>
      <c r="D4" s="82" t="s">
        <v>1357</v>
      </c>
    </row>
    <row r="5" spans="1:4" x14ac:dyDescent="0.3">
      <c r="A5" s="79" t="s">
        <v>190</v>
      </c>
      <c r="B5" s="78"/>
      <c r="C5" s="78"/>
      <c r="D5" s="63">
        <v>2</v>
      </c>
    </row>
    <row r="6" spans="1:4" x14ac:dyDescent="0.3">
      <c r="A6" s="323" t="s">
        <v>1243</v>
      </c>
      <c r="B6" s="324"/>
      <c r="C6" s="324"/>
      <c r="D6" s="80">
        <f>SUBTOTAL(9,D5)</f>
        <v>2</v>
      </c>
    </row>
    <row r="7" spans="1:4" x14ac:dyDescent="0.3">
      <c r="A7" s="79" t="s">
        <v>191</v>
      </c>
      <c r="B7" s="78" t="s">
        <v>1073</v>
      </c>
      <c r="C7" s="78" t="s">
        <v>1083</v>
      </c>
      <c r="D7" s="63">
        <v>2</v>
      </c>
    </row>
    <row r="8" spans="1:4" x14ac:dyDescent="0.3">
      <c r="A8" s="323" t="s">
        <v>1244</v>
      </c>
      <c r="B8" s="324"/>
      <c r="C8" s="324"/>
      <c r="D8" s="80">
        <f>SUBTOTAL(9,D7)</f>
        <v>2</v>
      </c>
    </row>
    <row r="9" spans="1:4" x14ac:dyDescent="0.3">
      <c r="A9" s="327" t="s">
        <v>1151</v>
      </c>
      <c r="B9" s="327"/>
      <c r="C9" s="327"/>
      <c r="D9" s="327"/>
    </row>
    <row r="10" spans="1:4" x14ac:dyDescent="0.3">
      <c r="A10" s="82" t="s">
        <v>1356</v>
      </c>
      <c r="B10" s="82" t="s">
        <v>1014</v>
      </c>
      <c r="C10" s="82" t="s">
        <v>1015</v>
      </c>
      <c r="D10" s="82" t="s">
        <v>1357</v>
      </c>
    </row>
    <row r="11" spans="1:4" ht="28.8" x14ac:dyDescent="0.3">
      <c r="A11" s="79" t="s">
        <v>233</v>
      </c>
      <c r="B11" s="78" t="s">
        <v>1323</v>
      </c>
      <c r="C11" s="78" t="s">
        <v>1126</v>
      </c>
      <c r="D11" s="63">
        <v>1</v>
      </c>
    </row>
    <row r="12" spans="1:4" x14ac:dyDescent="0.3">
      <c r="A12" s="323" t="s">
        <v>1271</v>
      </c>
      <c r="B12" s="324"/>
      <c r="C12" s="324"/>
      <c r="D12" s="80">
        <f>SUBTOTAL(9,D11)</f>
        <v>1</v>
      </c>
    </row>
    <row r="13" spans="1:4" x14ac:dyDescent="0.3">
      <c r="A13" s="327" t="s">
        <v>1058</v>
      </c>
      <c r="B13" s="327"/>
      <c r="C13" s="327"/>
      <c r="D13" s="327"/>
    </row>
    <row r="14" spans="1:4" x14ac:dyDescent="0.3">
      <c r="A14" s="82" t="s">
        <v>1356</v>
      </c>
      <c r="B14" s="82" t="s">
        <v>1014</v>
      </c>
      <c r="C14" s="82" t="s">
        <v>1015</v>
      </c>
      <c r="D14" s="82" t="s">
        <v>1357</v>
      </c>
    </row>
    <row r="15" spans="1:4" ht="28.8" x14ac:dyDescent="0.3">
      <c r="A15" s="79" t="s">
        <v>396</v>
      </c>
      <c r="B15" s="78"/>
      <c r="C15" s="78"/>
      <c r="D15" s="63">
        <v>1</v>
      </c>
    </row>
    <row r="16" spans="1:4" x14ac:dyDescent="0.3">
      <c r="A16" s="323" t="s">
        <v>1351</v>
      </c>
      <c r="B16" s="324"/>
      <c r="C16" s="324"/>
      <c r="D16" s="80">
        <f>SUBTOTAL(9,D15)</f>
        <v>1</v>
      </c>
    </row>
    <row r="17" spans="1:4" x14ac:dyDescent="0.3">
      <c r="A17" s="327" t="s">
        <v>1353</v>
      </c>
      <c r="B17" s="327"/>
      <c r="C17" s="327"/>
      <c r="D17" s="327"/>
    </row>
    <row r="18" spans="1:4" x14ac:dyDescent="0.3">
      <c r="A18" s="82" t="s">
        <v>1356</v>
      </c>
      <c r="B18" s="82" t="s">
        <v>1014</v>
      </c>
      <c r="C18" s="82" t="s">
        <v>1015</v>
      </c>
      <c r="D18" s="82" t="s">
        <v>1357</v>
      </c>
    </row>
    <row r="19" spans="1:4" x14ac:dyDescent="0.3">
      <c r="A19" s="325" t="s">
        <v>201</v>
      </c>
      <c r="B19" s="78" t="s">
        <v>1060</v>
      </c>
      <c r="C19" s="78" t="s">
        <v>1176</v>
      </c>
      <c r="D19" s="63">
        <v>1</v>
      </c>
    </row>
    <row r="20" spans="1:4" x14ac:dyDescent="0.3">
      <c r="A20" s="326"/>
      <c r="B20" s="78" t="s">
        <v>1171</v>
      </c>
      <c r="C20" s="78" t="s">
        <v>1176</v>
      </c>
      <c r="D20" s="63">
        <v>1</v>
      </c>
    </row>
    <row r="21" spans="1:4" x14ac:dyDescent="0.3">
      <c r="A21" s="323" t="s">
        <v>1245</v>
      </c>
      <c r="B21" s="324"/>
      <c r="C21" s="324"/>
      <c r="D21" s="80">
        <f>SUBTOTAL(9,D19:D20)</f>
        <v>2</v>
      </c>
    </row>
    <row r="22" spans="1:4" x14ac:dyDescent="0.3">
      <c r="A22" s="79" t="s">
        <v>1157</v>
      </c>
      <c r="B22" s="78" t="s">
        <v>1167</v>
      </c>
      <c r="C22" s="78"/>
      <c r="D22" s="63">
        <v>1</v>
      </c>
    </row>
    <row r="23" spans="1:4" x14ac:dyDescent="0.3">
      <c r="A23" s="323" t="s">
        <v>1246</v>
      </c>
      <c r="B23" s="324"/>
      <c r="C23" s="324"/>
      <c r="D23" s="80">
        <f>SUBTOTAL(9,D22)</f>
        <v>1</v>
      </c>
    </row>
    <row r="24" spans="1:4" x14ac:dyDescent="0.3">
      <c r="A24" s="327" t="s">
        <v>1152</v>
      </c>
      <c r="B24" s="327"/>
      <c r="C24" s="327"/>
      <c r="D24" s="327"/>
    </row>
    <row r="25" spans="1:4" x14ac:dyDescent="0.3">
      <c r="A25" s="82" t="s">
        <v>1356</v>
      </c>
      <c r="B25" s="82" t="s">
        <v>1014</v>
      </c>
      <c r="C25" s="82" t="s">
        <v>1015</v>
      </c>
      <c r="D25" s="82" t="s">
        <v>1357</v>
      </c>
    </row>
    <row r="26" spans="1:4" x14ac:dyDescent="0.3">
      <c r="A26" s="79" t="s">
        <v>229</v>
      </c>
      <c r="B26" s="78" t="s">
        <v>1323</v>
      </c>
      <c r="C26" s="78"/>
      <c r="D26" s="63">
        <v>1</v>
      </c>
    </row>
    <row r="27" spans="1:4" ht="15" customHeight="1" x14ac:dyDescent="0.3">
      <c r="A27" s="323" t="s">
        <v>1352</v>
      </c>
      <c r="B27" s="324"/>
      <c r="C27" s="324"/>
      <c r="D27" s="80">
        <f>SUBTOTAL(9,D26)</f>
        <v>1</v>
      </c>
    </row>
    <row r="28" spans="1:4" x14ac:dyDescent="0.3">
      <c r="A28" s="327" t="s">
        <v>1158</v>
      </c>
      <c r="B28" s="327"/>
      <c r="C28" s="327"/>
      <c r="D28" s="327"/>
    </row>
    <row r="29" spans="1:4" x14ac:dyDescent="0.3">
      <c r="A29" s="82" t="s">
        <v>1356</v>
      </c>
      <c r="B29" s="82" t="s">
        <v>1014</v>
      </c>
      <c r="C29" s="82" t="s">
        <v>1015</v>
      </c>
      <c r="D29" s="82" t="s">
        <v>1357</v>
      </c>
    </row>
    <row r="30" spans="1:4" x14ac:dyDescent="0.3">
      <c r="A30" s="325" t="s">
        <v>1053</v>
      </c>
      <c r="B30" s="78" t="s">
        <v>1311</v>
      </c>
      <c r="C30" s="78" t="s">
        <v>1313</v>
      </c>
      <c r="D30" s="63">
        <v>1</v>
      </c>
    </row>
    <row r="31" spans="1:4" x14ac:dyDescent="0.3">
      <c r="A31" s="326"/>
      <c r="B31" s="78" t="s">
        <v>1316</v>
      </c>
      <c r="C31" s="78" t="s">
        <v>1317</v>
      </c>
      <c r="D31" s="63">
        <v>1</v>
      </c>
    </row>
    <row r="32" spans="1:4" x14ac:dyDescent="0.3">
      <c r="A32" s="326"/>
      <c r="B32" s="78" t="s">
        <v>1319</v>
      </c>
      <c r="C32" s="78"/>
      <c r="D32" s="63">
        <v>1</v>
      </c>
    </row>
    <row r="33" spans="1:4" x14ac:dyDescent="0.3">
      <c r="A33" s="323" t="s">
        <v>1276</v>
      </c>
      <c r="B33" s="324"/>
      <c r="C33" s="324"/>
      <c r="D33" s="80">
        <f>SUBTOTAL(9,D30:D32)</f>
        <v>3</v>
      </c>
    </row>
    <row r="34" spans="1:4" x14ac:dyDescent="0.3">
      <c r="A34" s="330" t="s">
        <v>1324</v>
      </c>
      <c r="B34" s="331"/>
      <c r="C34" s="332"/>
      <c r="D34" s="81">
        <f>SUBTOTAL(9,D5:D33)</f>
        <v>13</v>
      </c>
    </row>
  </sheetData>
  <mergeCells count="18">
    <mergeCell ref="A1:D1"/>
    <mergeCell ref="A3:D3"/>
    <mergeCell ref="A21:C21"/>
    <mergeCell ref="A34:C34"/>
    <mergeCell ref="A28:D28"/>
    <mergeCell ref="A24:D24"/>
    <mergeCell ref="A30:A32"/>
    <mergeCell ref="A33:C33"/>
    <mergeCell ref="A23:C23"/>
    <mergeCell ref="A27:C27"/>
    <mergeCell ref="A6:C6"/>
    <mergeCell ref="A8:C8"/>
    <mergeCell ref="A12:C12"/>
    <mergeCell ref="A16:C16"/>
    <mergeCell ref="A19:A20"/>
    <mergeCell ref="A17:D17"/>
    <mergeCell ref="A13:D13"/>
    <mergeCell ref="A9:D9"/>
  </mergeCells>
  <conditionalFormatting sqref="A34">
    <cfRule type="containsText" dxfId="25" priority="19" operator="containsText" text="(празно)">
      <formula>NOT(ISERROR(SEARCH("(празно)",A34)))</formula>
    </cfRule>
  </conditionalFormatting>
  <conditionalFormatting sqref="A5:C8">
    <cfRule type="containsText" dxfId="24" priority="8" operator="containsText" text="(празно)">
      <formula>NOT(ISERROR(SEARCH("(празно)",A5)))</formula>
    </cfRule>
  </conditionalFormatting>
  <conditionalFormatting sqref="A11:C12">
    <cfRule type="containsText" dxfId="23" priority="7" operator="containsText" text="(празно)">
      <formula>NOT(ISERROR(SEARCH("(празно)",A11)))</formula>
    </cfRule>
  </conditionalFormatting>
  <conditionalFormatting sqref="A15:C16">
    <cfRule type="containsText" dxfId="22" priority="6" operator="containsText" text="(празно)">
      <formula>NOT(ISERROR(SEARCH("(празно)",A15)))</formula>
    </cfRule>
  </conditionalFormatting>
  <conditionalFormatting sqref="A19:C23">
    <cfRule type="containsText" dxfId="21" priority="5" operator="containsText" text="(празно)">
      <formula>NOT(ISERROR(SEARCH("(празно)",A19)))</formula>
    </cfRule>
  </conditionalFormatting>
  <conditionalFormatting sqref="A26:C27">
    <cfRule type="containsText" dxfId="20" priority="2" operator="containsText" text="(празно)">
      <formula>NOT(ISERROR(SEARCH("(празно)",A26)))</formula>
    </cfRule>
  </conditionalFormatting>
  <conditionalFormatting sqref="A30:C33">
    <cfRule type="containsText" dxfId="19" priority="1" operator="containsText" text="(празно)">
      <formula>NOT(ISERROR(SEARCH("(празно)",A30)))</formula>
    </cfRule>
  </conditionalFormatting>
  <conditionalFormatting sqref="A4:D4 D34">
    <cfRule type="containsText" dxfId="18" priority="20" operator="containsText" text="(празно)">
      <formula>NOT(ISERROR(SEARCH("(празно)",A4)))</formula>
    </cfRule>
  </conditionalFormatting>
  <conditionalFormatting sqref="A10:D10">
    <cfRule type="containsText" dxfId="17" priority="14" operator="containsText" text="(празно)">
      <formula>NOT(ISERROR(SEARCH("(празно)",A10)))</formula>
    </cfRule>
  </conditionalFormatting>
  <conditionalFormatting sqref="A14:D14">
    <cfRule type="containsText" dxfId="16" priority="18" operator="containsText" text="(празно)">
      <formula>NOT(ISERROR(SEARCH("(празно)",A14)))</formula>
    </cfRule>
  </conditionalFormatting>
  <conditionalFormatting sqref="A18:D18">
    <cfRule type="containsText" dxfId="15" priority="17" operator="containsText" text="(празно)">
      <formula>NOT(ISERROR(SEARCH("(празно)",A18)))</formula>
    </cfRule>
  </conditionalFormatting>
  <conditionalFormatting sqref="A25:D25">
    <cfRule type="containsText" dxfId="14" priority="4" operator="containsText" text="(празно)">
      <formula>NOT(ISERROR(SEARCH("(празно)",A25)))</formula>
    </cfRule>
  </conditionalFormatting>
  <conditionalFormatting sqref="A29:D29">
    <cfRule type="containsText" dxfId="13" priority="11" operator="containsText" text="(празно)">
      <formula>NOT(ISERROR(SEARCH("(празно)",A29)))</formula>
    </cfRule>
  </conditionalFormatting>
  <printOptions horizontalCentered="1"/>
  <pageMargins left="0.70866141732283472" right="0.23622047244094491" top="0.47244094488188981" bottom="0.51181102362204722" header="0.31496062992125984" footer="0.19685039370078741"/>
  <pageSetup paperSize="9" scale="98" fitToHeight="0" orientation="portrait" r:id="rId1"/>
  <headerFooter>
    <oddFooter>&amp;C&amp;A&amp;Rстр.&amp;P от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D131"/>
  <sheetViews>
    <sheetView workbookViewId="0">
      <pane xSplit="4" ySplit="2" topLeftCell="E109" activePane="bottomRight" state="frozen"/>
      <selection pane="topRight" activeCell="E1" sqref="E1"/>
      <selection pane="bottomLeft" activeCell="A3" sqref="A3"/>
      <selection pane="bottomRight" activeCell="G129" sqref="G129"/>
    </sheetView>
  </sheetViews>
  <sheetFormatPr baseColWidth="10" defaultColWidth="9.109375" defaultRowHeight="14.4" x14ac:dyDescent="0.3"/>
  <cols>
    <col min="1" max="1" width="19.6640625" style="4" customWidth="1"/>
    <col min="2" max="2" width="28.6640625" style="65" customWidth="1"/>
    <col min="3" max="3" width="34.6640625" style="65" customWidth="1"/>
    <col min="4" max="4" width="12.6640625" style="65" bestFit="1" customWidth="1"/>
    <col min="5" max="16384" width="9.109375" style="65"/>
  </cols>
  <sheetData>
    <row r="1" spans="1:4" ht="18" x14ac:dyDescent="0.3">
      <c r="A1" s="328" t="s">
        <v>1149</v>
      </c>
      <c r="B1" s="328"/>
      <c r="C1" s="328"/>
      <c r="D1" s="328"/>
    </row>
    <row r="3" spans="1:4" x14ac:dyDescent="0.3">
      <c r="A3" s="329" t="s">
        <v>1163</v>
      </c>
      <c r="B3" s="329"/>
      <c r="C3" s="329"/>
      <c r="D3" s="329"/>
    </row>
    <row r="4" spans="1:4" x14ac:dyDescent="0.3">
      <c r="A4" s="82" t="s">
        <v>1356</v>
      </c>
      <c r="B4" s="82" t="s">
        <v>1014</v>
      </c>
      <c r="C4" s="82" t="s">
        <v>1015</v>
      </c>
      <c r="D4" s="82" t="s">
        <v>1357</v>
      </c>
    </row>
    <row r="5" spans="1:4" x14ac:dyDescent="0.3">
      <c r="A5" s="325" t="s">
        <v>190</v>
      </c>
      <c r="B5" s="78" t="s">
        <v>1123</v>
      </c>
      <c r="C5" s="78" t="s">
        <v>1049</v>
      </c>
      <c r="D5" s="63">
        <v>2</v>
      </c>
    </row>
    <row r="6" spans="1:4" ht="28.8" x14ac:dyDescent="0.3">
      <c r="A6" s="326"/>
      <c r="B6" s="307" t="s">
        <v>6</v>
      </c>
      <c r="C6" s="78" t="s">
        <v>1072</v>
      </c>
      <c r="D6" s="63">
        <v>2</v>
      </c>
    </row>
    <row r="7" spans="1:4" ht="28.8" x14ac:dyDescent="0.3">
      <c r="A7" s="326"/>
      <c r="B7" s="308"/>
      <c r="C7" s="78" t="s">
        <v>1050</v>
      </c>
      <c r="D7" s="63">
        <v>6</v>
      </c>
    </row>
    <row r="8" spans="1:4" ht="28.8" x14ac:dyDescent="0.3">
      <c r="A8" s="326"/>
      <c r="B8" s="308"/>
      <c r="C8" s="78" t="s">
        <v>1137</v>
      </c>
      <c r="D8" s="63">
        <v>1</v>
      </c>
    </row>
    <row r="9" spans="1:4" ht="28.8" x14ac:dyDescent="0.3">
      <c r="A9" s="326"/>
      <c r="B9" s="308"/>
      <c r="C9" s="78" t="s">
        <v>1138</v>
      </c>
      <c r="D9" s="63">
        <v>1</v>
      </c>
    </row>
    <row r="10" spans="1:4" x14ac:dyDescent="0.3">
      <c r="A10" s="326"/>
      <c r="B10" s="308"/>
      <c r="C10" s="78" t="s">
        <v>1084</v>
      </c>
      <c r="D10" s="63">
        <v>1</v>
      </c>
    </row>
    <row r="11" spans="1:4" ht="28.8" x14ac:dyDescent="0.3">
      <c r="A11" s="326"/>
      <c r="B11" s="78" t="s">
        <v>1117</v>
      </c>
      <c r="C11" s="78" t="s">
        <v>1050</v>
      </c>
      <c r="D11" s="63">
        <v>1</v>
      </c>
    </row>
    <row r="12" spans="1:4" x14ac:dyDescent="0.3">
      <c r="A12" s="326"/>
      <c r="B12" s="78" t="s">
        <v>1107</v>
      </c>
      <c r="C12" s="78" t="s">
        <v>1106</v>
      </c>
      <c r="D12" s="63">
        <v>1</v>
      </c>
    </row>
    <row r="13" spans="1:4" x14ac:dyDescent="0.3">
      <c r="A13" s="326"/>
      <c r="B13" s="307"/>
      <c r="C13" s="78" t="s">
        <v>1048</v>
      </c>
      <c r="D13" s="63">
        <v>7</v>
      </c>
    </row>
    <row r="14" spans="1:4" x14ac:dyDescent="0.3">
      <c r="A14" s="326"/>
      <c r="B14" s="308"/>
      <c r="C14" s="78" t="s">
        <v>1091</v>
      </c>
      <c r="D14" s="63">
        <v>1</v>
      </c>
    </row>
    <row r="15" spans="1:4" x14ac:dyDescent="0.3">
      <c r="A15" s="326"/>
      <c r="B15" s="308"/>
      <c r="C15" s="78" t="s">
        <v>1049</v>
      </c>
      <c r="D15" s="63">
        <v>18</v>
      </c>
    </row>
    <row r="16" spans="1:4" x14ac:dyDescent="0.3">
      <c r="A16" s="326"/>
      <c r="B16" s="308"/>
      <c r="C16" s="78" t="s">
        <v>1106</v>
      </c>
      <c r="D16" s="63">
        <v>6</v>
      </c>
    </row>
    <row r="17" spans="1:4" x14ac:dyDescent="0.3">
      <c r="A17" s="326"/>
      <c r="B17" s="308"/>
      <c r="C17" s="78"/>
      <c r="D17" s="63">
        <v>103</v>
      </c>
    </row>
    <row r="18" spans="1:4" x14ac:dyDescent="0.3">
      <c r="A18" s="323" t="s">
        <v>1243</v>
      </c>
      <c r="B18" s="324"/>
      <c r="C18" s="324"/>
      <c r="D18" s="80">
        <f>SUBTOTAL(9,D5:D17)</f>
        <v>150</v>
      </c>
    </row>
    <row r="19" spans="1:4" x14ac:dyDescent="0.3">
      <c r="A19" s="325" t="s">
        <v>191</v>
      </c>
      <c r="B19" s="307" t="s">
        <v>1102</v>
      </c>
      <c r="C19" s="78" t="s">
        <v>1074</v>
      </c>
      <c r="D19" s="63">
        <v>1</v>
      </c>
    </row>
    <row r="20" spans="1:4" x14ac:dyDescent="0.3">
      <c r="A20" s="326"/>
      <c r="B20" s="308"/>
      <c r="C20" s="78" t="s">
        <v>1083</v>
      </c>
      <c r="D20" s="63">
        <v>4</v>
      </c>
    </row>
    <row r="21" spans="1:4" x14ac:dyDescent="0.3">
      <c r="A21" s="326"/>
      <c r="B21" s="307" t="s">
        <v>1100</v>
      </c>
      <c r="C21" s="78" t="s">
        <v>1074</v>
      </c>
      <c r="D21" s="63">
        <v>1</v>
      </c>
    </row>
    <row r="22" spans="1:4" x14ac:dyDescent="0.3">
      <c r="A22" s="326"/>
      <c r="B22" s="308"/>
      <c r="C22" s="78" t="s">
        <v>1083</v>
      </c>
      <c r="D22" s="63">
        <v>5</v>
      </c>
    </row>
    <row r="23" spans="1:4" x14ac:dyDescent="0.3">
      <c r="A23" s="326"/>
      <c r="B23" s="307" t="s">
        <v>1073</v>
      </c>
      <c r="C23" s="78" t="s">
        <v>1096</v>
      </c>
      <c r="D23" s="63">
        <v>1</v>
      </c>
    </row>
    <row r="24" spans="1:4" x14ac:dyDescent="0.3">
      <c r="A24" s="326"/>
      <c r="B24" s="308"/>
      <c r="C24" s="78" t="s">
        <v>1074</v>
      </c>
      <c r="D24" s="63">
        <v>4</v>
      </c>
    </row>
    <row r="25" spans="1:4" x14ac:dyDescent="0.3">
      <c r="A25" s="326"/>
      <c r="B25" s="308"/>
      <c r="C25" s="78" t="s">
        <v>1083</v>
      </c>
      <c r="D25" s="63">
        <v>14</v>
      </c>
    </row>
    <row r="26" spans="1:4" x14ac:dyDescent="0.3">
      <c r="A26" s="326"/>
      <c r="B26" s="78" t="s">
        <v>1105</v>
      </c>
      <c r="C26" s="78" t="s">
        <v>1074</v>
      </c>
      <c r="D26" s="63">
        <v>3</v>
      </c>
    </row>
    <row r="27" spans="1:4" x14ac:dyDescent="0.3">
      <c r="A27" s="326"/>
      <c r="B27" s="78" t="s">
        <v>1214</v>
      </c>
      <c r="C27" s="78" t="s">
        <v>1096</v>
      </c>
      <c r="D27" s="63">
        <v>1</v>
      </c>
    </row>
    <row r="28" spans="1:4" x14ac:dyDescent="0.3">
      <c r="A28" s="326"/>
      <c r="B28" s="78" t="s">
        <v>1215</v>
      </c>
      <c r="C28" s="78" t="s">
        <v>1096</v>
      </c>
      <c r="D28" s="63">
        <v>1</v>
      </c>
    </row>
    <row r="29" spans="1:4" x14ac:dyDescent="0.3">
      <c r="A29" s="326"/>
      <c r="B29" s="78" t="s">
        <v>1211</v>
      </c>
      <c r="C29" s="78" t="s">
        <v>1083</v>
      </c>
      <c r="D29" s="63">
        <v>1</v>
      </c>
    </row>
    <row r="30" spans="1:4" ht="28.8" x14ac:dyDescent="0.3">
      <c r="A30" s="326"/>
      <c r="B30" s="78" t="s">
        <v>1213</v>
      </c>
      <c r="C30" s="78" t="s">
        <v>1098</v>
      </c>
      <c r="D30" s="63">
        <v>4</v>
      </c>
    </row>
    <row r="31" spans="1:4" x14ac:dyDescent="0.3">
      <c r="A31" s="323" t="s">
        <v>1244</v>
      </c>
      <c r="B31" s="324"/>
      <c r="C31" s="324"/>
      <c r="D31" s="80">
        <f>SUBTOTAL(9,D19:D30)</f>
        <v>40</v>
      </c>
    </row>
    <row r="32" spans="1:4" x14ac:dyDescent="0.3">
      <c r="A32" s="79" t="s">
        <v>44</v>
      </c>
      <c r="B32" s="78" t="s">
        <v>1129</v>
      </c>
      <c r="C32" s="78"/>
      <c r="D32" s="63">
        <v>1</v>
      </c>
    </row>
    <row r="33" spans="1:4" x14ac:dyDescent="0.3">
      <c r="A33" s="323" t="s">
        <v>1327</v>
      </c>
      <c r="B33" s="324"/>
      <c r="C33" s="324"/>
      <c r="D33" s="80">
        <f>SUBTOTAL(9,D32)</f>
        <v>1</v>
      </c>
    </row>
    <row r="34" spans="1:4" x14ac:dyDescent="0.3">
      <c r="A34" s="79" t="s">
        <v>221</v>
      </c>
      <c r="B34" s="78" t="s">
        <v>1144</v>
      </c>
      <c r="C34" s="78"/>
      <c r="D34" s="63">
        <v>1</v>
      </c>
    </row>
    <row r="35" spans="1:4" x14ac:dyDescent="0.3">
      <c r="A35" s="323" t="s">
        <v>1247</v>
      </c>
      <c r="B35" s="324"/>
      <c r="C35" s="324"/>
      <c r="D35" s="80">
        <f>SUBTOTAL(9,D34)</f>
        <v>1</v>
      </c>
    </row>
    <row r="36" spans="1:4" x14ac:dyDescent="0.3">
      <c r="A36" s="327" t="s">
        <v>1151</v>
      </c>
      <c r="B36" s="327"/>
      <c r="C36" s="327"/>
      <c r="D36" s="327"/>
    </row>
    <row r="37" spans="1:4" x14ac:dyDescent="0.3">
      <c r="A37" s="82" t="s">
        <v>1356</v>
      </c>
      <c r="B37" s="82" t="s">
        <v>1014</v>
      </c>
      <c r="C37" s="82" t="s">
        <v>1015</v>
      </c>
      <c r="D37" s="82" t="s">
        <v>1357</v>
      </c>
    </row>
    <row r="38" spans="1:4" x14ac:dyDescent="0.3">
      <c r="A38" s="325" t="s">
        <v>212</v>
      </c>
      <c r="B38" s="78" t="s">
        <v>1217</v>
      </c>
      <c r="C38" s="78"/>
      <c r="D38" s="63">
        <v>3</v>
      </c>
    </row>
    <row r="39" spans="1:4" x14ac:dyDescent="0.3">
      <c r="A39" s="326"/>
      <c r="B39" s="78" t="s">
        <v>1218</v>
      </c>
      <c r="C39" s="78" t="s">
        <v>1068</v>
      </c>
      <c r="D39" s="63">
        <v>3</v>
      </c>
    </row>
    <row r="40" spans="1:4" x14ac:dyDescent="0.3">
      <c r="A40" s="326"/>
      <c r="B40" s="78" t="s">
        <v>1216</v>
      </c>
      <c r="C40" s="78"/>
      <c r="D40" s="63">
        <v>1</v>
      </c>
    </row>
    <row r="41" spans="1:4" x14ac:dyDescent="0.3">
      <c r="A41" s="323" t="s">
        <v>1261</v>
      </c>
      <c r="B41" s="324"/>
      <c r="C41" s="324"/>
      <c r="D41" s="80">
        <f>SUBTOTAL(9,D38:D40)</f>
        <v>7</v>
      </c>
    </row>
    <row r="42" spans="1:4" x14ac:dyDescent="0.3">
      <c r="A42" s="325" t="s">
        <v>115</v>
      </c>
      <c r="B42" s="78" t="s">
        <v>565</v>
      </c>
      <c r="C42" s="78"/>
      <c r="D42" s="63">
        <v>1</v>
      </c>
    </row>
    <row r="43" spans="1:4" x14ac:dyDescent="0.3">
      <c r="A43" s="326"/>
      <c r="B43" s="78" t="s">
        <v>1070</v>
      </c>
      <c r="C43" s="78"/>
      <c r="D43" s="63">
        <v>1</v>
      </c>
    </row>
    <row r="44" spans="1:4" x14ac:dyDescent="0.3">
      <c r="A44" s="326"/>
      <c r="B44" s="78"/>
      <c r="C44" s="78"/>
      <c r="D44" s="63">
        <v>4</v>
      </c>
    </row>
    <row r="45" spans="1:4" x14ac:dyDescent="0.3">
      <c r="A45" s="323" t="s">
        <v>1262</v>
      </c>
      <c r="B45" s="324"/>
      <c r="C45" s="324"/>
      <c r="D45" s="80">
        <f>SUBTOTAL(9,D42:D44)</f>
        <v>6</v>
      </c>
    </row>
    <row r="46" spans="1:4" x14ac:dyDescent="0.3">
      <c r="A46" s="325" t="s">
        <v>194</v>
      </c>
      <c r="B46" s="307" t="s">
        <v>1087</v>
      </c>
      <c r="C46" s="78" t="s">
        <v>1229</v>
      </c>
      <c r="D46" s="63">
        <v>6</v>
      </c>
    </row>
    <row r="47" spans="1:4" x14ac:dyDescent="0.3">
      <c r="A47" s="326"/>
      <c r="B47" s="308"/>
      <c r="C47" s="78" t="s">
        <v>1233</v>
      </c>
      <c r="D47" s="63">
        <v>5</v>
      </c>
    </row>
    <row r="48" spans="1:4" x14ac:dyDescent="0.3">
      <c r="A48" s="326"/>
      <c r="B48" s="78" t="s">
        <v>1133</v>
      </c>
      <c r="C48" s="78" t="s">
        <v>1088</v>
      </c>
      <c r="D48" s="63">
        <v>3</v>
      </c>
    </row>
    <row r="49" spans="1:4" x14ac:dyDescent="0.3">
      <c r="A49" s="326"/>
      <c r="B49" s="78" t="s">
        <v>1109</v>
      </c>
      <c r="C49" s="78"/>
      <c r="D49" s="63">
        <v>1</v>
      </c>
    </row>
    <row r="50" spans="1:4" x14ac:dyDescent="0.3">
      <c r="A50" s="323" t="s">
        <v>1263</v>
      </c>
      <c r="B50" s="324"/>
      <c r="C50" s="324"/>
      <c r="D50" s="80">
        <f>SUBTOTAL(9,D46:D49)</f>
        <v>15</v>
      </c>
    </row>
    <row r="51" spans="1:4" x14ac:dyDescent="0.3">
      <c r="A51" s="325" t="s">
        <v>195</v>
      </c>
      <c r="B51" s="78" t="s">
        <v>1062</v>
      </c>
      <c r="C51" s="78" t="s">
        <v>1239</v>
      </c>
      <c r="D51" s="63">
        <v>3</v>
      </c>
    </row>
    <row r="52" spans="1:4" ht="28.8" x14ac:dyDescent="0.3">
      <c r="A52" s="326"/>
      <c r="B52" s="78" t="s">
        <v>1111</v>
      </c>
      <c r="C52" s="78" t="s">
        <v>1238</v>
      </c>
      <c r="D52" s="63">
        <v>1</v>
      </c>
    </row>
    <row r="53" spans="1:4" x14ac:dyDescent="0.3">
      <c r="A53" s="326"/>
      <c r="B53" s="78" t="s">
        <v>1140</v>
      </c>
      <c r="C53" s="78" t="s">
        <v>1239</v>
      </c>
      <c r="D53" s="63">
        <v>1</v>
      </c>
    </row>
    <row r="54" spans="1:4" x14ac:dyDescent="0.3">
      <c r="A54" s="326"/>
      <c r="B54" s="307" t="s">
        <v>1078</v>
      </c>
      <c r="C54" s="78" t="s">
        <v>1236</v>
      </c>
      <c r="D54" s="63">
        <v>1</v>
      </c>
    </row>
    <row r="55" spans="1:4" x14ac:dyDescent="0.3">
      <c r="A55" s="326"/>
      <c r="B55" s="308"/>
      <c r="C55" s="78" t="s">
        <v>1239</v>
      </c>
      <c r="D55" s="63">
        <v>3</v>
      </c>
    </row>
    <row r="56" spans="1:4" x14ac:dyDescent="0.3">
      <c r="A56" s="326"/>
      <c r="B56" s="78" t="s">
        <v>1237</v>
      </c>
      <c r="C56" s="78" t="s">
        <v>1236</v>
      </c>
      <c r="D56" s="63">
        <v>1</v>
      </c>
    </row>
    <row r="57" spans="1:4" x14ac:dyDescent="0.3">
      <c r="A57" s="323" t="s">
        <v>1264</v>
      </c>
      <c r="B57" s="324"/>
      <c r="C57" s="324"/>
      <c r="D57" s="80">
        <f>SUBTOTAL(9,D51:D56)</f>
        <v>10</v>
      </c>
    </row>
    <row r="58" spans="1:4" x14ac:dyDescent="0.3">
      <c r="A58" s="325" t="s">
        <v>43</v>
      </c>
      <c r="B58" s="307" t="s">
        <v>1064</v>
      </c>
      <c r="C58" s="78" t="s">
        <v>1085</v>
      </c>
      <c r="D58" s="63">
        <v>1</v>
      </c>
    </row>
    <row r="59" spans="1:4" x14ac:dyDescent="0.3">
      <c r="A59" s="326"/>
      <c r="B59" s="308"/>
      <c r="C59" s="78" t="s">
        <v>1065</v>
      </c>
      <c r="D59" s="63">
        <v>3</v>
      </c>
    </row>
    <row r="60" spans="1:4" x14ac:dyDescent="0.3">
      <c r="A60" s="326"/>
      <c r="B60" s="78" t="s">
        <v>1119</v>
      </c>
      <c r="C60" s="78" t="s">
        <v>1085</v>
      </c>
      <c r="D60" s="63">
        <v>1</v>
      </c>
    </row>
    <row r="61" spans="1:4" x14ac:dyDescent="0.3">
      <c r="A61" s="326"/>
      <c r="B61" s="78" t="s">
        <v>1120</v>
      </c>
      <c r="C61" s="78" t="s">
        <v>1085</v>
      </c>
      <c r="D61" s="63">
        <v>1</v>
      </c>
    </row>
    <row r="62" spans="1:4" x14ac:dyDescent="0.3">
      <c r="A62" s="323" t="s">
        <v>1265</v>
      </c>
      <c r="B62" s="324"/>
      <c r="C62" s="324"/>
      <c r="D62" s="80">
        <f>SUBTOTAL(9,D58:D61)</f>
        <v>6</v>
      </c>
    </row>
    <row r="63" spans="1:4" x14ac:dyDescent="0.3">
      <c r="A63" s="325" t="s">
        <v>197</v>
      </c>
      <c r="B63" s="307"/>
      <c r="C63" s="78" t="s">
        <v>1134</v>
      </c>
      <c r="D63" s="63">
        <v>2</v>
      </c>
    </row>
    <row r="64" spans="1:4" x14ac:dyDescent="0.3">
      <c r="A64" s="326"/>
      <c r="B64" s="308"/>
      <c r="C64" s="78" t="s">
        <v>1082</v>
      </c>
      <c r="D64" s="63">
        <v>1</v>
      </c>
    </row>
    <row r="65" spans="1:4" x14ac:dyDescent="0.3">
      <c r="A65" s="323" t="s">
        <v>1266</v>
      </c>
      <c r="B65" s="324"/>
      <c r="C65" s="324"/>
      <c r="D65" s="80">
        <f>SUBTOTAL(9,D63:D64)</f>
        <v>3</v>
      </c>
    </row>
    <row r="66" spans="1:4" x14ac:dyDescent="0.3">
      <c r="A66" s="79" t="s">
        <v>199</v>
      </c>
      <c r="B66" s="78"/>
      <c r="C66" s="78"/>
      <c r="D66" s="63">
        <v>1</v>
      </c>
    </row>
    <row r="67" spans="1:4" x14ac:dyDescent="0.3">
      <c r="A67" s="323" t="s">
        <v>1350</v>
      </c>
      <c r="B67" s="324"/>
      <c r="C67" s="324"/>
      <c r="D67" s="80">
        <f>SUBTOTAL(9,D66)</f>
        <v>1</v>
      </c>
    </row>
    <row r="68" spans="1:4" x14ac:dyDescent="0.3">
      <c r="A68" s="79" t="s">
        <v>204</v>
      </c>
      <c r="B68" s="78"/>
      <c r="C68" s="78"/>
      <c r="D68" s="63">
        <v>2</v>
      </c>
    </row>
    <row r="69" spans="1:4" x14ac:dyDescent="0.3">
      <c r="A69" s="323" t="s">
        <v>1269</v>
      </c>
      <c r="B69" s="324"/>
      <c r="C69" s="324"/>
      <c r="D69" s="80">
        <f>SUBTOTAL(9,D68)</f>
        <v>2</v>
      </c>
    </row>
    <row r="70" spans="1:4" ht="28.8" x14ac:dyDescent="0.3">
      <c r="A70" s="79" t="s">
        <v>233</v>
      </c>
      <c r="B70" s="78" t="s">
        <v>1323</v>
      </c>
      <c r="C70" s="78" t="s">
        <v>1126</v>
      </c>
      <c r="D70" s="63">
        <v>4</v>
      </c>
    </row>
    <row r="71" spans="1:4" x14ac:dyDescent="0.3">
      <c r="A71" s="323" t="s">
        <v>1271</v>
      </c>
      <c r="B71" s="324"/>
      <c r="C71" s="324"/>
      <c r="D71" s="80">
        <f>SUBTOTAL(9,D70)</f>
        <v>4</v>
      </c>
    </row>
    <row r="72" spans="1:4" x14ac:dyDescent="0.3">
      <c r="A72" s="327" t="s">
        <v>1058</v>
      </c>
      <c r="B72" s="327"/>
      <c r="C72" s="327"/>
      <c r="D72" s="327"/>
    </row>
    <row r="73" spans="1:4" x14ac:dyDescent="0.3">
      <c r="A73" s="82" t="s">
        <v>1356</v>
      </c>
      <c r="B73" s="82" t="s">
        <v>1014</v>
      </c>
      <c r="C73" s="82" t="s">
        <v>1015</v>
      </c>
      <c r="D73" s="82" t="s">
        <v>1357</v>
      </c>
    </row>
    <row r="74" spans="1:4" x14ac:dyDescent="0.3">
      <c r="A74" s="325" t="s">
        <v>192</v>
      </c>
      <c r="B74" s="307"/>
      <c r="C74" s="78" t="s">
        <v>1088</v>
      </c>
      <c r="D74" s="63">
        <v>1</v>
      </c>
    </row>
    <row r="75" spans="1:4" x14ac:dyDescent="0.3">
      <c r="A75" s="326"/>
      <c r="B75" s="308"/>
      <c r="C75" s="78"/>
      <c r="D75" s="63">
        <v>6</v>
      </c>
    </row>
    <row r="76" spans="1:4" x14ac:dyDescent="0.3">
      <c r="A76" s="323" t="s">
        <v>1249</v>
      </c>
      <c r="B76" s="324"/>
      <c r="C76" s="324"/>
      <c r="D76" s="80">
        <f>SUBTOTAL(9,D74:D75)</f>
        <v>7</v>
      </c>
    </row>
    <row r="77" spans="1:4" x14ac:dyDescent="0.3">
      <c r="A77" s="79" t="s">
        <v>213</v>
      </c>
      <c r="B77" s="78" t="s">
        <v>1068</v>
      </c>
      <c r="C77" s="78"/>
      <c r="D77" s="63">
        <v>4</v>
      </c>
    </row>
    <row r="78" spans="1:4" x14ac:dyDescent="0.3">
      <c r="A78" s="323" t="s">
        <v>1250</v>
      </c>
      <c r="B78" s="324"/>
      <c r="C78" s="324"/>
      <c r="D78" s="80">
        <f>SUBTOTAL(9,D77)</f>
        <v>4</v>
      </c>
    </row>
    <row r="79" spans="1:4" x14ac:dyDescent="0.3">
      <c r="A79" s="325" t="s">
        <v>193</v>
      </c>
      <c r="B79" s="78" t="s">
        <v>1142</v>
      </c>
      <c r="C79" s="78" t="s">
        <v>1095</v>
      </c>
      <c r="D79" s="63">
        <v>3</v>
      </c>
    </row>
    <row r="80" spans="1:4" ht="28.8" x14ac:dyDescent="0.3">
      <c r="A80" s="326"/>
      <c r="B80" s="78" t="s">
        <v>1108</v>
      </c>
      <c r="C80" s="78" t="s">
        <v>1095</v>
      </c>
      <c r="D80" s="63">
        <v>2</v>
      </c>
    </row>
    <row r="81" spans="1:4" ht="28.8" x14ac:dyDescent="0.3">
      <c r="A81" s="326"/>
      <c r="B81" s="78" t="s">
        <v>1141</v>
      </c>
      <c r="C81" s="78" t="s">
        <v>1228</v>
      </c>
      <c r="D81" s="63">
        <v>1</v>
      </c>
    </row>
    <row r="82" spans="1:4" x14ac:dyDescent="0.3">
      <c r="A82" s="326"/>
      <c r="B82" s="78" t="s">
        <v>1224</v>
      </c>
      <c r="C82" s="78" t="s">
        <v>1228</v>
      </c>
      <c r="D82" s="63">
        <v>1</v>
      </c>
    </row>
    <row r="83" spans="1:4" x14ac:dyDescent="0.3">
      <c r="A83" s="323" t="s">
        <v>1251</v>
      </c>
      <c r="B83" s="324"/>
      <c r="C83" s="324"/>
      <c r="D83" s="80">
        <f>SUBTOTAL(9,D79:D82)</f>
        <v>7</v>
      </c>
    </row>
    <row r="84" spans="1:4" x14ac:dyDescent="0.3">
      <c r="A84" s="325" t="s">
        <v>196</v>
      </c>
      <c r="B84" s="78"/>
      <c r="C84" s="78"/>
      <c r="D84" s="63">
        <v>7</v>
      </c>
    </row>
    <row r="85" spans="1:4" x14ac:dyDescent="0.3">
      <c r="A85" s="326"/>
      <c r="B85" s="78" t="s">
        <v>1127</v>
      </c>
      <c r="C85" s="78"/>
      <c r="D85" s="63">
        <v>1</v>
      </c>
    </row>
    <row r="86" spans="1:4" x14ac:dyDescent="0.3">
      <c r="A86" s="323" t="s">
        <v>1252</v>
      </c>
      <c r="B86" s="324"/>
      <c r="C86" s="324"/>
      <c r="D86" s="80">
        <f>SUBTOTAL(9,D84:D85)</f>
        <v>8</v>
      </c>
    </row>
    <row r="87" spans="1:4" ht="28.8" x14ac:dyDescent="0.3">
      <c r="A87" s="79" t="s">
        <v>198</v>
      </c>
      <c r="B87" s="78"/>
      <c r="C87" s="78"/>
      <c r="D87" s="63">
        <v>1</v>
      </c>
    </row>
    <row r="88" spans="1:4" x14ac:dyDescent="0.3">
      <c r="A88" s="323" t="s">
        <v>1349</v>
      </c>
      <c r="B88" s="324"/>
      <c r="C88" s="324"/>
      <c r="D88" s="80">
        <f>SUBTOTAL(9,D87)</f>
        <v>1</v>
      </c>
    </row>
    <row r="89" spans="1:4" ht="28.8" x14ac:dyDescent="0.3">
      <c r="A89" s="79" t="s">
        <v>214</v>
      </c>
      <c r="B89" s="78"/>
      <c r="C89" s="78"/>
      <c r="D89" s="63">
        <v>1</v>
      </c>
    </row>
    <row r="90" spans="1:4" x14ac:dyDescent="0.3">
      <c r="A90" s="323" t="s">
        <v>1253</v>
      </c>
      <c r="B90" s="324"/>
      <c r="C90" s="324"/>
      <c r="D90" s="80">
        <f>SUBTOTAL(9,D89)</f>
        <v>1</v>
      </c>
    </row>
    <row r="91" spans="1:4" x14ac:dyDescent="0.3">
      <c r="A91" s="325" t="s">
        <v>205</v>
      </c>
      <c r="B91" s="78" t="s">
        <v>1347</v>
      </c>
      <c r="C91" s="78" t="s">
        <v>1301</v>
      </c>
      <c r="D91" s="63">
        <v>1</v>
      </c>
    </row>
    <row r="92" spans="1:4" x14ac:dyDescent="0.3">
      <c r="A92" s="326"/>
      <c r="B92" s="307" t="s">
        <v>1346</v>
      </c>
      <c r="C92" s="78" t="s">
        <v>1301</v>
      </c>
      <c r="D92" s="63">
        <v>2</v>
      </c>
    </row>
    <row r="93" spans="1:4" x14ac:dyDescent="0.3">
      <c r="A93" s="326"/>
      <c r="B93" s="308"/>
      <c r="C93" s="78" t="s">
        <v>1300</v>
      </c>
      <c r="D93" s="63">
        <v>2</v>
      </c>
    </row>
    <row r="94" spans="1:4" x14ac:dyDescent="0.3">
      <c r="A94" s="323" t="s">
        <v>1254</v>
      </c>
      <c r="B94" s="324"/>
      <c r="C94" s="324"/>
      <c r="D94" s="80">
        <f>SUBTOTAL(9,D91:D93)</f>
        <v>5</v>
      </c>
    </row>
    <row r="95" spans="1:4" ht="28.8" x14ac:dyDescent="0.3">
      <c r="A95" s="79" t="s">
        <v>258</v>
      </c>
      <c r="B95" s="78"/>
      <c r="C95" s="78" t="s">
        <v>1146</v>
      </c>
      <c r="D95" s="63">
        <v>1</v>
      </c>
    </row>
    <row r="96" spans="1:4" x14ac:dyDescent="0.3">
      <c r="A96" s="323" t="s">
        <v>1340</v>
      </c>
      <c r="B96" s="324"/>
      <c r="C96" s="324"/>
      <c r="D96" s="80">
        <f>SUBTOTAL(9,D95)</f>
        <v>1</v>
      </c>
    </row>
    <row r="97" spans="1:4" ht="43.2" x14ac:dyDescent="0.3">
      <c r="A97" s="79" t="s">
        <v>230</v>
      </c>
      <c r="B97" s="78"/>
      <c r="C97" s="78"/>
      <c r="D97" s="63">
        <v>1</v>
      </c>
    </row>
    <row r="98" spans="1:4" x14ac:dyDescent="0.3">
      <c r="A98" s="323" t="s">
        <v>1259</v>
      </c>
      <c r="B98" s="324"/>
      <c r="C98" s="324"/>
      <c r="D98" s="80">
        <f>SUBTOTAL(9,D97)</f>
        <v>1</v>
      </c>
    </row>
    <row r="99" spans="1:4" ht="28.8" x14ac:dyDescent="0.3">
      <c r="A99" s="79" t="s">
        <v>621</v>
      </c>
      <c r="B99" s="78"/>
      <c r="C99" s="78"/>
      <c r="D99" s="63">
        <v>2</v>
      </c>
    </row>
    <row r="100" spans="1:4" x14ac:dyDescent="0.3">
      <c r="A100" s="323" t="s">
        <v>1260</v>
      </c>
      <c r="B100" s="324"/>
      <c r="C100" s="324"/>
      <c r="D100" s="80">
        <f>SUBTOTAL(9,D99)</f>
        <v>2</v>
      </c>
    </row>
    <row r="101" spans="1:4" x14ac:dyDescent="0.3">
      <c r="A101" s="327" t="s">
        <v>1353</v>
      </c>
      <c r="B101" s="327"/>
      <c r="C101" s="327"/>
      <c r="D101" s="327"/>
    </row>
    <row r="102" spans="1:4" x14ac:dyDescent="0.3">
      <c r="A102" s="82" t="s">
        <v>1356</v>
      </c>
      <c r="B102" s="82" t="s">
        <v>1014</v>
      </c>
      <c r="C102" s="82" t="s">
        <v>1015</v>
      </c>
      <c r="D102" s="82" t="s">
        <v>1357</v>
      </c>
    </row>
    <row r="103" spans="1:4" x14ac:dyDescent="0.3">
      <c r="A103" s="325" t="s">
        <v>201</v>
      </c>
      <c r="B103" s="78" t="s">
        <v>1103</v>
      </c>
      <c r="C103" s="78"/>
      <c r="D103" s="63">
        <v>1</v>
      </c>
    </row>
    <row r="104" spans="1:4" x14ac:dyDescent="0.3">
      <c r="A104" s="326"/>
      <c r="B104" s="78" t="s">
        <v>1060</v>
      </c>
      <c r="C104" s="78" t="s">
        <v>1176</v>
      </c>
      <c r="D104" s="63">
        <v>13</v>
      </c>
    </row>
    <row r="105" spans="1:4" x14ac:dyDescent="0.3">
      <c r="A105" s="326"/>
      <c r="B105" s="78" t="s">
        <v>1081</v>
      </c>
      <c r="C105" s="78"/>
      <c r="D105" s="63">
        <v>2</v>
      </c>
    </row>
    <row r="106" spans="1:4" x14ac:dyDescent="0.3">
      <c r="A106" s="326"/>
      <c r="B106" s="307"/>
      <c r="C106" s="78" t="s">
        <v>1076</v>
      </c>
      <c r="D106" s="63">
        <v>1</v>
      </c>
    </row>
    <row r="107" spans="1:4" x14ac:dyDescent="0.3">
      <c r="A107" s="326"/>
      <c r="B107" s="308"/>
      <c r="C107" s="78" t="s">
        <v>1194</v>
      </c>
      <c r="D107" s="63">
        <v>4</v>
      </c>
    </row>
    <row r="108" spans="1:4" x14ac:dyDescent="0.3">
      <c r="A108" s="326"/>
      <c r="B108" s="307" t="s">
        <v>1171</v>
      </c>
      <c r="C108" s="78" t="s">
        <v>1076</v>
      </c>
      <c r="D108" s="63">
        <v>8</v>
      </c>
    </row>
    <row r="109" spans="1:4" x14ac:dyDescent="0.3">
      <c r="A109" s="326"/>
      <c r="B109" s="308"/>
      <c r="C109" s="78" t="s">
        <v>1176</v>
      </c>
      <c r="D109" s="63">
        <v>12</v>
      </c>
    </row>
    <row r="110" spans="1:4" x14ac:dyDescent="0.3">
      <c r="A110" s="326"/>
      <c r="B110" s="78" t="s">
        <v>1192</v>
      </c>
      <c r="C110" s="78" t="s">
        <v>1076</v>
      </c>
      <c r="D110" s="63">
        <v>1</v>
      </c>
    </row>
    <row r="111" spans="1:4" x14ac:dyDescent="0.3">
      <c r="A111" s="323" t="s">
        <v>1245</v>
      </c>
      <c r="B111" s="324"/>
      <c r="C111" s="324"/>
      <c r="D111" s="80">
        <f>SUBTOTAL(9,D103:D110)</f>
        <v>42</v>
      </c>
    </row>
    <row r="112" spans="1:4" x14ac:dyDescent="0.3">
      <c r="A112" s="325" t="s">
        <v>202</v>
      </c>
      <c r="B112" s="78" t="s">
        <v>1147</v>
      </c>
      <c r="C112" s="78"/>
      <c r="D112" s="63">
        <v>1</v>
      </c>
    </row>
    <row r="113" spans="1:4" x14ac:dyDescent="0.3">
      <c r="A113" s="326"/>
      <c r="B113" s="78" t="s">
        <v>1080</v>
      </c>
      <c r="C113" s="78"/>
      <c r="D113" s="63">
        <v>3</v>
      </c>
    </row>
    <row r="114" spans="1:4" x14ac:dyDescent="0.3">
      <c r="A114" s="326"/>
      <c r="B114" s="78" t="s">
        <v>1286</v>
      </c>
      <c r="C114" s="78"/>
      <c r="D114" s="63">
        <v>2</v>
      </c>
    </row>
    <row r="115" spans="1:4" x14ac:dyDescent="0.3">
      <c r="A115" s="323" t="s">
        <v>1268</v>
      </c>
      <c r="B115" s="324"/>
      <c r="C115" s="324"/>
      <c r="D115" s="80">
        <f>SUBTOTAL(9,D112:D114)</f>
        <v>6</v>
      </c>
    </row>
    <row r="116" spans="1:4" x14ac:dyDescent="0.3">
      <c r="A116" s="79" t="s">
        <v>1157</v>
      </c>
      <c r="B116" s="78" t="s">
        <v>1168</v>
      </c>
      <c r="C116" s="78"/>
      <c r="D116" s="63">
        <v>4</v>
      </c>
    </row>
    <row r="117" spans="1:4" x14ac:dyDescent="0.3">
      <c r="A117" s="323" t="s">
        <v>1246</v>
      </c>
      <c r="B117" s="324"/>
      <c r="C117" s="324"/>
      <c r="D117" s="80">
        <f>SUBTOTAL(9,D116)</f>
        <v>4</v>
      </c>
    </row>
    <row r="118" spans="1:4" x14ac:dyDescent="0.3">
      <c r="A118" s="327" t="s">
        <v>1152</v>
      </c>
      <c r="B118" s="327"/>
      <c r="C118" s="327"/>
      <c r="D118" s="327"/>
    </row>
    <row r="119" spans="1:4" x14ac:dyDescent="0.3">
      <c r="A119" s="82" t="s">
        <v>1356</v>
      </c>
      <c r="B119" s="82" t="s">
        <v>1014</v>
      </c>
      <c r="C119" s="82" t="s">
        <v>1015</v>
      </c>
      <c r="D119" s="82" t="s">
        <v>1357</v>
      </c>
    </row>
    <row r="120" spans="1:4" ht="28.8" x14ac:dyDescent="0.3">
      <c r="A120" s="79" t="s">
        <v>211</v>
      </c>
      <c r="B120" s="78"/>
      <c r="C120" s="78"/>
      <c r="D120" s="63">
        <v>1</v>
      </c>
    </row>
    <row r="121" spans="1:4" x14ac:dyDescent="0.3">
      <c r="A121" s="323" t="s">
        <v>1273</v>
      </c>
      <c r="B121" s="324"/>
      <c r="C121" s="324"/>
      <c r="D121" s="80">
        <f>SUBTOTAL(9,D120)</f>
        <v>1</v>
      </c>
    </row>
    <row r="122" spans="1:4" x14ac:dyDescent="0.3">
      <c r="A122" s="327" t="s">
        <v>1158</v>
      </c>
      <c r="B122" s="327"/>
      <c r="C122" s="327"/>
      <c r="D122" s="327"/>
    </row>
    <row r="123" spans="1:4" x14ac:dyDescent="0.3">
      <c r="A123" s="82" t="s">
        <v>1356</v>
      </c>
      <c r="B123" s="82" t="s">
        <v>1014</v>
      </c>
      <c r="C123" s="82" t="s">
        <v>1015</v>
      </c>
      <c r="D123" s="82" t="s">
        <v>1357</v>
      </c>
    </row>
    <row r="124" spans="1:4" x14ac:dyDescent="0.3">
      <c r="A124" s="325" t="s">
        <v>1053</v>
      </c>
      <c r="B124" s="307" t="s">
        <v>1311</v>
      </c>
      <c r="C124" s="78" t="s">
        <v>1312</v>
      </c>
      <c r="D124" s="63">
        <v>2</v>
      </c>
    </row>
    <row r="125" spans="1:4" x14ac:dyDescent="0.3">
      <c r="A125" s="326"/>
      <c r="B125" s="308"/>
      <c r="C125" s="78" t="s">
        <v>1313</v>
      </c>
      <c r="D125" s="63">
        <v>1</v>
      </c>
    </row>
    <row r="126" spans="1:4" x14ac:dyDescent="0.3">
      <c r="A126" s="323" t="s">
        <v>1276</v>
      </c>
      <c r="B126" s="324"/>
      <c r="C126" s="324"/>
      <c r="D126" s="80">
        <f>SUBTOTAL(9,D124:D125)</f>
        <v>3</v>
      </c>
    </row>
    <row r="127" spans="1:4" x14ac:dyDescent="0.3">
      <c r="A127" s="79" t="s">
        <v>210</v>
      </c>
      <c r="B127" s="78"/>
      <c r="C127" s="78"/>
      <c r="D127" s="63">
        <v>1</v>
      </c>
    </row>
    <row r="128" spans="1:4" x14ac:dyDescent="0.3">
      <c r="A128" s="323" t="s">
        <v>1277</v>
      </c>
      <c r="B128" s="324"/>
      <c r="C128" s="324"/>
      <c r="D128" s="80">
        <f>SUBTOTAL(9,D127)</f>
        <v>1</v>
      </c>
    </row>
    <row r="129" spans="1:4" ht="28.8" x14ac:dyDescent="0.3">
      <c r="A129" s="79" t="s">
        <v>1156</v>
      </c>
      <c r="B129" s="78"/>
      <c r="C129" s="78"/>
      <c r="D129" s="63">
        <v>1</v>
      </c>
    </row>
    <row r="130" spans="1:4" x14ac:dyDescent="0.3">
      <c r="A130" s="323" t="s">
        <v>1278</v>
      </c>
      <c r="B130" s="324"/>
      <c r="C130" s="324"/>
      <c r="D130" s="80">
        <f>SUBTOTAL(9,D129)</f>
        <v>1</v>
      </c>
    </row>
    <row r="131" spans="1:4" x14ac:dyDescent="0.3">
      <c r="A131" s="330" t="s">
        <v>1324</v>
      </c>
      <c r="B131" s="331"/>
      <c r="C131" s="332"/>
      <c r="D131" s="81">
        <f>SUBTOTAL(9,D5:D130)</f>
        <v>341</v>
      </c>
    </row>
  </sheetData>
  <mergeCells count="67">
    <mergeCell ref="A50:C50"/>
    <mergeCell ref="A42:A44"/>
    <mergeCell ref="A45:C45"/>
    <mergeCell ref="A1:D1"/>
    <mergeCell ref="A3:D3"/>
    <mergeCell ref="A33:C33"/>
    <mergeCell ref="A35:C35"/>
    <mergeCell ref="A38:A40"/>
    <mergeCell ref="A46:A49"/>
    <mergeCell ref="B46:B47"/>
    <mergeCell ref="A5:A17"/>
    <mergeCell ref="B6:B10"/>
    <mergeCell ref="B13:B17"/>
    <mergeCell ref="A18:C18"/>
    <mergeCell ref="A19:A30"/>
    <mergeCell ref="B19:B20"/>
    <mergeCell ref="A51:A56"/>
    <mergeCell ref="B54:B55"/>
    <mergeCell ref="A58:A61"/>
    <mergeCell ref="B58:B59"/>
    <mergeCell ref="A72:D72"/>
    <mergeCell ref="A131:C131"/>
    <mergeCell ref="A71:C71"/>
    <mergeCell ref="A122:D122"/>
    <mergeCell ref="A57:C57"/>
    <mergeCell ref="A101:D101"/>
    <mergeCell ref="A100:C100"/>
    <mergeCell ref="A62:C62"/>
    <mergeCell ref="A63:A64"/>
    <mergeCell ref="B63:B64"/>
    <mergeCell ref="A65:C65"/>
    <mergeCell ref="A67:C67"/>
    <mergeCell ref="A69:C69"/>
    <mergeCell ref="A98:C98"/>
    <mergeCell ref="A91:A93"/>
    <mergeCell ref="B92:B93"/>
    <mergeCell ref="A94:C94"/>
    <mergeCell ref="B21:B22"/>
    <mergeCell ref="B23:B25"/>
    <mergeCell ref="A41:C41"/>
    <mergeCell ref="A36:D36"/>
    <mergeCell ref="A31:C31"/>
    <mergeCell ref="A96:C96"/>
    <mergeCell ref="A128:C128"/>
    <mergeCell ref="A103:A110"/>
    <mergeCell ref="B106:B107"/>
    <mergeCell ref="B108:B109"/>
    <mergeCell ref="A111:C111"/>
    <mergeCell ref="A112:A114"/>
    <mergeCell ref="A115:C115"/>
    <mergeCell ref="A117:C117"/>
    <mergeCell ref="A130:C130"/>
    <mergeCell ref="A74:A75"/>
    <mergeCell ref="B74:B75"/>
    <mergeCell ref="A76:C76"/>
    <mergeCell ref="A78:C78"/>
    <mergeCell ref="A79:A82"/>
    <mergeCell ref="A83:C83"/>
    <mergeCell ref="A84:A85"/>
    <mergeCell ref="A86:C86"/>
    <mergeCell ref="A88:C88"/>
    <mergeCell ref="A118:D118"/>
    <mergeCell ref="A121:C121"/>
    <mergeCell ref="A124:A125"/>
    <mergeCell ref="B124:B125"/>
    <mergeCell ref="A126:C126"/>
    <mergeCell ref="A90:C90"/>
  </mergeCells>
  <conditionalFormatting sqref="A131">
    <cfRule type="containsText" dxfId="12" priority="26" operator="containsText" text="(празно)">
      <formula>NOT(ISERROR(SEARCH("(празно)",A131)))</formula>
    </cfRule>
  </conditionalFormatting>
  <conditionalFormatting sqref="A5:C35">
    <cfRule type="containsText" dxfId="11" priority="12" operator="containsText" text="(празно)">
      <formula>NOT(ISERROR(SEARCH("(празно)",A5)))</formula>
    </cfRule>
  </conditionalFormatting>
  <conditionalFormatting sqref="A38:C71">
    <cfRule type="containsText" dxfId="10" priority="10" operator="containsText" text="(празно)">
      <formula>NOT(ISERROR(SEARCH("(празно)",A38)))</formula>
    </cfRule>
  </conditionalFormatting>
  <conditionalFormatting sqref="A74:C100">
    <cfRule type="containsText" dxfId="9" priority="1" operator="containsText" text="(празно)">
      <formula>NOT(ISERROR(SEARCH("(празно)",A74)))</formula>
    </cfRule>
  </conditionalFormatting>
  <conditionalFormatting sqref="A103:C117">
    <cfRule type="containsText" dxfId="8" priority="8" operator="containsText" text="(празно)">
      <formula>NOT(ISERROR(SEARCH("(празно)",A103)))</formula>
    </cfRule>
  </conditionalFormatting>
  <conditionalFormatting sqref="A120:C121">
    <cfRule type="containsText" dxfId="7" priority="5" operator="containsText" text="(празно)">
      <formula>NOT(ISERROR(SEARCH("(празно)",A120)))</formula>
    </cfRule>
  </conditionalFormatting>
  <conditionalFormatting sqref="A124:C130">
    <cfRule type="containsText" dxfId="6" priority="3" operator="containsText" text="(празно)">
      <formula>NOT(ISERROR(SEARCH("(празно)",A124)))</formula>
    </cfRule>
  </conditionalFormatting>
  <conditionalFormatting sqref="A4:D4 D131">
    <cfRule type="containsText" dxfId="5" priority="27" operator="containsText" text="(празно)">
      <formula>NOT(ISERROR(SEARCH("(празно)",A4)))</formula>
    </cfRule>
  </conditionalFormatting>
  <conditionalFormatting sqref="A37:D37">
    <cfRule type="containsText" dxfId="4" priority="14" operator="containsText" text="(празно)">
      <formula>NOT(ISERROR(SEARCH("(празно)",A37)))</formula>
    </cfRule>
  </conditionalFormatting>
  <conditionalFormatting sqref="A73:D73">
    <cfRule type="containsText" dxfId="3" priority="15" operator="containsText" text="(празно)">
      <formula>NOT(ISERROR(SEARCH("(празно)",A73)))</formula>
    </cfRule>
  </conditionalFormatting>
  <conditionalFormatting sqref="A102:D102">
    <cfRule type="containsText" dxfId="2" priority="24" operator="containsText" text="(празно)">
      <formula>NOT(ISERROR(SEARCH("(празно)",A102)))</formula>
    </cfRule>
  </conditionalFormatting>
  <conditionalFormatting sqref="A119:D119">
    <cfRule type="containsText" dxfId="1" priority="7" operator="containsText" text="(празно)">
      <formula>NOT(ISERROR(SEARCH("(празно)",A119)))</formula>
    </cfRule>
  </conditionalFormatting>
  <conditionalFormatting sqref="A123:D123">
    <cfRule type="containsText" dxfId="0" priority="18" operator="containsText" text="(празно)">
      <formula>NOT(ISERROR(SEARCH("(празно)",A123)))</formula>
    </cfRule>
  </conditionalFormatting>
  <printOptions horizontalCentered="1"/>
  <pageMargins left="0.70866141732283472" right="0.23622047244094491" top="0.47244094488188981" bottom="0.51181102362204722" header="0.31496062992125984" footer="0.19685039370078741"/>
  <pageSetup paperSize="9" scale="97" fitToHeight="0" orientation="portrait" r:id="rId1"/>
  <headerFooter>
    <oddFooter>&amp;C&amp;A&amp;Rстр.&amp;P от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AMK149"/>
  <sheetViews>
    <sheetView topLeftCell="A8" zoomScale="85" zoomScaleNormal="85" workbookViewId="0">
      <selection activeCell="D668" sqref="D668"/>
    </sheetView>
  </sheetViews>
  <sheetFormatPr baseColWidth="10" defaultColWidth="9.109375" defaultRowHeight="14.4" x14ac:dyDescent="0.3"/>
  <cols>
    <col min="1" max="1" width="7" style="18" customWidth="1"/>
    <col min="2" max="2" width="1.44140625" style="18" hidden="1" customWidth="1"/>
    <col min="3" max="3" width="9.88671875" style="18" hidden="1" customWidth="1"/>
    <col min="4" max="5" width="73" style="18" customWidth="1"/>
    <col min="6" max="7" width="9.88671875" style="18" customWidth="1"/>
    <col min="8" max="8" width="16.6640625" style="18" customWidth="1"/>
    <col min="9" max="9" width="13.88671875" style="18" customWidth="1"/>
    <col min="10" max="10" width="9.88671875" style="18" customWidth="1"/>
    <col min="11" max="11" width="12.109375" style="18" customWidth="1"/>
    <col min="12" max="12" width="12" style="18" customWidth="1"/>
    <col min="13" max="13" width="15.5546875" style="18" customWidth="1"/>
    <col min="14" max="15" width="9.88671875" style="18" customWidth="1"/>
    <col min="16" max="16" width="14" style="18" customWidth="1"/>
    <col min="17" max="1025" width="9.88671875" style="18" customWidth="1"/>
    <col min="1026" max="1026" width="10.33203125" style="23" customWidth="1"/>
    <col min="1027" max="16384" width="9.109375" style="23"/>
  </cols>
  <sheetData>
    <row r="1" spans="1:1025" ht="29.1" customHeight="1" thickTop="1" x14ac:dyDescent="0.3">
      <c r="A1" s="296" t="s">
        <v>270</v>
      </c>
      <c r="B1" s="296"/>
      <c r="C1" s="296"/>
      <c r="D1" s="296"/>
      <c r="E1" s="296"/>
      <c r="F1" s="296"/>
      <c r="G1" s="296"/>
      <c r="H1" s="296"/>
      <c r="I1" s="296"/>
      <c r="J1" s="296"/>
      <c r="K1" s="296"/>
      <c r="L1" s="296"/>
      <c r="M1" s="296"/>
      <c r="N1" s="296"/>
      <c r="O1" s="296"/>
      <c r="P1" s="296"/>
      <c r="Q1" s="296"/>
      <c r="R1" s="296"/>
      <c r="S1" s="296"/>
    </row>
    <row r="2" spans="1:1025" ht="11.1" customHeight="1" x14ac:dyDescent="0.3">
      <c r="A2" s="19"/>
      <c r="B2" s="19"/>
      <c r="C2" s="19"/>
      <c r="D2" s="20"/>
      <c r="E2" s="20"/>
      <c r="F2" s="20"/>
      <c r="G2" s="20"/>
      <c r="I2" s="21"/>
      <c r="J2" s="22"/>
      <c r="K2" s="23"/>
      <c r="L2" s="23"/>
      <c r="M2" s="21"/>
    </row>
    <row r="3" spans="1:1025" ht="23.1" customHeight="1" x14ac:dyDescent="0.3">
      <c r="A3" s="24" t="s">
        <v>271</v>
      </c>
      <c r="B3" s="19"/>
      <c r="C3" s="25"/>
      <c r="D3" s="26" t="s">
        <v>272</v>
      </c>
      <c r="E3" s="56"/>
      <c r="F3" s="27"/>
      <c r="G3" s="28"/>
      <c r="H3" s="297" t="s">
        <v>273</v>
      </c>
      <c r="I3" s="297"/>
      <c r="J3" s="297"/>
      <c r="K3" s="297"/>
      <c r="L3" s="297"/>
      <c r="M3" s="297"/>
      <c r="N3" s="297"/>
      <c r="O3" s="297"/>
      <c r="P3" s="297"/>
      <c r="Q3" s="297"/>
      <c r="R3" s="297"/>
      <c r="S3" s="23"/>
      <c r="AMK3" s="23"/>
    </row>
    <row r="4" spans="1:1025" ht="24" customHeight="1" x14ac:dyDescent="0.3">
      <c r="A4" s="29"/>
      <c r="B4" s="20"/>
      <c r="C4" s="20"/>
      <c r="D4" s="30"/>
      <c r="E4" s="30"/>
      <c r="F4" s="19"/>
      <c r="G4" s="19"/>
      <c r="H4" s="18" t="s">
        <v>274</v>
      </c>
      <c r="I4" s="31" t="s">
        <v>275</v>
      </c>
      <c r="J4" s="31" t="s">
        <v>276</v>
      </c>
      <c r="K4" s="31" t="s">
        <v>277</v>
      </c>
      <c r="L4" s="31" t="s">
        <v>278</v>
      </c>
      <c r="M4" s="32" t="s">
        <v>6</v>
      </c>
      <c r="N4" s="298" t="s">
        <v>279</v>
      </c>
      <c r="O4" s="298"/>
      <c r="P4" s="298"/>
      <c r="AMF4" s="23"/>
      <c r="AMG4" s="23"/>
      <c r="AMH4" s="23"/>
      <c r="AMI4" s="23"/>
      <c r="AMJ4" s="23"/>
      <c r="AMK4" s="23"/>
    </row>
    <row r="5" spans="1:1025" x14ac:dyDescent="0.3">
      <c r="A5" s="33">
        <v>101</v>
      </c>
      <c r="B5" s="19"/>
      <c r="C5" s="19"/>
      <c r="D5" s="34" t="s">
        <v>280</v>
      </c>
      <c r="E5" s="34" t="s">
        <v>432</v>
      </c>
      <c r="F5" s="19"/>
      <c r="G5" s="19"/>
      <c r="I5" s="31"/>
      <c r="J5" s="35" t="s">
        <v>281</v>
      </c>
      <c r="K5" s="31"/>
      <c r="L5" s="31"/>
      <c r="M5" s="32"/>
      <c r="N5" s="32"/>
      <c r="P5" s="36"/>
      <c r="AMI5" s="23"/>
      <c r="AMJ5" s="23"/>
      <c r="AMK5" s="23"/>
    </row>
    <row r="6" spans="1:1025" x14ac:dyDescent="0.3">
      <c r="A6" s="33">
        <v>102</v>
      </c>
      <c r="B6" s="19"/>
      <c r="C6" s="19"/>
      <c r="D6" s="34" t="s">
        <v>280</v>
      </c>
      <c r="E6" s="34" t="s">
        <v>432</v>
      </c>
      <c r="F6" s="19"/>
      <c r="G6" s="19"/>
      <c r="I6" s="31"/>
      <c r="J6" s="37" t="s">
        <v>281</v>
      </c>
      <c r="K6" s="31"/>
      <c r="L6" s="31"/>
      <c r="M6" s="32"/>
      <c r="N6" s="32"/>
      <c r="P6" s="36"/>
      <c r="AMI6" s="23"/>
      <c r="AMJ6" s="23"/>
      <c r="AMK6" s="23"/>
    </row>
    <row r="7" spans="1:1025" ht="14.1" customHeight="1" x14ac:dyDescent="0.3">
      <c r="A7" s="33">
        <v>103</v>
      </c>
      <c r="B7" s="19"/>
      <c r="C7" s="19"/>
      <c r="D7" s="34" t="s">
        <v>282</v>
      </c>
      <c r="E7" s="34" t="s">
        <v>433</v>
      </c>
      <c r="F7" s="19"/>
      <c r="G7" s="19"/>
      <c r="H7" s="38" t="s">
        <v>281</v>
      </c>
      <c r="I7" s="31"/>
      <c r="J7" s="31"/>
      <c r="K7" s="31"/>
      <c r="L7" s="31"/>
      <c r="M7" s="32"/>
      <c r="N7" s="32"/>
      <c r="P7" s="36"/>
      <c r="AMH7" s="23"/>
      <c r="AMI7" s="23"/>
      <c r="AMJ7" s="23"/>
      <c r="AMK7" s="23"/>
    </row>
    <row r="8" spans="1:1025" x14ac:dyDescent="0.3">
      <c r="A8" s="33">
        <v>104</v>
      </c>
      <c r="B8" s="19"/>
      <c r="C8" s="19"/>
      <c r="D8" s="34" t="s">
        <v>283</v>
      </c>
      <c r="E8" s="34" t="s">
        <v>434</v>
      </c>
      <c r="F8" s="19"/>
      <c r="G8" s="19"/>
      <c r="I8" s="31"/>
      <c r="J8" s="31"/>
      <c r="K8" s="37" t="s">
        <v>281</v>
      </c>
      <c r="L8" s="31"/>
      <c r="M8" s="32"/>
      <c r="N8" s="32"/>
      <c r="P8" s="36"/>
      <c r="AMI8" s="23"/>
      <c r="AMJ8" s="23"/>
      <c r="AMK8" s="23"/>
    </row>
    <row r="9" spans="1:1025" ht="13.35" customHeight="1" x14ac:dyDescent="0.3">
      <c r="A9" s="33">
        <v>105</v>
      </c>
      <c r="B9" s="19"/>
      <c r="C9" s="19"/>
      <c r="D9" s="34" t="s">
        <v>284</v>
      </c>
      <c r="E9" s="34" t="s">
        <v>435</v>
      </c>
      <c r="F9" s="19"/>
      <c r="G9" s="19"/>
      <c r="I9" s="31"/>
      <c r="J9" s="31"/>
      <c r="K9" s="37" t="s">
        <v>281</v>
      </c>
      <c r="L9" s="31"/>
      <c r="M9" s="32"/>
      <c r="N9" s="32"/>
      <c r="P9" s="36"/>
      <c r="AMI9" s="23"/>
      <c r="AMJ9" s="23"/>
      <c r="AMK9" s="23"/>
    </row>
    <row r="10" spans="1:1025" ht="13.35" customHeight="1" x14ac:dyDescent="0.3">
      <c r="A10" s="33">
        <v>106</v>
      </c>
      <c r="B10" s="19"/>
      <c r="C10" s="19"/>
      <c r="D10" s="57" t="s">
        <v>285</v>
      </c>
      <c r="E10" s="34" t="s">
        <v>436</v>
      </c>
      <c r="F10" s="19"/>
      <c r="G10" s="19"/>
      <c r="H10" s="38" t="s">
        <v>281</v>
      </c>
      <c r="I10" s="31"/>
      <c r="J10" s="31"/>
      <c r="K10" s="31"/>
      <c r="L10" s="31"/>
      <c r="M10" s="32"/>
      <c r="N10" s="32"/>
      <c r="P10" s="36"/>
      <c r="AMI10" s="23"/>
      <c r="AMJ10" s="23"/>
      <c r="AMK10" s="23"/>
    </row>
    <row r="11" spans="1:1025" ht="13.35" customHeight="1" x14ac:dyDescent="0.3">
      <c r="A11" s="33">
        <v>107</v>
      </c>
      <c r="B11" s="19"/>
      <c r="C11" s="19"/>
      <c r="D11" s="57" t="s">
        <v>286</v>
      </c>
      <c r="E11" s="34" t="s">
        <v>437</v>
      </c>
      <c r="F11" s="19"/>
      <c r="G11" s="19"/>
      <c r="H11" s="38" t="s">
        <v>281</v>
      </c>
      <c r="I11" s="31"/>
      <c r="J11" s="31"/>
      <c r="K11" s="31"/>
      <c r="L11" s="31"/>
      <c r="M11" s="32"/>
      <c r="N11" s="32"/>
      <c r="P11" s="36"/>
      <c r="AMI11" s="23"/>
      <c r="AMJ11" s="23"/>
      <c r="AMK11" s="23"/>
    </row>
    <row r="12" spans="1:1025" ht="12.6" customHeight="1" x14ac:dyDescent="0.3">
      <c r="A12" s="33">
        <v>108</v>
      </c>
      <c r="B12" s="19"/>
      <c r="C12" s="19"/>
      <c r="D12" s="57" t="s">
        <v>287</v>
      </c>
      <c r="E12" s="34" t="s">
        <v>438</v>
      </c>
      <c r="F12" s="19"/>
      <c r="G12" s="19"/>
      <c r="H12" s="38" t="s">
        <v>281</v>
      </c>
      <c r="I12" s="31"/>
      <c r="J12" s="31"/>
      <c r="K12" s="31"/>
      <c r="L12" s="31"/>
      <c r="M12" s="32"/>
      <c r="N12" s="32"/>
      <c r="P12" s="36"/>
      <c r="AMI12" s="23"/>
      <c r="AMJ12" s="23"/>
      <c r="AMK12" s="23"/>
    </row>
    <row r="13" spans="1:1025" ht="13.35" customHeight="1" x14ac:dyDescent="0.3">
      <c r="A13" s="33">
        <v>109</v>
      </c>
      <c r="B13" s="19"/>
      <c r="C13" s="19"/>
      <c r="D13" s="57" t="s">
        <v>288</v>
      </c>
      <c r="E13" s="34" t="s">
        <v>441</v>
      </c>
      <c r="F13" s="19"/>
      <c r="G13" s="19"/>
      <c r="H13" s="38" t="s">
        <v>281</v>
      </c>
      <c r="I13" s="31"/>
      <c r="J13" s="31"/>
      <c r="K13" s="31"/>
      <c r="L13" s="31"/>
      <c r="M13" s="32"/>
      <c r="N13" s="32"/>
      <c r="P13" s="36"/>
      <c r="AMI13" s="23"/>
      <c r="AMJ13" s="23"/>
      <c r="AMK13" s="23"/>
    </row>
    <row r="14" spans="1:1025" ht="14.1" customHeight="1" x14ac:dyDescent="0.3">
      <c r="A14" s="33">
        <v>110</v>
      </c>
      <c r="B14" s="19"/>
      <c r="C14" s="19"/>
      <c r="D14" s="57" t="s">
        <v>289</v>
      </c>
      <c r="E14" s="34" t="s">
        <v>439</v>
      </c>
      <c r="F14" s="19"/>
      <c r="G14" s="19"/>
      <c r="H14" s="38" t="s">
        <v>281</v>
      </c>
      <c r="I14" s="31"/>
      <c r="J14" s="31"/>
      <c r="K14" s="31"/>
      <c r="L14" s="31"/>
      <c r="M14" s="32"/>
      <c r="N14" s="32"/>
      <c r="P14" s="36"/>
      <c r="AMI14" s="23"/>
      <c r="AMJ14" s="23"/>
      <c r="AMK14" s="23"/>
    </row>
    <row r="15" spans="1:1025" x14ac:dyDescent="0.3">
      <c r="A15" s="33">
        <v>111</v>
      </c>
      <c r="B15" s="19"/>
      <c r="C15" s="19"/>
      <c r="D15" s="57" t="s">
        <v>290</v>
      </c>
      <c r="E15" s="34" t="s">
        <v>440</v>
      </c>
      <c r="F15" s="19"/>
      <c r="G15" s="19"/>
      <c r="H15" s="38" t="s">
        <v>281</v>
      </c>
      <c r="I15" s="31"/>
      <c r="J15" s="31"/>
      <c r="K15" s="31"/>
      <c r="L15" s="31"/>
      <c r="M15" s="32"/>
      <c r="N15" s="32"/>
      <c r="P15" s="36"/>
      <c r="AMI15" s="23"/>
      <c r="AMJ15" s="23"/>
      <c r="AMK15" s="23"/>
    </row>
    <row r="16" spans="1:1025" x14ac:dyDescent="0.3">
      <c r="A16" s="33">
        <v>112</v>
      </c>
      <c r="B16" s="19"/>
      <c r="C16" s="19"/>
      <c r="D16" s="57" t="s">
        <v>291</v>
      </c>
      <c r="E16" s="34" t="s">
        <v>444</v>
      </c>
      <c r="F16" s="19"/>
      <c r="G16" s="19"/>
      <c r="H16" s="38" t="s">
        <v>281</v>
      </c>
      <c r="I16" s="31"/>
      <c r="J16" s="31"/>
      <c r="K16" s="31"/>
      <c r="L16" s="31"/>
      <c r="M16" s="32"/>
      <c r="N16" s="32"/>
      <c r="P16" s="36"/>
      <c r="AMI16" s="23"/>
      <c r="AMJ16" s="23"/>
      <c r="AMK16" s="23"/>
    </row>
    <row r="17" spans="1:1022" s="23" customFormat="1" x14ac:dyDescent="0.3">
      <c r="A17" s="33">
        <v>113</v>
      </c>
      <c r="B17" s="19"/>
      <c r="C17" s="19"/>
      <c r="D17" s="57" t="s">
        <v>292</v>
      </c>
      <c r="E17" s="34" t="s">
        <v>446</v>
      </c>
      <c r="F17" s="19"/>
      <c r="G17" s="19"/>
      <c r="H17" s="38" t="s">
        <v>281</v>
      </c>
      <c r="I17" s="31"/>
      <c r="J17" s="31"/>
      <c r="K17" s="31"/>
      <c r="L17" s="31"/>
      <c r="M17" s="32"/>
      <c r="N17" s="32"/>
      <c r="O17" s="18"/>
      <c r="P17" s="36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  <c r="IQ17" s="18"/>
      <c r="IR17" s="18"/>
      <c r="IS17" s="18"/>
      <c r="IT17" s="18"/>
      <c r="IU17" s="18"/>
      <c r="IV17" s="18"/>
      <c r="IW17" s="18"/>
      <c r="IX17" s="18"/>
      <c r="IY17" s="18"/>
      <c r="IZ17" s="18"/>
      <c r="JA17" s="18"/>
      <c r="JB17" s="18"/>
      <c r="JC17" s="18"/>
      <c r="JD17" s="18"/>
      <c r="JE17" s="18"/>
      <c r="JF17" s="18"/>
      <c r="JG17" s="18"/>
      <c r="JH17" s="18"/>
      <c r="JI17" s="18"/>
      <c r="JJ17" s="18"/>
      <c r="JK17" s="18"/>
      <c r="JL17" s="18"/>
      <c r="JM17" s="18"/>
      <c r="JN17" s="18"/>
      <c r="JO17" s="18"/>
      <c r="JP17" s="18"/>
      <c r="JQ17" s="18"/>
      <c r="JR17" s="18"/>
      <c r="JS17" s="18"/>
      <c r="JT17" s="18"/>
      <c r="JU17" s="18"/>
      <c r="JV17" s="18"/>
      <c r="JW17" s="18"/>
      <c r="JX17" s="18"/>
      <c r="JY17" s="18"/>
      <c r="JZ17" s="18"/>
      <c r="KA17" s="18"/>
      <c r="KB17" s="18"/>
      <c r="KC17" s="18"/>
      <c r="KD17" s="18"/>
      <c r="KE17" s="18"/>
      <c r="KF17" s="18"/>
      <c r="KG17" s="18"/>
      <c r="KH17" s="18"/>
      <c r="KI17" s="18"/>
      <c r="KJ17" s="18"/>
      <c r="KK17" s="18"/>
      <c r="KL17" s="18"/>
      <c r="KM17" s="18"/>
      <c r="KN17" s="18"/>
      <c r="KO17" s="18"/>
      <c r="KP17" s="18"/>
      <c r="KQ17" s="18"/>
      <c r="KR17" s="18"/>
      <c r="KS17" s="18"/>
      <c r="KT17" s="18"/>
      <c r="KU17" s="18"/>
      <c r="KV17" s="18"/>
      <c r="KW17" s="18"/>
      <c r="KX17" s="18"/>
      <c r="KY17" s="18"/>
      <c r="KZ17" s="18"/>
      <c r="LA17" s="18"/>
      <c r="LB17" s="18"/>
      <c r="LC17" s="18"/>
      <c r="LD17" s="18"/>
      <c r="LE17" s="18"/>
      <c r="LF17" s="18"/>
      <c r="LG17" s="18"/>
      <c r="LH17" s="18"/>
      <c r="LI17" s="18"/>
      <c r="LJ17" s="18"/>
      <c r="LK17" s="18"/>
      <c r="LL17" s="18"/>
      <c r="LM17" s="18"/>
      <c r="LN17" s="18"/>
      <c r="LO17" s="18"/>
      <c r="LP17" s="18"/>
      <c r="LQ17" s="18"/>
      <c r="LR17" s="18"/>
      <c r="LS17" s="18"/>
      <c r="LT17" s="18"/>
      <c r="LU17" s="18"/>
      <c r="LV17" s="18"/>
      <c r="LW17" s="18"/>
      <c r="LX17" s="18"/>
      <c r="LY17" s="18"/>
      <c r="LZ17" s="18"/>
      <c r="MA17" s="18"/>
      <c r="MB17" s="18"/>
      <c r="MC17" s="18"/>
      <c r="MD17" s="18"/>
      <c r="ME17" s="18"/>
      <c r="MF17" s="18"/>
      <c r="MG17" s="18"/>
      <c r="MH17" s="18"/>
      <c r="MI17" s="18"/>
      <c r="MJ17" s="18"/>
      <c r="MK17" s="18"/>
      <c r="ML17" s="18"/>
      <c r="MM17" s="18"/>
      <c r="MN17" s="18"/>
      <c r="MO17" s="18"/>
      <c r="MP17" s="18"/>
      <c r="MQ17" s="18"/>
      <c r="MR17" s="18"/>
      <c r="MS17" s="18"/>
      <c r="MT17" s="18"/>
      <c r="MU17" s="18"/>
      <c r="MV17" s="18"/>
      <c r="MW17" s="18"/>
      <c r="MX17" s="18"/>
      <c r="MY17" s="18"/>
      <c r="MZ17" s="18"/>
      <c r="NA17" s="18"/>
      <c r="NB17" s="18"/>
      <c r="NC17" s="18"/>
      <c r="ND17" s="18"/>
      <c r="NE17" s="18"/>
      <c r="NF17" s="18"/>
      <c r="NG17" s="18"/>
      <c r="NH17" s="18"/>
      <c r="NI17" s="18"/>
      <c r="NJ17" s="18"/>
      <c r="NK17" s="18"/>
      <c r="NL17" s="18"/>
      <c r="NM17" s="18"/>
      <c r="NN17" s="18"/>
      <c r="NO17" s="18"/>
      <c r="NP17" s="18"/>
      <c r="NQ17" s="18"/>
      <c r="NR17" s="18"/>
      <c r="NS17" s="18"/>
      <c r="NT17" s="18"/>
      <c r="NU17" s="18"/>
      <c r="NV17" s="18"/>
      <c r="NW17" s="18"/>
      <c r="NX17" s="18"/>
      <c r="NY17" s="18"/>
      <c r="NZ17" s="18"/>
      <c r="OA17" s="18"/>
      <c r="OB17" s="18"/>
      <c r="OC17" s="18"/>
      <c r="OD17" s="18"/>
      <c r="OE17" s="18"/>
      <c r="OF17" s="18"/>
      <c r="OG17" s="18"/>
      <c r="OH17" s="18"/>
      <c r="OI17" s="18"/>
      <c r="OJ17" s="18"/>
      <c r="OK17" s="18"/>
      <c r="OL17" s="18"/>
      <c r="OM17" s="18"/>
      <c r="ON17" s="18"/>
      <c r="OO17" s="18"/>
      <c r="OP17" s="18"/>
      <c r="OQ17" s="18"/>
      <c r="OR17" s="18"/>
      <c r="OS17" s="18"/>
      <c r="OT17" s="18"/>
      <c r="OU17" s="18"/>
      <c r="OV17" s="18"/>
      <c r="OW17" s="18"/>
      <c r="OX17" s="18"/>
      <c r="OY17" s="18"/>
      <c r="OZ17" s="18"/>
      <c r="PA17" s="18"/>
      <c r="PB17" s="18"/>
      <c r="PC17" s="18"/>
      <c r="PD17" s="18"/>
      <c r="PE17" s="18"/>
      <c r="PF17" s="18"/>
      <c r="PG17" s="18"/>
      <c r="PH17" s="18"/>
      <c r="PI17" s="18"/>
      <c r="PJ17" s="18"/>
      <c r="PK17" s="18"/>
      <c r="PL17" s="18"/>
      <c r="PM17" s="18"/>
      <c r="PN17" s="18"/>
      <c r="PO17" s="18"/>
      <c r="PP17" s="18"/>
      <c r="PQ17" s="18"/>
      <c r="PR17" s="18"/>
      <c r="PS17" s="18"/>
      <c r="PT17" s="18"/>
      <c r="PU17" s="18"/>
      <c r="PV17" s="18"/>
      <c r="PW17" s="18"/>
      <c r="PX17" s="18"/>
      <c r="PY17" s="18"/>
      <c r="PZ17" s="18"/>
      <c r="QA17" s="18"/>
      <c r="QB17" s="18"/>
      <c r="QC17" s="18"/>
      <c r="QD17" s="18"/>
      <c r="QE17" s="18"/>
      <c r="QF17" s="18"/>
      <c r="QG17" s="18"/>
      <c r="QH17" s="18"/>
      <c r="QI17" s="18"/>
      <c r="QJ17" s="18"/>
      <c r="QK17" s="18"/>
      <c r="QL17" s="18"/>
      <c r="QM17" s="18"/>
      <c r="QN17" s="18"/>
      <c r="QO17" s="18"/>
      <c r="QP17" s="18"/>
      <c r="QQ17" s="18"/>
      <c r="QR17" s="18"/>
      <c r="QS17" s="18"/>
      <c r="QT17" s="18"/>
      <c r="QU17" s="18"/>
      <c r="QV17" s="18"/>
      <c r="QW17" s="18"/>
      <c r="QX17" s="18"/>
      <c r="QY17" s="18"/>
      <c r="QZ17" s="18"/>
      <c r="RA17" s="18"/>
      <c r="RB17" s="18"/>
      <c r="RC17" s="18"/>
      <c r="RD17" s="18"/>
      <c r="RE17" s="18"/>
      <c r="RF17" s="18"/>
      <c r="RG17" s="18"/>
      <c r="RH17" s="18"/>
      <c r="RI17" s="18"/>
      <c r="RJ17" s="18"/>
      <c r="RK17" s="18"/>
      <c r="RL17" s="18"/>
      <c r="RM17" s="18"/>
      <c r="RN17" s="18"/>
      <c r="RO17" s="18"/>
      <c r="RP17" s="18"/>
      <c r="RQ17" s="18"/>
      <c r="RR17" s="18"/>
      <c r="RS17" s="18"/>
      <c r="RT17" s="18"/>
      <c r="RU17" s="18"/>
      <c r="RV17" s="18"/>
      <c r="RW17" s="18"/>
      <c r="RX17" s="18"/>
      <c r="RY17" s="18"/>
      <c r="RZ17" s="18"/>
      <c r="SA17" s="18"/>
      <c r="SB17" s="18"/>
      <c r="SC17" s="18"/>
      <c r="SD17" s="18"/>
      <c r="SE17" s="18"/>
      <c r="SF17" s="18"/>
      <c r="SG17" s="18"/>
      <c r="SH17" s="18"/>
      <c r="SI17" s="18"/>
      <c r="SJ17" s="18"/>
      <c r="SK17" s="18"/>
      <c r="SL17" s="18"/>
      <c r="SM17" s="18"/>
      <c r="SN17" s="18"/>
      <c r="SO17" s="18"/>
      <c r="SP17" s="18"/>
      <c r="SQ17" s="18"/>
      <c r="SR17" s="18"/>
      <c r="SS17" s="18"/>
      <c r="ST17" s="18"/>
      <c r="SU17" s="18"/>
      <c r="SV17" s="18"/>
      <c r="SW17" s="18"/>
      <c r="SX17" s="18"/>
      <c r="SY17" s="18"/>
      <c r="SZ17" s="18"/>
      <c r="TA17" s="18"/>
      <c r="TB17" s="18"/>
      <c r="TC17" s="18"/>
      <c r="TD17" s="18"/>
      <c r="TE17" s="18"/>
      <c r="TF17" s="18"/>
      <c r="TG17" s="18"/>
      <c r="TH17" s="18"/>
      <c r="TI17" s="18"/>
      <c r="TJ17" s="18"/>
      <c r="TK17" s="18"/>
      <c r="TL17" s="18"/>
      <c r="TM17" s="18"/>
      <c r="TN17" s="18"/>
      <c r="TO17" s="18"/>
      <c r="TP17" s="18"/>
      <c r="TQ17" s="18"/>
      <c r="TR17" s="18"/>
      <c r="TS17" s="18"/>
      <c r="TT17" s="18"/>
      <c r="TU17" s="18"/>
      <c r="TV17" s="18"/>
      <c r="TW17" s="18"/>
      <c r="TX17" s="18"/>
      <c r="TY17" s="18"/>
      <c r="TZ17" s="18"/>
      <c r="UA17" s="18"/>
      <c r="UB17" s="18"/>
      <c r="UC17" s="18"/>
      <c r="UD17" s="18"/>
      <c r="UE17" s="18"/>
      <c r="UF17" s="18"/>
      <c r="UG17" s="18"/>
      <c r="UH17" s="18"/>
      <c r="UI17" s="18"/>
      <c r="UJ17" s="18"/>
      <c r="UK17" s="18"/>
      <c r="UL17" s="18"/>
      <c r="UM17" s="18"/>
      <c r="UN17" s="18"/>
      <c r="UO17" s="18"/>
      <c r="UP17" s="18"/>
      <c r="UQ17" s="18"/>
      <c r="UR17" s="18"/>
      <c r="US17" s="18"/>
      <c r="UT17" s="18"/>
      <c r="UU17" s="18"/>
      <c r="UV17" s="18"/>
      <c r="UW17" s="18"/>
      <c r="UX17" s="18"/>
      <c r="UY17" s="18"/>
      <c r="UZ17" s="18"/>
      <c r="VA17" s="18"/>
      <c r="VB17" s="18"/>
      <c r="VC17" s="18"/>
      <c r="VD17" s="18"/>
      <c r="VE17" s="18"/>
      <c r="VF17" s="18"/>
      <c r="VG17" s="18"/>
      <c r="VH17" s="18"/>
      <c r="VI17" s="18"/>
      <c r="VJ17" s="18"/>
      <c r="VK17" s="18"/>
      <c r="VL17" s="18"/>
      <c r="VM17" s="18"/>
      <c r="VN17" s="18"/>
      <c r="VO17" s="18"/>
      <c r="VP17" s="18"/>
      <c r="VQ17" s="18"/>
      <c r="VR17" s="18"/>
      <c r="VS17" s="18"/>
      <c r="VT17" s="18"/>
      <c r="VU17" s="18"/>
      <c r="VV17" s="18"/>
      <c r="VW17" s="18"/>
      <c r="VX17" s="18"/>
      <c r="VY17" s="18"/>
      <c r="VZ17" s="18"/>
      <c r="WA17" s="18"/>
      <c r="WB17" s="18"/>
      <c r="WC17" s="18"/>
      <c r="WD17" s="18"/>
      <c r="WE17" s="18"/>
      <c r="WF17" s="18"/>
      <c r="WG17" s="18"/>
      <c r="WH17" s="18"/>
      <c r="WI17" s="18"/>
      <c r="WJ17" s="18"/>
      <c r="WK17" s="18"/>
      <c r="WL17" s="18"/>
      <c r="WM17" s="18"/>
      <c r="WN17" s="18"/>
      <c r="WO17" s="18"/>
      <c r="WP17" s="18"/>
      <c r="WQ17" s="18"/>
      <c r="WR17" s="18"/>
      <c r="WS17" s="18"/>
      <c r="WT17" s="18"/>
      <c r="WU17" s="18"/>
      <c r="WV17" s="18"/>
      <c r="WW17" s="18"/>
      <c r="WX17" s="18"/>
      <c r="WY17" s="18"/>
      <c r="WZ17" s="18"/>
      <c r="XA17" s="18"/>
      <c r="XB17" s="18"/>
      <c r="XC17" s="18"/>
      <c r="XD17" s="18"/>
      <c r="XE17" s="18"/>
      <c r="XF17" s="18"/>
      <c r="XG17" s="18"/>
      <c r="XH17" s="18"/>
      <c r="XI17" s="18"/>
      <c r="XJ17" s="18"/>
      <c r="XK17" s="18"/>
      <c r="XL17" s="18"/>
      <c r="XM17" s="18"/>
      <c r="XN17" s="18"/>
      <c r="XO17" s="18"/>
      <c r="XP17" s="18"/>
      <c r="XQ17" s="18"/>
      <c r="XR17" s="18"/>
      <c r="XS17" s="18"/>
      <c r="XT17" s="18"/>
      <c r="XU17" s="18"/>
      <c r="XV17" s="18"/>
      <c r="XW17" s="18"/>
      <c r="XX17" s="18"/>
      <c r="XY17" s="18"/>
      <c r="XZ17" s="18"/>
      <c r="YA17" s="18"/>
      <c r="YB17" s="18"/>
      <c r="YC17" s="18"/>
      <c r="YD17" s="18"/>
      <c r="YE17" s="18"/>
      <c r="YF17" s="18"/>
      <c r="YG17" s="18"/>
      <c r="YH17" s="18"/>
      <c r="YI17" s="18"/>
      <c r="YJ17" s="18"/>
      <c r="YK17" s="18"/>
      <c r="YL17" s="18"/>
      <c r="YM17" s="18"/>
      <c r="YN17" s="18"/>
      <c r="YO17" s="18"/>
      <c r="YP17" s="18"/>
      <c r="YQ17" s="18"/>
      <c r="YR17" s="18"/>
      <c r="YS17" s="18"/>
      <c r="YT17" s="18"/>
      <c r="YU17" s="18"/>
      <c r="YV17" s="18"/>
      <c r="YW17" s="18"/>
      <c r="YX17" s="18"/>
      <c r="YY17" s="18"/>
      <c r="YZ17" s="18"/>
      <c r="ZA17" s="18"/>
      <c r="ZB17" s="18"/>
      <c r="ZC17" s="18"/>
      <c r="ZD17" s="18"/>
      <c r="ZE17" s="18"/>
      <c r="ZF17" s="18"/>
      <c r="ZG17" s="18"/>
      <c r="ZH17" s="18"/>
      <c r="ZI17" s="18"/>
      <c r="ZJ17" s="18"/>
      <c r="ZK17" s="18"/>
      <c r="ZL17" s="18"/>
      <c r="ZM17" s="18"/>
      <c r="ZN17" s="18"/>
      <c r="ZO17" s="18"/>
      <c r="ZP17" s="18"/>
      <c r="ZQ17" s="18"/>
      <c r="ZR17" s="18"/>
      <c r="ZS17" s="18"/>
      <c r="ZT17" s="18"/>
      <c r="ZU17" s="18"/>
      <c r="ZV17" s="18"/>
      <c r="ZW17" s="18"/>
      <c r="ZX17" s="18"/>
      <c r="ZY17" s="18"/>
      <c r="ZZ17" s="18"/>
      <c r="AAA17" s="18"/>
      <c r="AAB17" s="18"/>
      <c r="AAC17" s="18"/>
      <c r="AAD17" s="18"/>
      <c r="AAE17" s="18"/>
      <c r="AAF17" s="18"/>
      <c r="AAG17" s="18"/>
      <c r="AAH17" s="18"/>
      <c r="AAI17" s="18"/>
      <c r="AAJ17" s="18"/>
      <c r="AAK17" s="18"/>
      <c r="AAL17" s="18"/>
      <c r="AAM17" s="18"/>
      <c r="AAN17" s="18"/>
      <c r="AAO17" s="18"/>
      <c r="AAP17" s="18"/>
      <c r="AAQ17" s="18"/>
      <c r="AAR17" s="18"/>
      <c r="AAS17" s="18"/>
      <c r="AAT17" s="18"/>
      <c r="AAU17" s="18"/>
      <c r="AAV17" s="18"/>
      <c r="AAW17" s="18"/>
      <c r="AAX17" s="18"/>
      <c r="AAY17" s="18"/>
      <c r="AAZ17" s="18"/>
      <c r="ABA17" s="18"/>
      <c r="ABB17" s="18"/>
      <c r="ABC17" s="18"/>
      <c r="ABD17" s="18"/>
      <c r="ABE17" s="18"/>
      <c r="ABF17" s="18"/>
      <c r="ABG17" s="18"/>
      <c r="ABH17" s="18"/>
      <c r="ABI17" s="18"/>
      <c r="ABJ17" s="18"/>
      <c r="ABK17" s="18"/>
      <c r="ABL17" s="18"/>
      <c r="ABM17" s="18"/>
      <c r="ABN17" s="18"/>
      <c r="ABO17" s="18"/>
      <c r="ABP17" s="18"/>
      <c r="ABQ17" s="18"/>
      <c r="ABR17" s="18"/>
      <c r="ABS17" s="18"/>
      <c r="ABT17" s="18"/>
      <c r="ABU17" s="18"/>
      <c r="ABV17" s="18"/>
      <c r="ABW17" s="18"/>
      <c r="ABX17" s="18"/>
      <c r="ABY17" s="18"/>
      <c r="ABZ17" s="18"/>
      <c r="ACA17" s="18"/>
      <c r="ACB17" s="18"/>
      <c r="ACC17" s="18"/>
      <c r="ACD17" s="18"/>
      <c r="ACE17" s="18"/>
      <c r="ACF17" s="18"/>
      <c r="ACG17" s="18"/>
      <c r="ACH17" s="18"/>
      <c r="ACI17" s="18"/>
      <c r="ACJ17" s="18"/>
      <c r="ACK17" s="18"/>
      <c r="ACL17" s="18"/>
      <c r="ACM17" s="18"/>
      <c r="ACN17" s="18"/>
      <c r="ACO17" s="18"/>
      <c r="ACP17" s="18"/>
      <c r="ACQ17" s="18"/>
      <c r="ACR17" s="18"/>
      <c r="ACS17" s="18"/>
      <c r="ACT17" s="18"/>
      <c r="ACU17" s="18"/>
      <c r="ACV17" s="18"/>
      <c r="ACW17" s="18"/>
      <c r="ACX17" s="18"/>
      <c r="ACY17" s="18"/>
      <c r="ACZ17" s="18"/>
      <c r="ADA17" s="18"/>
      <c r="ADB17" s="18"/>
      <c r="ADC17" s="18"/>
      <c r="ADD17" s="18"/>
      <c r="ADE17" s="18"/>
      <c r="ADF17" s="18"/>
      <c r="ADG17" s="18"/>
      <c r="ADH17" s="18"/>
      <c r="ADI17" s="18"/>
      <c r="ADJ17" s="18"/>
      <c r="ADK17" s="18"/>
      <c r="ADL17" s="18"/>
      <c r="ADM17" s="18"/>
      <c r="ADN17" s="18"/>
      <c r="ADO17" s="18"/>
      <c r="ADP17" s="18"/>
      <c r="ADQ17" s="18"/>
      <c r="ADR17" s="18"/>
      <c r="ADS17" s="18"/>
      <c r="ADT17" s="18"/>
      <c r="ADU17" s="18"/>
      <c r="ADV17" s="18"/>
      <c r="ADW17" s="18"/>
      <c r="ADX17" s="18"/>
      <c r="ADY17" s="18"/>
      <c r="ADZ17" s="18"/>
      <c r="AEA17" s="18"/>
      <c r="AEB17" s="18"/>
      <c r="AEC17" s="18"/>
      <c r="AED17" s="18"/>
      <c r="AEE17" s="18"/>
      <c r="AEF17" s="18"/>
      <c r="AEG17" s="18"/>
      <c r="AEH17" s="18"/>
      <c r="AEI17" s="18"/>
      <c r="AEJ17" s="18"/>
      <c r="AEK17" s="18"/>
      <c r="AEL17" s="18"/>
      <c r="AEM17" s="18"/>
      <c r="AEN17" s="18"/>
      <c r="AEO17" s="18"/>
      <c r="AEP17" s="18"/>
      <c r="AEQ17" s="18"/>
      <c r="AER17" s="18"/>
      <c r="AES17" s="18"/>
      <c r="AET17" s="18"/>
      <c r="AEU17" s="18"/>
      <c r="AEV17" s="18"/>
      <c r="AEW17" s="18"/>
      <c r="AEX17" s="18"/>
      <c r="AEY17" s="18"/>
      <c r="AEZ17" s="18"/>
      <c r="AFA17" s="18"/>
      <c r="AFB17" s="18"/>
      <c r="AFC17" s="18"/>
      <c r="AFD17" s="18"/>
      <c r="AFE17" s="18"/>
      <c r="AFF17" s="18"/>
      <c r="AFG17" s="18"/>
      <c r="AFH17" s="18"/>
      <c r="AFI17" s="18"/>
      <c r="AFJ17" s="18"/>
      <c r="AFK17" s="18"/>
      <c r="AFL17" s="18"/>
      <c r="AFM17" s="18"/>
      <c r="AFN17" s="18"/>
      <c r="AFO17" s="18"/>
      <c r="AFP17" s="18"/>
      <c r="AFQ17" s="18"/>
      <c r="AFR17" s="18"/>
      <c r="AFS17" s="18"/>
      <c r="AFT17" s="18"/>
      <c r="AFU17" s="18"/>
      <c r="AFV17" s="18"/>
      <c r="AFW17" s="18"/>
      <c r="AFX17" s="18"/>
      <c r="AFY17" s="18"/>
      <c r="AFZ17" s="18"/>
      <c r="AGA17" s="18"/>
      <c r="AGB17" s="18"/>
      <c r="AGC17" s="18"/>
      <c r="AGD17" s="18"/>
      <c r="AGE17" s="18"/>
      <c r="AGF17" s="18"/>
      <c r="AGG17" s="18"/>
      <c r="AGH17" s="18"/>
      <c r="AGI17" s="18"/>
      <c r="AGJ17" s="18"/>
      <c r="AGK17" s="18"/>
      <c r="AGL17" s="18"/>
      <c r="AGM17" s="18"/>
      <c r="AGN17" s="18"/>
      <c r="AGO17" s="18"/>
      <c r="AGP17" s="18"/>
      <c r="AGQ17" s="18"/>
      <c r="AGR17" s="18"/>
      <c r="AGS17" s="18"/>
      <c r="AGT17" s="18"/>
      <c r="AGU17" s="18"/>
      <c r="AGV17" s="18"/>
      <c r="AGW17" s="18"/>
      <c r="AGX17" s="18"/>
      <c r="AGY17" s="18"/>
      <c r="AGZ17" s="18"/>
      <c r="AHA17" s="18"/>
      <c r="AHB17" s="18"/>
      <c r="AHC17" s="18"/>
      <c r="AHD17" s="18"/>
      <c r="AHE17" s="18"/>
      <c r="AHF17" s="18"/>
      <c r="AHG17" s="18"/>
      <c r="AHH17" s="18"/>
      <c r="AHI17" s="18"/>
      <c r="AHJ17" s="18"/>
      <c r="AHK17" s="18"/>
      <c r="AHL17" s="18"/>
      <c r="AHM17" s="18"/>
      <c r="AHN17" s="18"/>
      <c r="AHO17" s="18"/>
      <c r="AHP17" s="18"/>
      <c r="AHQ17" s="18"/>
      <c r="AHR17" s="18"/>
      <c r="AHS17" s="18"/>
      <c r="AHT17" s="18"/>
      <c r="AHU17" s="18"/>
      <c r="AHV17" s="18"/>
      <c r="AHW17" s="18"/>
      <c r="AHX17" s="18"/>
      <c r="AHY17" s="18"/>
      <c r="AHZ17" s="18"/>
      <c r="AIA17" s="18"/>
      <c r="AIB17" s="18"/>
      <c r="AIC17" s="18"/>
      <c r="AID17" s="18"/>
      <c r="AIE17" s="18"/>
      <c r="AIF17" s="18"/>
      <c r="AIG17" s="18"/>
      <c r="AIH17" s="18"/>
      <c r="AII17" s="18"/>
      <c r="AIJ17" s="18"/>
      <c r="AIK17" s="18"/>
      <c r="AIL17" s="18"/>
      <c r="AIM17" s="18"/>
      <c r="AIN17" s="18"/>
      <c r="AIO17" s="18"/>
      <c r="AIP17" s="18"/>
      <c r="AIQ17" s="18"/>
      <c r="AIR17" s="18"/>
      <c r="AIS17" s="18"/>
      <c r="AIT17" s="18"/>
      <c r="AIU17" s="18"/>
      <c r="AIV17" s="18"/>
      <c r="AIW17" s="18"/>
      <c r="AIX17" s="18"/>
      <c r="AIY17" s="18"/>
      <c r="AIZ17" s="18"/>
      <c r="AJA17" s="18"/>
      <c r="AJB17" s="18"/>
      <c r="AJC17" s="18"/>
      <c r="AJD17" s="18"/>
      <c r="AJE17" s="18"/>
      <c r="AJF17" s="18"/>
      <c r="AJG17" s="18"/>
      <c r="AJH17" s="18"/>
      <c r="AJI17" s="18"/>
      <c r="AJJ17" s="18"/>
      <c r="AJK17" s="18"/>
      <c r="AJL17" s="18"/>
      <c r="AJM17" s="18"/>
      <c r="AJN17" s="18"/>
      <c r="AJO17" s="18"/>
      <c r="AJP17" s="18"/>
      <c r="AJQ17" s="18"/>
      <c r="AJR17" s="18"/>
      <c r="AJS17" s="18"/>
      <c r="AJT17" s="18"/>
      <c r="AJU17" s="18"/>
      <c r="AJV17" s="18"/>
      <c r="AJW17" s="18"/>
      <c r="AJX17" s="18"/>
      <c r="AJY17" s="18"/>
      <c r="AJZ17" s="18"/>
      <c r="AKA17" s="18"/>
      <c r="AKB17" s="18"/>
      <c r="AKC17" s="18"/>
      <c r="AKD17" s="18"/>
      <c r="AKE17" s="18"/>
      <c r="AKF17" s="18"/>
      <c r="AKG17" s="18"/>
      <c r="AKH17" s="18"/>
      <c r="AKI17" s="18"/>
      <c r="AKJ17" s="18"/>
      <c r="AKK17" s="18"/>
      <c r="AKL17" s="18"/>
      <c r="AKM17" s="18"/>
      <c r="AKN17" s="18"/>
      <c r="AKO17" s="18"/>
      <c r="AKP17" s="18"/>
      <c r="AKQ17" s="18"/>
      <c r="AKR17" s="18"/>
      <c r="AKS17" s="18"/>
      <c r="AKT17" s="18"/>
      <c r="AKU17" s="18"/>
      <c r="AKV17" s="18"/>
      <c r="AKW17" s="18"/>
      <c r="AKX17" s="18"/>
      <c r="AKY17" s="18"/>
      <c r="AKZ17" s="18"/>
      <c r="ALA17" s="18"/>
      <c r="ALB17" s="18"/>
      <c r="ALC17" s="18"/>
      <c r="ALD17" s="18"/>
      <c r="ALE17" s="18"/>
      <c r="ALF17" s="18"/>
      <c r="ALG17" s="18"/>
      <c r="ALH17" s="18"/>
      <c r="ALI17" s="18"/>
      <c r="ALJ17" s="18"/>
      <c r="ALK17" s="18"/>
      <c r="ALL17" s="18"/>
      <c r="ALM17" s="18"/>
      <c r="ALN17" s="18"/>
      <c r="ALO17" s="18"/>
      <c r="ALP17" s="18"/>
      <c r="ALQ17" s="18"/>
      <c r="ALR17" s="18"/>
      <c r="ALS17" s="18"/>
      <c r="ALT17" s="18"/>
      <c r="ALU17" s="18"/>
      <c r="ALV17" s="18"/>
      <c r="ALW17" s="18"/>
      <c r="ALX17" s="18"/>
      <c r="ALY17" s="18"/>
      <c r="ALZ17" s="18"/>
      <c r="AMA17" s="18"/>
      <c r="AMB17" s="18"/>
      <c r="AMC17" s="18"/>
      <c r="AMD17" s="18"/>
      <c r="AME17" s="18"/>
      <c r="AMF17" s="18"/>
      <c r="AMG17" s="18"/>
      <c r="AMH17" s="18"/>
    </row>
    <row r="18" spans="1:1022" s="23" customFormat="1" x14ac:dyDescent="0.3">
      <c r="A18" s="33">
        <v>114</v>
      </c>
      <c r="B18" s="19"/>
      <c r="C18" s="19"/>
      <c r="D18" s="57" t="s">
        <v>293</v>
      </c>
      <c r="E18" s="34" t="s">
        <v>448</v>
      </c>
      <c r="F18" s="19"/>
      <c r="G18" s="19"/>
      <c r="H18" s="38" t="s">
        <v>281</v>
      </c>
      <c r="I18" s="31"/>
      <c r="J18" s="31"/>
      <c r="K18" s="31"/>
      <c r="L18" s="31"/>
      <c r="M18" s="32"/>
      <c r="N18" s="32"/>
      <c r="O18" s="18"/>
      <c r="P18" s="36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  <c r="IT18" s="18"/>
      <c r="IU18" s="18"/>
      <c r="IV18" s="18"/>
      <c r="IW18" s="18"/>
      <c r="IX18" s="18"/>
      <c r="IY18" s="18"/>
      <c r="IZ18" s="18"/>
      <c r="JA18" s="18"/>
      <c r="JB18" s="18"/>
      <c r="JC18" s="18"/>
      <c r="JD18" s="18"/>
      <c r="JE18" s="18"/>
      <c r="JF18" s="18"/>
      <c r="JG18" s="18"/>
      <c r="JH18" s="18"/>
      <c r="JI18" s="18"/>
      <c r="JJ18" s="18"/>
      <c r="JK18" s="18"/>
      <c r="JL18" s="18"/>
      <c r="JM18" s="18"/>
      <c r="JN18" s="18"/>
      <c r="JO18" s="18"/>
      <c r="JP18" s="18"/>
      <c r="JQ18" s="18"/>
      <c r="JR18" s="18"/>
      <c r="JS18" s="18"/>
      <c r="JT18" s="18"/>
      <c r="JU18" s="18"/>
      <c r="JV18" s="18"/>
      <c r="JW18" s="18"/>
      <c r="JX18" s="18"/>
      <c r="JY18" s="18"/>
      <c r="JZ18" s="18"/>
      <c r="KA18" s="18"/>
      <c r="KB18" s="18"/>
      <c r="KC18" s="18"/>
      <c r="KD18" s="18"/>
      <c r="KE18" s="18"/>
      <c r="KF18" s="18"/>
      <c r="KG18" s="18"/>
      <c r="KH18" s="18"/>
      <c r="KI18" s="18"/>
      <c r="KJ18" s="18"/>
      <c r="KK18" s="18"/>
      <c r="KL18" s="18"/>
      <c r="KM18" s="18"/>
      <c r="KN18" s="18"/>
      <c r="KO18" s="18"/>
      <c r="KP18" s="18"/>
      <c r="KQ18" s="18"/>
      <c r="KR18" s="18"/>
      <c r="KS18" s="18"/>
      <c r="KT18" s="18"/>
      <c r="KU18" s="18"/>
      <c r="KV18" s="18"/>
      <c r="KW18" s="18"/>
      <c r="KX18" s="18"/>
      <c r="KY18" s="18"/>
      <c r="KZ18" s="18"/>
      <c r="LA18" s="18"/>
      <c r="LB18" s="18"/>
      <c r="LC18" s="18"/>
      <c r="LD18" s="18"/>
      <c r="LE18" s="18"/>
      <c r="LF18" s="18"/>
      <c r="LG18" s="18"/>
      <c r="LH18" s="18"/>
      <c r="LI18" s="18"/>
      <c r="LJ18" s="18"/>
      <c r="LK18" s="18"/>
      <c r="LL18" s="18"/>
      <c r="LM18" s="18"/>
      <c r="LN18" s="18"/>
      <c r="LO18" s="18"/>
      <c r="LP18" s="18"/>
      <c r="LQ18" s="18"/>
      <c r="LR18" s="18"/>
      <c r="LS18" s="18"/>
      <c r="LT18" s="18"/>
      <c r="LU18" s="18"/>
      <c r="LV18" s="18"/>
      <c r="LW18" s="18"/>
      <c r="LX18" s="18"/>
      <c r="LY18" s="18"/>
      <c r="LZ18" s="18"/>
      <c r="MA18" s="18"/>
      <c r="MB18" s="18"/>
      <c r="MC18" s="18"/>
      <c r="MD18" s="18"/>
      <c r="ME18" s="18"/>
      <c r="MF18" s="18"/>
      <c r="MG18" s="18"/>
      <c r="MH18" s="18"/>
      <c r="MI18" s="18"/>
      <c r="MJ18" s="18"/>
      <c r="MK18" s="18"/>
      <c r="ML18" s="18"/>
      <c r="MM18" s="18"/>
      <c r="MN18" s="18"/>
      <c r="MO18" s="18"/>
      <c r="MP18" s="18"/>
      <c r="MQ18" s="18"/>
      <c r="MR18" s="18"/>
      <c r="MS18" s="18"/>
      <c r="MT18" s="18"/>
      <c r="MU18" s="18"/>
      <c r="MV18" s="18"/>
      <c r="MW18" s="18"/>
      <c r="MX18" s="18"/>
      <c r="MY18" s="18"/>
      <c r="MZ18" s="18"/>
      <c r="NA18" s="18"/>
      <c r="NB18" s="18"/>
      <c r="NC18" s="18"/>
      <c r="ND18" s="18"/>
      <c r="NE18" s="18"/>
      <c r="NF18" s="18"/>
      <c r="NG18" s="18"/>
      <c r="NH18" s="18"/>
      <c r="NI18" s="18"/>
      <c r="NJ18" s="18"/>
      <c r="NK18" s="18"/>
      <c r="NL18" s="18"/>
      <c r="NM18" s="18"/>
      <c r="NN18" s="18"/>
      <c r="NO18" s="18"/>
      <c r="NP18" s="18"/>
      <c r="NQ18" s="18"/>
      <c r="NR18" s="18"/>
      <c r="NS18" s="18"/>
      <c r="NT18" s="18"/>
      <c r="NU18" s="18"/>
      <c r="NV18" s="18"/>
      <c r="NW18" s="18"/>
      <c r="NX18" s="18"/>
      <c r="NY18" s="18"/>
      <c r="NZ18" s="18"/>
      <c r="OA18" s="18"/>
      <c r="OB18" s="18"/>
      <c r="OC18" s="18"/>
      <c r="OD18" s="18"/>
      <c r="OE18" s="18"/>
      <c r="OF18" s="18"/>
      <c r="OG18" s="18"/>
      <c r="OH18" s="18"/>
      <c r="OI18" s="18"/>
      <c r="OJ18" s="18"/>
      <c r="OK18" s="18"/>
      <c r="OL18" s="18"/>
      <c r="OM18" s="18"/>
      <c r="ON18" s="18"/>
      <c r="OO18" s="18"/>
      <c r="OP18" s="18"/>
      <c r="OQ18" s="18"/>
      <c r="OR18" s="18"/>
      <c r="OS18" s="18"/>
      <c r="OT18" s="18"/>
      <c r="OU18" s="18"/>
      <c r="OV18" s="18"/>
      <c r="OW18" s="18"/>
      <c r="OX18" s="18"/>
      <c r="OY18" s="18"/>
      <c r="OZ18" s="18"/>
      <c r="PA18" s="18"/>
      <c r="PB18" s="18"/>
      <c r="PC18" s="18"/>
      <c r="PD18" s="18"/>
      <c r="PE18" s="18"/>
      <c r="PF18" s="18"/>
      <c r="PG18" s="18"/>
      <c r="PH18" s="18"/>
      <c r="PI18" s="18"/>
      <c r="PJ18" s="18"/>
      <c r="PK18" s="18"/>
      <c r="PL18" s="18"/>
      <c r="PM18" s="18"/>
      <c r="PN18" s="18"/>
      <c r="PO18" s="18"/>
      <c r="PP18" s="18"/>
      <c r="PQ18" s="18"/>
      <c r="PR18" s="18"/>
      <c r="PS18" s="18"/>
      <c r="PT18" s="18"/>
      <c r="PU18" s="18"/>
      <c r="PV18" s="18"/>
      <c r="PW18" s="18"/>
      <c r="PX18" s="18"/>
      <c r="PY18" s="18"/>
      <c r="PZ18" s="18"/>
      <c r="QA18" s="18"/>
      <c r="QB18" s="18"/>
      <c r="QC18" s="18"/>
      <c r="QD18" s="18"/>
      <c r="QE18" s="18"/>
      <c r="QF18" s="18"/>
      <c r="QG18" s="18"/>
      <c r="QH18" s="18"/>
      <c r="QI18" s="18"/>
      <c r="QJ18" s="18"/>
      <c r="QK18" s="18"/>
      <c r="QL18" s="18"/>
      <c r="QM18" s="18"/>
      <c r="QN18" s="18"/>
      <c r="QO18" s="18"/>
      <c r="QP18" s="18"/>
      <c r="QQ18" s="18"/>
      <c r="QR18" s="18"/>
      <c r="QS18" s="18"/>
      <c r="QT18" s="18"/>
      <c r="QU18" s="18"/>
      <c r="QV18" s="18"/>
      <c r="QW18" s="18"/>
      <c r="QX18" s="18"/>
      <c r="QY18" s="18"/>
      <c r="QZ18" s="18"/>
      <c r="RA18" s="18"/>
      <c r="RB18" s="18"/>
      <c r="RC18" s="18"/>
      <c r="RD18" s="18"/>
      <c r="RE18" s="18"/>
      <c r="RF18" s="18"/>
      <c r="RG18" s="18"/>
      <c r="RH18" s="18"/>
      <c r="RI18" s="18"/>
      <c r="RJ18" s="18"/>
      <c r="RK18" s="18"/>
      <c r="RL18" s="18"/>
      <c r="RM18" s="18"/>
      <c r="RN18" s="18"/>
      <c r="RO18" s="18"/>
      <c r="RP18" s="18"/>
      <c r="RQ18" s="18"/>
      <c r="RR18" s="18"/>
      <c r="RS18" s="18"/>
      <c r="RT18" s="18"/>
      <c r="RU18" s="18"/>
      <c r="RV18" s="18"/>
      <c r="RW18" s="18"/>
      <c r="RX18" s="18"/>
      <c r="RY18" s="18"/>
      <c r="RZ18" s="18"/>
      <c r="SA18" s="18"/>
      <c r="SB18" s="18"/>
      <c r="SC18" s="18"/>
      <c r="SD18" s="18"/>
      <c r="SE18" s="18"/>
      <c r="SF18" s="18"/>
      <c r="SG18" s="18"/>
      <c r="SH18" s="18"/>
      <c r="SI18" s="18"/>
      <c r="SJ18" s="18"/>
      <c r="SK18" s="18"/>
      <c r="SL18" s="18"/>
      <c r="SM18" s="18"/>
      <c r="SN18" s="18"/>
      <c r="SO18" s="18"/>
      <c r="SP18" s="18"/>
      <c r="SQ18" s="18"/>
      <c r="SR18" s="18"/>
      <c r="SS18" s="18"/>
      <c r="ST18" s="18"/>
      <c r="SU18" s="18"/>
      <c r="SV18" s="18"/>
      <c r="SW18" s="18"/>
      <c r="SX18" s="18"/>
      <c r="SY18" s="18"/>
      <c r="SZ18" s="18"/>
      <c r="TA18" s="18"/>
      <c r="TB18" s="18"/>
      <c r="TC18" s="18"/>
      <c r="TD18" s="18"/>
      <c r="TE18" s="18"/>
      <c r="TF18" s="18"/>
      <c r="TG18" s="18"/>
      <c r="TH18" s="18"/>
      <c r="TI18" s="18"/>
      <c r="TJ18" s="18"/>
      <c r="TK18" s="18"/>
      <c r="TL18" s="18"/>
      <c r="TM18" s="18"/>
      <c r="TN18" s="18"/>
      <c r="TO18" s="18"/>
      <c r="TP18" s="18"/>
      <c r="TQ18" s="18"/>
      <c r="TR18" s="18"/>
      <c r="TS18" s="18"/>
      <c r="TT18" s="18"/>
      <c r="TU18" s="18"/>
      <c r="TV18" s="18"/>
      <c r="TW18" s="18"/>
      <c r="TX18" s="18"/>
      <c r="TY18" s="18"/>
      <c r="TZ18" s="18"/>
      <c r="UA18" s="18"/>
      <c r="UB18" s="18"/>
      <c r="UC18" s="18"/>
      <c r="UD18" s="18"/>
      <c r="UE18" s="18"/>
      <c r="UF18" s="18"/>
      <c r="UG18" s="18"/>
      <c r="UH18" s="18"/>
      <c r="UI18" s="18"/>
      <c r="UJ18" s="18"/>
      <c r="UK18" s="18"/>
      <c r="UL18" s="18"/>
      <c r="UM18" s="18"/>
      <c r="UN18" s="18"/>
      <c r="UO18" s="18"/>
      <c r="UP18" s="18"/>
      <c r="UQ18" s="18"/>
      <c r="UR18" s="18"/>
      <c r="US18" s="18"/>
      <c r="UT18" s="18"/>
      <c r="UU18" s="18"/>
      <c r="UV18" s="18"/>
      <c r="UW18" s="18"/>
      <c r="UX18" s="18"/>
      <c r="UY18" s="18"/>
      <c r="UZ18" s="18"/>
      <c r="VA18" s="18"/>
      <c r="VB18" s="18"/>
      <c r="VC18" s="18"/>
      <c r="VD18" s="18"/>
      <c r="VE18" s="18"/>
      <c r="VF18" s="18"/>
      <c r="VG18" s="18"/>
      <c r="VH18" s="18"/>
      <c r="VI18" s="18"/>
      <c r="VJ18" s="18"/>
      <c r="VK18" s="18"/>
      <c r="VL18" s="18"/>
      <c r="VM18" s="18"/>
      <c r="VN18" s="18"/>
      <c r="VO18" s="18"/>
      <c r="VP18" s="18"/>
      <c r="VQ18" s="18"/>
      <c r="VR18" s="18"/>
      <c r="VS18" s="18"/>
      <c r="VT18" s="18"/>
      <c r="VU18" s="18"/>
      <c r="VV18" s="18"/>
      <c r="VW18" s="18"/>
      <c r="VX18" s="18"/>
      <c r="VY18" s="18"/>
      <c r="VZ18" s="18"/>
      <c r="WA18" s="18"/>
      <c r="WB18" s="18"/>
      <c r="WC18" s="18"/>
      <c r="WD18" s="18"/>
      <c r="WE18" s="18"/>
      <c r="WF18" s="18"/>
      <c r="WG18" s="18"/>
      <c r="WH18" s="18"/>
      <c r="WI18" s="18"/>
      <c r="WJ18" s="18"/>
      <c r="WK18" s="18"/>
      <c r="WL18" s="18"/>
      <c r="WM18" s="18"/>
      <c r="WN18" s="18"/>
      <c r="WO18" s="18"/>
      <c r="WP18" s="18"/>
      <c r="WQ18" s="18"/>
      <c r="WR18" s="18"/>
      <c r="WS18" s="18"/>
      <c r="WT18" s="18"/>
      <c r="WU18" s="18"/>
      <c r="WV18" s="18"/>
      <c r="WW18" s="18"/>
      <c r="WX18" s="18"/>
      <c r="WY18" s="18"/>
      <c r="WZ18" s="18"/>
      <c r="XA18" s="18"/>
      <c r="XB18" s="18"/>
      <c r="XC18" s="18"/>
      <c r="XD18" s="18"/>
      <c r="XE18" s="18"/>
      <c r="XF18" s="18"/>
      <c r="XG18" s="18"/>
      <c r="XH18" s="18"/>
      <c r="XI18" s="18"/>
      <c r="XJ18" s="18"/>
      <c r="XK18" s="18"/>
      <c r="XL18" s="18"/>
      <c r="XM18" s="18"/>
      <c r="XN18" s="18"/>
      <c r="XO18" s="18"/>
      <c r="XP18" s="18"/>
      <c r="XQ18" s="18"/>
      <c r="XR18" s="18"/>
      <c r="XS18" s="18"/>
      <c r="XT18" s="18"/>
      <c r="XU18" s="18"/>
      <c r="XV18" s="18"/>
      <c r="XW18" s="18"/>
      <c r="XX18" s="18"/>
      <c r="XY18" s="18"/>
      <c r="XZ18" s="18"/>
      <c r="YA18" s="18"/>
      <c r="YB18" s="18"/>
      <c r="YC18" s="18"/>
      <c r="YD18" s="18"/>
      <c r="YE18" s="18"/>
      <c r="YF18" s="18"/>
      <c r="YG18" s="18"/>
      <c r="YH18" s="18"/>
      <c r="YI18" s="18"/>
      <c r="YJ18" s="18"/>
      <c r="YK18" s="18"/>
      <c r="YL18" s="18"/>
      <c r="YM18" s="18"/>
      <c r="YN18" s="18"/>
      <c r="YO18" s="18"/>
      <c r="YP18" s="18"/>
      <c r="YQ18" s="18"/>
      <c r="YR18" s="18"/>
      <c r="YS18" s="18"/>
      <c r="YT18" s="18"/>
      <c r="YU18" s="18"/>
      <c r="YV18" s="18"/>
      <c r="YW18" s="18"/>
      <c r="YX18" s="18"/>
      <c r="YY18" s="18"/>
      <c r="YZ18" s="18"/>
      <c r="ZA18" s="18"/>
      <c r="ZB18" s="18"/>
      <c r="ZC18" s="18"/>
      <c r="ZD18" s="18"/>
      <c r="ZE18" s="18"/>
      <c r="ZF18" s="18"/>
      <c r="ZG18" s="18"/>
      <c r="ZH18" s="18"/>
      <c r="ZI18" s="18"/>
      <c r="ZJ18" s="18"/>
      <c r="ZK18" s="18"/>
      <c r="ZL18" s="18"/>
      <c r="ZM18" s="18"/>
      <c r="ZN18" s="18"/>
      <c r="ZO18" s="18"/>
      <c r="ZP18" s="18"/>
      <c r="ZQ18" s="18"/>
      <c r="ZR18" s="18"/>
      <c r="ZS18" s="18"/>
      <c r="ZT18" s="18"/>
      <c r="ZU18" s="18"/>
      <c r="ZV18" s="18"/>
      <c r="ZW18" s="18"/>
      <c r="ZX18" s="18"/>
      <c r="ZY18" s="18"/>
      <c r="ZZ18" s="18"/>
      <c r="AAA18" s="18"/>
      <c r="AAB18" s="18"/>
      <c r="AAC18" s="18"/>
      <c r="AAD18" s="18"/>
      <c r="AAE18" s="18"/>
      <c r="AAF18" s="18"/>
      <c r="AAG18" s="18"/>
      <c r="AAH18" s="18"/>
      <c r="AAI18" s="18"/>
      <c r="AAJ18" s="18"/>
      <c r="AAK18" s="18"/>
      <c r="AAL18" s="18"/>
      <c r="AAM18" s="18"/>
      <c r="AAN18" s="18"/>
      <c r="AAO18" s="18"/>
      <c r="AAP18" s="18"/>
      <c r="AAQ18" s="18"/>
      <c r="AAR18" s="18"/>
      <c r="AAS18" s="18"/>
      <c r="AAT18" s="18"/>
      <c r="AAU18" s="18"/>
      <c r="AAV18" s="18"/>
      <c r="AAW18" s="18"/>
      <c r="AAX18" s="18"/>
      <c r="AAY18" s="18"/>
      <c r="AAZ18" s="18"/>
      <c r="ABA18" s="18"/>
      <c r="ABB18" s="18"/>
      <c r="ABC18" s="18"/>
      <c r="ABD18" s="18"/>
      <c r="ABE18" s="18"/>
      <c r="ABF18" s="18"/>
      <c r="ABG18" s="18"/>
      <c r="ABH18" s="18"/>
      <c r="ABI18" s="18"/>
      <c r="ABJ18" s="18"/>
      <c r="ABK18" s="18"/>
      <c r="ABL18" s="18"/>
      <c r="ABM18" s="18"/>
      <c r="ABN18" s="18"/>
      <c r="ABO18" s="18"/>
      <c r="ABP18" s="18"/>
      <c r="ABQ18" s="18"/>
      <c r="ABR18" s="18"/>
      <c r="ABS18" s="18"/>
      <c r="ABT18" s="18"/>
      <c r="ABU18" s="18"/>
      <c r="ABV18" s="18"/>
      <c r="ABW18" s="18"/>
      <c r="ABX18" s="18"/>
      <c r="ABY18" s="18"/>
      <c r="ABZ18" s="18"/>
      <c r="ACA18" s="18"/>
      <c r="ACB18" s="18"/>
      <c r="ACC18" s="18"/>
      <c r="ACD18" s="18"/>
      <c r="ACE18" s="18"/>
      <c r="ACF18" s="18"/>
      <c r="ACG18" s="18"/>
      <c r="ACH18" s="18"/>
      <c r="ACI18" s="18"/>
      <c r="ACJ18" s="18"/>
      <c r="ACK18" s="18"/>
      <c r="ACL18" s="18"/>
      <c r="ACM18" s="18"/>
      <c r="ACN18" s="18"/>
      <c r="ACO18" s="18"/>
      <c r="ACP18" s="18"/>
      <c r="ACQ18" s="18"/>
      <c r="ACR18" s="18"/>
      <c r="ACS18" s="18"/>
      <c r="ACT18" s="18"/>
      <c r="ACU18" s="18"/>
      <c r="ACV18" s="18"/>
      <c r="ACW18" s="18"/>
      <c r="ACX18" s="18"/>
      <c r="ACY18" s="18"/>
      <c r="ACZ18" s="18"/>
      <c r="ADA18" s="18"/>
      <c r="ADB18" s="18"/>
      <c r="ADC18" s="18"/>
      <c r="ADD18" s="18"/>
      <c r="ADE18" s="18"/>
      <c r="ADF18" s="18"/>
      <c r="ADG18" s="18"/>
      <c r="ADH18" s="18"/>
      <c r="ADI18" s="18"/>
      <c r="ADJ18" s="18"/>
      <c r="ADK18" s="18"/>
      <c r="ADL18" s="18"/>
      <c r="ADM18" s="18"/>
      <c r="ADN18" s="18"/>
      <c r="ADO18" s="18"/>
      <c r="ADP18" s="18"/>
      <c r="ADQ18" s="18"/>
      <c r="ADR18" s="18"/>
      <c r="ADS18" s="18"/>
      <c r="ADT18" s="18"/>
      <c r="ADU18" s="18"/>
      <c r="ADV18" s="18"/>
      <c r="ADW18" s="18"/>
      <c r="ADX18" s="18"/>
      <c r="ADY18" s="18"/>
      <c r="ADZ18" s="18"/>
      <c r="AEA18" s="18"/>
      <c r="AEB18" s="18"/>
      <c r="AEC18" s="18"/>
      <c r="AED18" s="18"/>
      <c r="AEE18" s="18"/>
      <c r="AEF18" s="18"/>
      <c r="AEG18" s="18"/>
      <c r="AEH18" s="18"/>
      <c r="AEI18" s="18"/>
      <c r="AEJ18" s="18"/>
      <c r="AEK18" s="18"/>
      <c r="AEL18" s="18"/>
      <c r="AEM18" s="18"/>
      <c r="AEN18" s="18"/>
      <c r="AEO18" s="18"/>
      <c r="AEP18" s="18"/>
      <c r="AEQ18" s="18"/>
      <c r="AER18" s="18"/>
      <c r="AES18" s="18"/>
      <c r="AET18" s="18"/>
      <c r="AEU18" s="18"/>
      <c r="AEV18" s="18"/>
      <c r="AEW18" s="18"/>
      <c r="AEX18" s="18"/>
      <c r="AEY18" s="18"/>
      <c r="AEZ18" s="18"/>
      <c r="AFA18" s="18"/>
      <c r="AFB18" s="18"/>
      <c r="AFC18" s="18"/>
      <c r="AFD18" s="18"/>
      <c r="AFE18" s="18"/>
      <c r="AFF18" s="18"/>
      <c r="AFG18" s="18"/>
      <c r="AFH18" s="18"/>
      <c r="AFI18" s="18"/>
      <c r="AFJ18" s="18"/>
      <c r="AFK18" s="18"/>
      <c r="AFL18" s="18"/>
      <c r="AFM18" s="18"/>
      <c r="AFN18" s="18"/>
      <c r="AFO18" s="18"/>
      <c r="AFP18" s="18"/>
      <c r="AFQ18" s="18"/>
      <c r="AFR18" s="18"/>
      <c r="AFS18" s="18"/>
      <c r="AFT18" s="18"/>
      <c r="AFU18" s="18"/>
      <c r="AFV18" s="18"/>
      <c r="AFW18" s="18"/>
      <c r="AFX18" s="18"/>
      <c r="AFY18" s="18"/>
      <c r="AFZ18" s="18"/>
      <c r="AGA18" s="18"/>
      <c r="AGB18" s="18"/>
      <c r="AGC18" s="18"/>
      <c r="AGD18" s="18"/>
      <c r="AGE18" s="18"/>
      <c r="AGF18" s="18"/>
      <c r="AGG18" s="18"/>
      <c r="AGH18" s="18"/>
      <c r="AGI18" s="18"/>
      <c r="AGJ18" s="18"/>
      <c r="AGK18" s="18"/>
      <c r="AGL18" s="18"/>
      <c r="AGM18" s="18"/>
      <c r="AGN18" s="18"/>
      <c r="AGO18" s="18"/>
      <c r="AGP18" s="18"/>
      <c r="AGQ18" s="18"/>
      <c r="AGR18" s="18"/>
      <c r="AGS18" s="18"/>
      <c r="AGT18" s="18"/>
      <c r="AGU18" s="18"/>
      <c r="AGV18" s="18"/>
      <c r="AGW18" s="18"/>
      <c r="AGX18" s="18"/>
      <c r="AGY18" s="18"/>
      <c r="AGZ18" s="18"/>
      <c r="AHA18" s="18"/>
      <c r="AHB18" s="18"/>
      <c r="AHC18" s="18"/>
      <c r="AHD18" s="18"/>
      <c r="AHE18" s="18"/>
      <c r="AHF18" s="18"/>
      <c r="AHG18" s="18"/>
      <c r="AHH18" s="18"/>
      <c r="AHI18" s="18"/>
      <c r="AHJ18" s="18"/>
      <c r="AHK18" s="18"/>
      <c r="AHL18" s="18"/>
      <c r="AHM18" s="18"/>
      <c r="AHN18" s="18"/>
      <c r="AHO18" s="18"/>
      <c r="AHP18" s="18"/>
      <c r="AHQ18" s="18"/>
      <c r="AHR18" s="18"/>
      <c r="AHS18" s="18"/>
      <c r="AHT18" s="18"/>
      <c r="AHU18" s="18"/>
      <c r="AHV18" s="18"/>
      <c r="AHW18" s="18"/>
      <c r="AHX18" s="18"/>
      <c r="AHY18" s="18"/>
      <c r="AHZ18" s="18"/>
      <c r="AIA18" s="18"/>
      <c r="AIB18" s="18"/>
      <c r="AIC18" s="18"/>
      <c r="AID18" s="18"/>
      <c r="AIE18" s="18"/>
      <c r="AIF18" s="18"/>
      <c r="AIG18" s="18"/>
      <c r="AIH18" s="18"/>
      <c r="AII18" s="18"/>
      <c r="AIJ18" s="18"/>
      <c r="AIK18" s="18"/>
      <c r="AIL18" s="18"/>
      <c r="AIM18" s="18"/>
      <c r="AIN18" s="18"/>
      <c r="AIO18" s="18"/>
      <c r="AIP18" s="18"/>
      <c r="AIQ18" s="18"/>
      <c r="AIR18" s="18"/>
      <c r="AIS18" s="18"/>
      <c r="AIT18" s="18"/>
      <c r="AIU18" s="18"/>
      <c r="AIV18" s="18"/>
      <c r="AIW18" s="18"/>
      <c r="AIX18" s="18"/>
      <c r="AIY18" s="18"/>
      <c r="AIZ18" s="18"/>
      <c r="AJA18" s="18"/>
      <c r="AJB18" s="18"/>
      <c r="AJC18" s="18"/>
      <c r="AJD18" s="18"/>
      <c r="AJE18" s="18"/>
      <c r="AJF18" s="18"/>
      <c r="AJG18" s="18"/>
      <c r="AJH18" s="18"/>
      <c r="AJI18" s="18"/>
      <c r="AJJ18" s="18"/>
      <c r="AJK18" s="18"/>
      <c r="AJL18" s="18"/>
      <c r="AJM18" s="18"/>
      <c r="AJN18" s="18"/>
      <c r="AJO18" s="18"/>
      <c r="AJP18" s="18"/>
      <c r="AJQ18" s="18"/>
      <c r="AJR18" s="18"/>
      <c r="AJS18" s="18"/>
      <c r="AJT18" s="18"/>
      <c r="AJU18" s="18"/>
      <c r="AJV18" s="18"/>
      <c r="AJW18" s="18"/>
      <c r="AJX18" s="18"/>
      <c r="AJY18" s="18"/>
      <c r="AJZ18" s="18"/>
      <c r="AKA18" s="18"/>
      <c r="AKB18" s="18"/>
      <c r="AKC18" s="18"/>
      <c r="AKD18" s="18"/>
      <c r="AKE18" s="18"/>
      <c r="AKF18" s="18"/>
      <c r="AKG18" s="18"/>
      <c r="AKH18" s="18"/>
      <c r="AKI18" s="18"/>
      <c r="AKJ18" s="18"/>
      <c r="AKK18" s="18"/>
      <c r="AKL18" s="18"/>
      <c r="AKM18" s="18"/>
      <c r="AKN18" s="18"/>
      <c r="AKO18" s="18"/>
      <c r="AKP18" s="18"/>
      <c r="AKQ18" s="18"/>
      <c r="AKR18" s="18"/>
      <c r="AKS18" s="18"/>
      <c r="AKT18" s="18"/>
      <c r="AKU18" s="18"/>
      <c r="AKV18" s="18"/>
      <c r="AKW18" s="18"/>
      <c r="AKX18" s="18"/>
      <c r="AKY18" s="18"/>
      <c r="AKZ18" s="18"/>
      <c r="ALA18" s="18"/>
      <c r="ALB18" s="18"/>
      <c r="ALC18" s="18"/>
      <c r="ALD18" s="18"/>
      <c r="ALE18" s="18"/>
      <c r="ALF18" s="18"/>
      <c r="ALG18" s="18"/>
      <c r="ALH18" s="18"/>
      <c r="ALI18" s="18"/>
      <c r="ALJ18" s="18"/>
      <c r="ALK18" s="18"/>
      <c r="ALL18" s="18"/>
      <c r="ALM18" s="18"/>
      <c r="ALN18" s="18"/>
      <c r="ALO18" s="18"/>
      <c r="ALP18" s="18"/>
      <c r="ALQ18" s="18"/>
      <c r="ALR18" s="18"/>
      <c r="ALS18" s="18"/>
      <c r="ALT18" s="18"/>
      <c r="ALU18" s="18"/>
      <c r="ALV18" s="18"/>
      <c r="ALW18" s="18"/>
      <c r="ALX18" s="18"/>
      <c r="ALY18" s="18"/>
      <c r="ALZ18" s="18"/>
      <c r="AMA18" s="18"/>
      <c r="AMB18" s="18"/>
      <c r="AMC18" s="18"/>
      <c r="AMD18" s="18"/>
      <c r="AME18" s="18"/>
      <c r="AMF18" s="18"/>
      <c r="AMG18" s="18"/>
      <c r="AMH18" s="18"/>
    </row>
    <row r="19" spans="1:1022" s="23" customFormat="1" x14ac:dyDescent="0.3">
      <c r="A19" s="33">
        <v>115</v>
      </c>
      <c r="B19" s="19"/>
      <c r="C19" s="19"/>
      <c r="D19" s="57" t="s">
        <v>294</v>
      </c>
      <c r="E19" s="34" t="s">
        <v>449</v>
      </c>
      <c r="F19" s="19"/>
      <c r="G19" s="19"/>
      <c r="H19" s="38" t="s">
        <v>281</v>
      </c>
      <c r="I19" s="31"/>
      <c r="J19" s="31"/>
      <c r="K19" s="31"/>
      <c r="L19" s="31"/>
      <c r="M19" s="32"/>
      <c r="N19" s="32"/>
      <c r="O19" s="18"/>
      <c r="P19" s="36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  <c r="IQ19" s="18"/>
      <c r="IR19" s="18"/>
      <c r="IS19" s="18"/>
      <c r="IT19" s="18"/>
      <c r="IU19" s="18"/>
      <c r="IV19" s="18"/>
      <c r="IW19" s="18"/>
      <c r="IX19" s="18"/>
      <c r="IY19" s="18"/>
      <c r="IZ19" s="18"/>
      <c r="JA19" s="18"/>
      <c r="JB19" s="18"/>
      <c r="JC19" s="18"/>
      <c r="JD19" s="18"/>
      <c r="JE19" s="18"/>
      <c r="JF19" s="18"/>
      <c r="JG19" s="18"/>
      <c r="JH19" s="18"/>
      <c r="JI19" s="18"/>
      <c r="JJ19" s="18"/>
      <c r="JK19" s="18"/>
      <c r="JL19" s="18"/>
      <c r="JM19" s="18"/>
      <c r="JN19" s="18"/>
      <c r="JO19" s="18"/>
      <c r="JP19" s="18"/>
      <c r="JQ19" s="18"/>
      <c r="JR19" s="18"/>
      <c r="JS19" s="18"/>
      <c r="JT19" s="18"/>
      <c r="JU19" s="18"/>
      <c r="JV19" s="18"/>
      <c r="JW19" s="18"/>
      <c r="JX19" s="18"/>
      <c r="JY19" s="18"/>
      <c r="JZ19" s="18"/>
      <c r="KA19" s="18"/>
      <c r="KB19" s="18"/>
      <c r="KC19" s="18"/>
      <c r="KD19" s="18"/>
      <c r="KE19" s="18"/>
      <c r="KF19" s="18"/>
      <c r="KG19" s="18"/>
      <c r="KH19" s="18"/>
      <c r="KI19" s="18"/>
      <c r="KJ19" s="18"/>
      <c r="KK19" s="18"/>
      <c r="KL19" s="18"/>
      <c r="KM19" s="18"/>
      <c r="KN19" s="18"/>
      <c r="KO19" s="18"/>
      <c r="KP19" s="18"/>
      <c r="KQ19" s="18"/>
      <c r="KR19" s="18"/>
      <c r="KS19" s="18"/>
      <c r="KT19" s="18"/>
      <c r="KU19" s="18"/>
      <c r="KV19" s="18"/>
      <c r="KW19" s="18"/>
      <c r="KX19" s="18"/>
      <c r="KY19" s="18"/>
      <c r="KZ19" s="18"/>
      <c r="LA19" s="18"/>
      <c r="LB19" s="18"/>
      <c r="LC19" s="18"/>
      <c r="LD19" s="18"/>
      <c r="LE19" s="18"/>
      <c r="LF19" s="18"/>
      <c r="LG19" s="18"/>
      <c r="LH19" s="18"/>
      <c r="LI19" s="18"/>
      <c r="LJ19" s="18"/>
      <c r="LK19" s="18"/>
      <c r="LL19" s="18"/>
      <c r="LM19" s="18"/>
      <c r="LN19" s="18"/>
      <c r="LO19" s="18"/>
      <c r="LP19" s="18"/>
      <c r="LQ19" s="18"/>
      <c r="LR19" s="18"/>
      <c r="LS19" s="18"/>
      <c r="LT19" s="18"/>
      <c r="LU19" s="18"/>
      <c r="LV19" s="18"/>
      <c r="LW19" s="18"/>
      <c r="LX19" s="18"/>
      <c r="LY19" s="18"/>
      <c r="LZ19" s="18"/>
      <c r="MA19" s="18"/>
      <c r="MB19" s="18"/>
      <c r="MC19" s="18"/>
      <c r="MD19" s="18"/>
      <c r="ME19" s="18"/>
      <c r="MF19" s="18"/>
      <c r="MG19" s="18"/>
      <c r="MH19" s="18"/>
      <c r="MI19" s="18"/>
      <c r="MJ19" s="18"/>
      <c r="MK19" s="18"/>
      <c r="ML19" s="18"/>
      <c r="MM19" s="18"/>
      <c r="MN19" s="18"/>
      <c r="MO19" s="18"/>
      <c r="MP19" s="18"/>
      <c r="MQ19" s="18"/>
      <c r="MR19" s="18"/>
      <c r="MS19" s="18"/>
      <c r="MT19" s="18"/>
      <c r="MU19" s="18"/>
      <c r="MV19" s="18"/>
      <c r="MW19" s="18"/>
      <c r="MX19" s="18"/>
      <c r="MY19" s="18"/>
      <c r="MZ19" s="18"/>
      <c r="NA19" s="18"/>
      <c r="NB19" s="18"/>
      <c r="NC19" s="18"/>
      <c r="ND19" s="18"/>
      <c r="NE19" s="18"/>
      <c r="NF19" s="18"/>
      <c r="NG19" s="18"/>
      <c r="NH19" s="18"/>
      <c r="NI19" s="18"/>
      <c r="NJ19" s="18"/>
      <c r="NK19" s="18"/>
      <c r="NL19" s="18"/>
      <c r="NM19" s="18"/>
      <c r="NN19" s="18"/>
      <c r="NO19" s="18"/>
      <c r="NP19" s="18"/>
      <c r="NQ19" s="18"/>
      <c r="NR19" s="18"/>
      <c r="NS19" s="18"/>
      <c r="NT19" s="18"/>
      <c r="NU19" s="18"/>
      <c r="NV19" s="18"/>
      <c r="NW19" s="18"/>
      <c r="NX19" s="18"/>
      <c r="NY19" s="18"/>
      <c r="NZ19" s="18"/>
      <c r="OA19" s="18"/>
      <c r="OB19" s="18"/>
      <c r="OC19" s="18"/>
      <c r="OD19" s="18"/>
      <c r="OE19" s="18"/>
      <c r="OF19" s="18"/>
      <c r="OG19" s="18"/>
      <c r="OH19" s="18"/>
      <c r="OI19" s="18"/>
      <c r="OJ19" s="18"/>
      <c r="OK19" s="18"/>
      <c r="OL19" s="18"/>
      <c r="OM19" s="18"/>
      <c r="ON19" s="18"/>
      <c r="OO19" s="18"/>
      <c r="OP19" s="18"/>
      <c r="OQ19" s="18"/>
      <c r="OR19" s="18"/>
      <c r="OS19" s="18"/>
      <c r="OT19" s="18"/>
      <c r="OU19" s="18"/>
      <c r="OV19" s="18"/>
      <c r="OW19" s="18"/>
      <c r="OX19" s="18"/>
      <c r="OY19" s="18"/>
      <c r="OZ19" s="18"/>
      <c r="PA19" s="18"/>
      <c r="PB19" s="18"/>
      <c r="PC19" s="18"/>
      <c r="PD19" s="18"/>
      <c r="PE19" s="18"/>
      <c r="PF19" s="18"/>
      <c r="PG19" s="18"/>
      <c r="PH19" s="18"/>
      <c r="PI19" s="18"/>
      <c r="PJ19" s="18"/>
      <c r="PK19" s="18"/>
      <c r="PL19" s="18"/>
      <c r="PM19" s="18"/>
      <c r="PN19" s="18"/>
      <c r="PO19" s="18"/>
      <c r="PP19" s="18"/>
      <c r="PQ19" s="18"/>
      <c r="PR19" s="18"/>
      <c r="PS19" s="18"/>
      <c r="PT19" s="18"/>
      <c r="PU19" s="18"/>
      <c r="PV19" s="18"/>
      <c r="PW19" s="18"/>
      <c r="PX19" s="18"/>
      <c r="PY19" s="18"/>
      <c r="PZ19" s="18"/>
      <c r="QA19" s="18"/>
      <c r="QB19" s="18"/>
      <c r="QC19" s="18"/>
      <c r="QD19" s="18"/>
      <c r="QE19" s="18"/>
      <c r="QF19" s="18"/>
      <c r="QG19" s="18"/>
      <c r="QH19" s="18"/>
      <c r="QI19" s="18"/>
      <c r="QJ19" s="18"/>
      <c r="QK19" s="18"/>
      <c r="QL19" s="18"/>
      <c r="QM19" s="18"/>
      <c r="QN19" s="18"/>
      <c r="QO19" s="18"/>
      <c r="QP19" s="18"/>
      <c r="QQ19" s="18"/>
      <c r="QR19" s="18"/>
      <c r="QS19" s="18"/>
      <c r="QT19" s="18"/>
      <c r="QU19" s="18"/>
      <c r="QV19" s="18"/>
      <c r="QW19" s="18"/>
      <c r="QX19" s="18"/>
      <c r="QY19" s="18"/>
      <c r="QZ19" s="18"/>
      <c r="RA19" s="18"/>
      <c r="RB19" s="18"/>
      <c r="RC19" s="18"/>
      <c r="RD19" s="18"/>
      <c r="RE19" s="18"/>
      <c r="RF19" s="18"/>
      <c r="RG19" s="18"/>
      <c r="RH19" s="18"/>
      <c r="RI19" s="18"/>
      <c r="RJ19" s="18"/>
      <c r="RK19" s="18"/>
      <c r="RL19" s="18"/>
      <c r="RM19" s="18"/>
      <c r="RN19" s="18"/>
      <c r="RO19" s="18"/>
      <c r="RP19" s="18"/>
      <c r="RQ19" s="18"/>
      <c r="RR19" s="18"/>
      <c r="RS19" s="18"/>
      <c r="RT19" s="18"/>
      <c r="RU19" s="18"/>
      <c r="RV19" s="18"/>
      <c r="RW19" s="18"/>
      <c r="RX19" s="18"/>
      <c r="RY19" s="18"/>
      <c r="RZ19" s="18"/>
      <c r="SA19" s="18"/>
      <c r="SB19" s="18"/>
      <c r="SC19" s="18"/>
      <c r="SD19" s="18"/>
      <c r="SE19" s="18"/>
      <c r="SF19" s="18"/>
      <c r="SG19" s="18"/>
      <c r="SH19" s="18"/>
      <c r="SI19" s="18"/>
      <c r="SJ19" s="18"/>
      <c r="SK19" s="18"/>
      <c r="SL19" s="18"/>
      <c r="SM19" s="18"/>
      <c r="SN19" s="18"/>
      <c r="SO19" s="18"/>
      <c r="SP19" s="18"/>
      <c r="SQ19" s="18"/>
      <c r="SR19" s="18"/>
      <c r="SS19" s="18"/>
      <c r="ST19" s="18"/>
      <c r="SU19" s="18"/>
      <c r="SV19" s="18"/>
      <c r="SW19" s="18"/>
      <c r="SX19" s="18"/>
      <c r="SY19" s="18"/>
      <c r="SZ19" s="18"/>
      <c r="TA19" s="18"/>
      <c r="TB19" s="18"/>
      <c r="TC19" s="18"/>
      <c r="TD19" s="18"/>
      <c r="TE19" s="18"/>
      <c r="TF19" s="18"/>
      <c r="TG19" s="18"/>
      <c r="TH19" s="18"/>
      <c r="TI19" s="18"/>
      <c r="TJ19" s="18"/>
      <c r="TK19" s="18"/>
      <c r="TL19" s="18"/>
      <c r="TM19" s="18"/>
      <c r="TN19" s="18"/>
      <c r="TO19" s="18"/>
      <c r="TP19" s="18"/>
      <c r="TQ19" s="18"/>
      <c r="TR19" s="18"/>
      <c r="TS19" s="18"/>
      <c r="TT19" s="18"/>
      <c r="TU19" s="18"/>
      <c r="TV19" s="18"/>
      <c r="TW19" s="18"/>
      <c r="TX19" s="18"/>
      <c r="TY19" s="18"/>
      <c r="TZ19" s="18"/>
      <c r="UA19" s="18"/>
      <c r="UB19" s="18"/>
      <c r="UC19" s="18"/>
      <c r="UD19" s="18"/>
      <c r="UE19" s="18"/>
      <c r="UF19" s="18"/>
      <c r="UG19" s="18"/>
      <c r="UH19" s="18"/>
      <c r="UI19" s="18"/>
      <c r="UJ19" s="18"/>
      <c r="UK19" s="18"/>
      <c r="UL19" s="18"/>
      <c r="UM19" s="18"/>
      <c r="UN19" s="18"/>
      <c r="UO19" s="18"/>
      <c r="UP19" s="18"/>
      <c r="UQ19" s="18"/>
      <c r="UR19" s="18"/>
      <c r="US19" s="18"/>
      <c r="UT19" s="18"/>
      <c r="UU19" s="18"/>
      <c r="UV19" s="18"/>
      <c r="UW19" s="18"/>
      <c r="UX19" s="18"/>
      <c r="UY19" s="18"/>
      <c r="UZ19" s="18"/>
      <c r="VA19" s="18"/>
      <c r="VB19" s="18"/>
      <c r="VC19" s="18"/>
      <c r="VD19" s="18"/>
      <c r="VE19" s="18"/>
      <c r="VF19" s="18"/>
      <c r="VG19" s="18"/>
      <c r="VH19" s="18"/>
      <c r="VI19" s="18"/>
      <c r="VJ19" s="18"/>
      <c r="VK19" s="18"/>
      <c r="VL19" s="18"/>
      <c r="VM19" s="18"/>
      <c r="VN19" s="18"/>
      <c r="VO19" s="18"/>
      <c r="VP19" s="18"/>
      <c r="VQ19" s="18"/>
      <c r="VR19" s="18"/>
      <c r="VS19" s="18"/>
      <c r="VT19" s="18"/>
      <c r="VU19" s="18"/>
      <c r="VV19" s="18"/>
      <c r="VW19" s="18"/>
      <c r="VX19" s="18"/>
      <c r="VY19" s="18"/>
      <c r="VZ19" s="18"/>
      <c r="WA19" s="18"/>
      <c r="WB19" s="18"/>
      <c r="WC19" s="18"/>
      <c r="WD19" s="18"/>
      <c r="WE19" s="18"/>
      <c r="WF19" s="18"/>
      <c r="WG19" s="18"/>
      <c r="WH19" s="18"/>
      <c r="WI19" s="18"/>
      <c r="WJ19" s="18"/>
      <c r="WK19" s="18"/>
      <c r="WL19" s="18"/>
      <c r="WM19" s="18"/>
      <c r="WN19" s="18"/>
      <c r="WO19" s="18"/>
      <c r="WP19" s="18"/>
      <c r="WQ19" s="18"/>
      <c r="WR19" s="18"/>
      <c r="WS19" s="18"/>
      <c r="WT19" s="18"/>
      <c r="WU19" s="18"/>
      <c r="WV19" s="18"/>
      <c r="WW19" s="18"/>
      <c r="WX19" s="18"/>
      <c r="WY19" s="18"/>
      <c r="WZ19" s="18"/>
      <c r="XA19" s="18"/>
      <c r="XB19" s="18"/>
      <c r="XC19" s="18"/>
      <c r="XD19" s="18"/>
      <c r="XE19" s="18"/>
      <c r="XF19" s="18"/>
      <c r="XG19" s="18"/>
      <c r="XH19" s="18"/>
      <c r="XI19" s="18"/>
      <c r="XJ19" s="18"/>
      <c r="XK19" s="18"/>
      <c r="XL19" s="18"/>
      <c r="XM19" s="18"/>
      <c r="XN19" s="18"/>
      <c r="XO19" s="18"/>
      <c r="XP19" s="18"/>
      <c r="XQ19" s="18"/>
      <c r="XR19" s="18"/>
      <c r="XS19" s="18"/>
      <c r="XT19" s="18"/>
      <c r="XU19" s="18"/>
      <c r="XV19" s="18"/>
      <c r="XW19" s="18"/>
      <c r="XX19" s="18"/>
      <c r="XY19" s="18"/>
      <c r="XZ19" s="18"/>
      <c r="YA19" s="18"/>
      <c r="YB19" s="18"/>
      <c r="YC19" s="18"/>
      <c r="YD19" s="18"/>
      <c r="YE19" s="18"/>
      <c r="YF19" s="18"/>
      <c r="YG19" s="18"/>
      <c r="YH19" s="18"/>
      <c r="YI19" s="18"/>
      <c r="YJ19" s="18"/>
      <c r="YK19" s="18"/>
      <c r="YL19" s="18"/>
      <c r="YM19" s="18"/>
      <c r="YN19" s="18"/>
      <c r="YO19" s="18"/>
      <c r="YP19" s="18"/>
      <c r="YQ19" s="18"/>
      <c r="YR19" s="18"/>
      <c r="YS19" s="18"/>
      <c r="YT19" s="18"/>
      <c r="YU19" s="18"/>
      <c r="YV19" s="18"/>
      <c r="YW19" s="18"/>
      <c r="YX19" s="18"/>
      <c r="YY19" s="18"/>
      <c r="YZ19" s="18"/>
      <c r="ZA19" s="18"/>
      <c r="ZB19" s="18"/>
      <c r="ZC19" s="18"/>
      <c r="ZD19" s="18"/>
      <c r="ZE19" s="18"/>
      <c r="ZF19" s="18"/>
      <c r="ZG19" s="18"/>
      <c r="ZH19" s="18"/>
      <c r="ZI19" s="18"/>
      <c r="ZJ19" s="18"/>
      <c r="ZK19" s="18"/>
      <c r="ZL19" s="18"/>
      <c r="ZM19" s="18"/>
      <c r="ZN19" s="18"/>
      <c r="ZO19" s="18"/>
      <c r="ZP19" s="18"/>
      <c r="ZQ19" s="18"/>
      <c r="ZR19" s="18"/>
      <c r="ZS19" s="18"/>
      <c r="ZT19" s="18"/>
      <c r="ZU19" s="18"/>
      <c r="ZV19" s="18"/>
      <c r="ZW19" s="18"/>
      <c r="ZX19" s="18"/>
      <c r="ZY19" s="18"/>
      <c r="ZZ19" s="18"/>
      <c r="AAA19" s="18"/>
      <c r="AAB19" s="18"/>
      <c r="AAC19" s="18"/>
      <c r="AAD19" s="18"/>
      <c r="AAE19" s="18"/>
      <c r="AAF19" s="18"/>
      <c r="AAG19" s="18"/>
      <c r="AAH19" s="18"/>
      <c r="AAI19" s="18"/>
      <c r="AAJ19" s="18"/>
      <c r="AAK19" s="18"/>
      <c r="AAL19" s="18"/>
      <c r="AAM19" s="18"/>
      <c r="AAN19" s="18"/>
      <c r="AAO19" s="18"/>
      <c r="AAP19" s="18"/>
      <c r="AAQ19" s="18"/>
      <c r="AAR19" s="18"/>
      <c r="AAS19" s="18"/>
      <c r="AAT19" s="18"/>
      <c r="AAU19" s="18"/>
      <c r="AAV19" s="18"/>
      <c r="AAW19" s="18"/>
      <c r="AAX19" s="18"/>
      <c r="AAY19" s="18"/>
      <c r="AAZ19" s="18"/>
      <c r="ABA19" s="18"/>
      <c r="ABB19" s="18"/>
      <c r="ABC19" s="18"/>
      <c r="ABD19" s="18"/>
      <c r="ABE19" s="18"/>
      <c r="ABF19" s="18"/>
      <c r="ABG19" s="18"/>
      <c r="ABH19" s="18"/>
      <c r="ABI19" s="18"/>
      <c r="ABJ19" s="18"/>
      <c r="ABK19" s="18"/>
      <c r="ABL19" s="18"/>
      <c r="ABM19" s="18"/>
      <c r="ABN19" s="18"/>
      <c r="ABO19" s="18"/>
      <c r="ABP19" s="18"/>
      <c r="ABQ19" s="18"/>
      <c r="ABR19" s="18"/>
      <c r="ABS19" s="18"/>
      <c r="ABT19" s="18"/>
      <c r="ABU19" s="18"/>
      <c r="ABV19" s="18"/>
      <c r="ABW19" s="18"/>
      <c r="ABX19" s="18"/>
      <c r="ABY19" s="18"/>
      <c r="ABZ19" s="18"/>
      <c r="ACA19" s="18"/>
      <c r="ACB19" s="18"/>
      <c r="ACC19" s="18"/>
      <c r="ACD19" s="18"/>
      <c r="ACE19" s="18"/>
      <c r="ACF19" s="18"/>
      <c r="ACG19" s="18"/>
      <c r="ACH19" s="18"/>
      <c r="ACI19" s="18"/>
      <c r="ACJ19" s="18"/>
      <c r="ACK19" s="18"/>
      <c r="ACL19" s="18"/>
      <c r="ACM19" s="18"/>
      <c r="ACN19" s="18"/>
      <c r="ACO19" s="18"/>
      <c r="ACP19" s="18"/>
      <c r="ACQ19" s="18"/>
      <c r="ACR19" s="18"/>
      <c r="ACS19" s="18"/>
      <c r="ACT19" s="18"/>
      <c r="ACU19" s="18"/>
      <c r="ACV19" s="18"/>
      <c r="ACW19" s="18"/>
      <c r="ACX19" s="18"/>
      <c r="ACY19" s="18"/>
      <c r="ACZ19" s="18"/>
      <c r="ADA19" s="18"/>
      <c r="ADB19" s="18"/>
      <c r="ADC19" s="18"/>
      <c r="ADD19" s="18"/>
      <c r="ADE19" s="18"/>
      <c r="ADF19" s="18"/>
      <c r="ADG19" s="18"/>
      <c r="ADH19" s="18"/>
      <c r="ADI19" s="18"/>
      <c r="ADJ19" s="18"/>
      <c r="ADK19" s="18"/>
      <c r="ADL19" s="18"/>
      <c r="ADM19" s="18"/>
      <c r="ADN19" s="18"/>
      <c r="ADO19" s="18"/>
      <c r="ADP19" s="18"/>
      <c r="ADQ19" s="18"/>
      <c r="ADR19" s="18"/>
      <c r="ADS19" s="18"/>
      <c r="ADT19" s="18"/>
      <c r="ADU19" s="18"/>
      <c r="ADV19" s="18"/>
      <c r="ADW19" s="18"/>
      <c r="ADX19" s="18"/>
      <c r="ADY19" s="18"/>
      <c r="ADZ19" s="18"/>
      <c r="AEA19" s="18"/>
      <c r="AEB19" s="18"/>
      <c r="AEC19" s="18"/>
      <c r="AED19" s="18"/>
      <c r="AEE19" s="18"/>
      <c r="AEF19" s="18"/>
      <c r="AEG19" s="18"/>
      <c r="AEH19" s="18"/>
      <c r="AEI19" s="18"/>
      <c r="AEJ19" s="18"/>
      <c r="AEK19" s="18"/>
      <c r="AEL19" s="18"/>
      <c r="AEM19" s="18"/>
      <c r="AEN19" s="18"/>
      <c r="AEO19" s="18"/>
      <c r="AEP19" s="18"/>
      <c r="AEQ19" s="18"/>
      <c r="AER19" s="18"/>
      <c r="AES19" s="18"/>
      <c r="AET19" s="18"/>
      <c r="AEU19" s="18"/>
      <c r="AEV19" s="18"/>
      <c r="AEW19" s="18"/>
      <c r="AEX19" s="18"/>
      <c r="AEY19" s="18"/>
      <c r="AEZ19" s="18"/>
      <c r="AFA19" s="18"/>
      <c r="AFB19" s="18"/>
      <c r="AFC19" s="18"/>
      <c r="AFD19" s="18"/>
      <c r="AFE19" s="18"/>
      <c r="AFF19" s="18"/>
      <c r="AFG19" s="18"/>
      <c r="AFH19" s="18"/>
      <c r="AFI19" s="18"/>
      <c r="AFJ19" s="18"/>
      <c r="AFK19" s="18"/>
      <c r="AFL19" s="18"/>
      <c r="AFM19" s="18"/>
      <c r="AFN19" s="18"/>
      <c r="AFO19" s="18"/>
      <c r="AFP19" s="18"/>
      <c r="AFQ19" s="18"/>
      <c r="AFR19" s="18"/>
      <c r="AFS19" s="18"/>
      <c r="AFT19" s="18"/>
      <c r="AFU19" s="18"/>
      <c r="AFV19" s="18"/>
      <c r="AFW19" s="18"/>
      <c r="AFX19" s="18"/>
      <c r="AFY19" s="18"/>
      <c r="AFZ19" s="18"/>
      <c r="AGA19" s="18"/>
      <c r="AGB19" s="18"/>
      <c r="AGC19" s="18"/>
      <c r="AGD19" s="18"/>
      <c r="AGE19" s="18"/>
      <c r="AGF19" s="18"/>
      <c r="AGG19" s="18"/>
      <c r="AGH19" s="18"/>
      <c r="AGI19" s="18"/>
      <c r="AGJ19" s="18"/>
      <c r="AGK19" s="18"/>
      <c r="AGL19" s="18"/>
      <c r="AGM19" s="18"/>
      <c r="AGN19" s="18"/>
      <c r="AGO19" s="18"/>
      <c r="AGP19" s="18"/>
      <c r="AGQ19" s="18"/>
      <c r="AGR19" s="18"/>
      <c r="AGS19" s="18"/>
      <c r="AGT19" s="18"/>
      <c r="AGU19" s="18"/>
      <c r="AGV19" s="18"/>
      <c r="AGW19" s="18"/>
      <c r="AGX19" s="18"/>
      <c r="AGY19" s="18"/>
      <c r="AGZ19" s="18"/>
      <c r="AHA19" s="18"/>
      <c r="AHB19" s="18"/>
      <c r="AHC19" s="18"/>
      <c r="AHD19" s="18"/>
      <c r="AHE19" s="18"/>
      <c r="AHF19" s="18"/>
      <c r="AHG19" s="18"/>
      <c r="AHH19" s="18"/>
      <c r="AHI19" s="18"/>
      <c r="AHJ19" s="18"/>
      <c r="AHK19" s="18"/>
      <c r="AHL19" s="18"/>
      <c r="AHM19" s="18"/>
      <c r="AHN19" s="18"/>
      <c r="AHO19" s="18"/>
      <c r="AHP19" s="18"/>
      <c r="AHQ19" s="18"/>
      <c r="AHR19" s="18"/>
      <c r="AHS19" s="18"/>
      <c r="AHT19" s="18"/>
      <c r="AHU19" s="18"/>
      <c r="AHV19" s="18"/>
      <c r="AHW19" s="18"/>
      <c r="AHX19" s="18"/>
      <c r="AHY19" s="18"/>
      <c r="AHZ19" s="18"/>
      <c r="AIA19" s="18"/>
      <c r="AIB19" s="18"/>
      <c r="AIC19" s="18"/>
      <c r="AID19" s="18"/>
      <c r="AIE19" s="18"/>
      <c r="AIF19" s="18"/>
      <c r="AIG19" s="18"/>
      <c r="AIH19" s="18"/>
      <c r="AII19" s="18"/>
      <c r="AIJ19" s="18"/>
      <c r="AIK19" s="18"/>
      <c r="AIL19" s="18"/>
      <c r="AIM19" s="18"/>
      <c r="AIN19" s="18"/>
      <c r="AIO19" s="18"/>
      <c r="AIP19" s="18"/>
      <c r="AIQ19" s="18"/>
      <c r="AIR19" s="18"/>
      <c r="AIS19" s="18"/>
      <c r="AIT19" s="18"/>
      <c r="AIU19" s="18"/>
      <c r="AIV19" s="18"/>
      <c r="AIW19" s="18"/>
      <c r="AIX19" s="18"/>
      <c r="AIY19" s="18"/>
      <c r="AIZ19" s="18"/>
      <c r="AJA19" s="18"/>
      <c r="AJB19" s="18"/>
      <c r="AJC19" s="18"/>
      <c r="AJD19" s="18"/>
      <c r="AJE19" s="18"/>
      <c r="AJF19" s="18"/>
      <c r="AJG19" s="18"/>
      <c r="AJH19" s="18"/>
      <c r="AJI19" s="18"/>
      <c r="AJJ19" s="18"/>
      <c r="AJK19" s="18"/>
      <c r="AJL19" s="18"/>
      <c r="AJM19" s="18"/>
      <c r="AJN19" s="18"/>
      <c r="AJO19" s="18"/>
      <c r="AJP19" s="18"/>
      <c r="AJQ19" s="18"/>
      <c r="AJR19" s="18"/>
      <c r="AJS19" s="18"/>
      <c r="AJT19" s="18"/>
      <c r="AJU19" s="18"/>
      <c r="AJV19" s="18"/>
      <c r="AJW19" s="18"/>
      <c r="AJX19" s="18"/>
      <c r="AJY19" s="18"/>
      <c r="AJZ19" s="18"/>
      <c r="AKA19" s="18"/>
      <c r="AKB19" s="18"/>
      <c r="AKC19" s="18"/>
      <c r="AKD19" s="18"/>
      <c r="AKE19" s="18"/>
      <c r="AKF19" s="18"/>
      <c r="AKG19" s="18"/>
      <c r="AKH19" s="18"/>
      <c r="AKI19" s="18"/>
      <c r="AKJ19" s="18"/>
      <c r="AKK19" s="18"/>
      <c r="AKL19" s="18"/>
      <c r="AKM19" s="18"/>
      <c r="AKN19" s="18"/>
      <c r="AKO19" s="18"/>
      <c r="AKP19" s="18"/>
      <c r="AKQ19" s="18"/>
      <c r="AKR19" s="18"/>
      <c r="AKS19" s="18"/>
      <c r="AKT19" s="18"/>
      <c r="AKU19" s="18"/>
      <c r="AKV19" s="18"/>
      <c r="AKW19" s="18"/>
      <c r="AKX19" s="18"/>
      <c r="AKY19" s="18"/>
      <c r="AKZ19" s="18"/>
      <c r="ALA19" s="18"/>
      <c r="ALB19" s="18"/>
      <c r="ALC19" s="18"/>
      <c r="ALD19" s="18"/>
      <c r="ALE19" s="18"/>
      <c r="ALF19" s="18"/>
      <c r="ALG19" s="18"/>
      <c r="ALH19" s="18"/>
      <c r="ALI19" s="18"/>
      <c r="ALJ19" s="18"/>
      <c r="ALK19" s="18"/>
      <c r="ALL19" s="18"/>
      <c r="ALM19" s="18"/>
      <c r="ALN19" s="18"/>
      <c r="ALO19" s="18"/>
      <c r="ALP19" s="18"/>
      <c r="ALQ19" s="18"/>
      <c r="ALR19" s="18"/>
      <c r="ALS19" s="18"/>
      <c r="ALT19" s="18"/>
      <c r="ALU19" s="18"/>
      <c r="ALV19" s="18"/>
      <c r="ALW19" s="18"/>
      <c r="ALX19" s="18"/>
      <c r="ALY19" s="18"/>
      <c r="ALZ19" s="18"/>
      <c r="AMA19" s="18"/>
      <c r="AMB19" s="18"/>
      <c r="AMC19" s="18"/>
      <c r="AMD19" s="18"/>
      <c r="AME19" s="18"/>
      <c r="AMF19" s="18"/>
      <c r="AMG19" s="18"/>
      <c r="AMH19" s="18"/>
    </row>
    <row r="20" spans="1:1022" s="23" customFormat="1" x14ac:dyDescent="0.3">
      <c r="A20" s="33">
        <v>116</v>
      </c>
      <c r="B20" s="19"/>
      <c r="C20" s="19"/>
      <c r="D20" s="57" t="s">
        <v>295</v>
      </c>
      <c r="E20" s="34" t="s">
        <v>443</v>
      </c>
      <c r="F20" s="19"/>
      <c r="G20" s="19"/>
      <c r="H20" s="38" t="s">
        <v>281</v>
      </c>
      <c r="I20" s="31"/>
      <c r="J20" s="31"/>
      <c r="K20" s="31"/>
      <c r="L20" s="31"/>
      <c r="M20" s="32"/>
      <c r="N20" s="32"/>
      <c r="O20" s="18"/>
      <c r="P20" s="36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8"/>
      <c r="IF20" s="18"/>
      <c r="IG20" s="18"/>
      <c r="IH20" s="18"/>
      <c r="II20" s="18"/>
      <c r="IJ20" s="18"/>
      <c r="IK20" s="18"/>
      <c r="IL20" s="18"/>
      <c r="IM20" s="18"/>
      <c r="IN20" s="18"/>
      <c r="IO20" s="18"/>
      <c r="IP20" s="18"/>
      <c r="IQ20" s="18"/>
      <c r="IR20" s="18"/>
      <c r="IS20" s="18"/>
      <c r="IT20" s="18"/>
      <c r="IU20" s="18"/>
      <c r="IV20" s="18"/>
      <c r="IW20" s="18"/>
      <c r="IX20" s="18"/>
      <c r="IY20" s="18"/>
      <c r="IZ20" s="18"/>
      <c r="JA20" s="18"/>
      <c r="JB20" s="18"/>
      <c r="JC20" s="18"/>
      <c r="JD20" s="18"/>
      <c r="JE20" s="18"/>
      <c r="JF20" s="18"/>
      <c r="JG20" s="18"/>
      <c r="JH20" s="18"/>
      <c r="JI20" s="18"/>
      <c r="JJ20" s="18"/>
      <c r="JK20" s="18"/>
      <c r="JL20" s="18"/>
      <c r="JM20" s="18"/>
      <c r="JN20" s="18"/>
      <c r="JO20" s="18"/>
      <c r="JP20" s="18"/>
      <c r="JQ20" s="18"/>
      <c r="JR20" s="18"/>
      <c r="JS20" s="18"/>
      <c r="JT20" s="18"/>
      <c r="JU20" s="18"/>
      <c r="JV20" s="18"/>
      <c r="JW20" s="18"/>
      <c r="JX20" s="18"/>
      <c r="JY20" s="18"/>
      <c r="JZ20" s="18"/>
      <c r="KA20" s="18"/>
      <c r="KB20" s="18"/>
      <c r="KC20" s="18"/>
      <c r="KD20" s="18"/>
      <c r="KE20" s="18"/>
      <c r="KF20" s="18"/>
      <c r="KG20" s="18"/>
      <c r="KH20" s="18"/>
      <c r="KI20" s="18"/>
      <c r="KJ20" s="18"/>
      <c r="KK20" s="18"/>
      <c r="KL20" s="18"/>
      <c r="KM20" s="18"/>
      <c r="KN20" s="18"/>
      <c r="KO20" s="18"/>
      <c r="KP20" s="18"/>
      <c r="KQ20" s="18"/>
      <c r="KR20" s="18"/>
      <c r="KS20" s="18"/>
      <c r="KT20" s="18"/>
      <c r="KU20" s="18"/>
      <c r="KV20" s="18"/>
      <c r="KW20" s="18"/>
      <c r="KX20" s="18"/>
      <c r="KY20" s="18"/>
      <c r="KZ20" s="18"/>
      <c r="LA20" s="18"/>
      <c r="LB20" s="18"/>
      <c r="LC20" s="18"/>
      <c r="LD20" s="18"/>
      <c r="LE20" s="18"/>
      <c r="LF20" s="18"/>
      <c r="LG20" s="18"/>
      <c r="LH20" s="18"/>
      <c r="LI20" s="18"/>
      <c r="LJ20" s="18"/>
      <c r="LK20" s="18"/>
      <c r="LL20" s="18"/>
      <c r="LM20" s="18"/>
      <c r="LN20" s="18"/>
      <c r="LO20" s="18"/>
      <c r="LP20" s="18"/>
      <c r="LQ20" s="18"/>
      <c r="LR20" s="18"/>
      <c r="LS20" s="18"/>
      <c r="LT20" s="18"/>
      <c r="LU20" s="18"/>
      <c r="LV20" s="18"/>
      <c r="LW20" s="18"/>
      <c r="LX20" s="18"/>
      <c r="LY20" s="18"/>
      <c r="LZ20" s="18"/>
      <c r="MA20" s="18"/>
      <c r="MB20" s="18"/>
      <c r="MC20" s="18"/>
      <c r="MD20" s="18"/>
      <c r="ME20" s="18"/>
      <c r="MF20" s="18"/>
      <c r="MG20" s="18"/>
      <c r="MH20" s="18"/>
      <c r="MI20" s="18"/>
      <c r="MJ20" s="18"/>
      <c r="MK20" s="18"/>
      <c r="ML20" s="18"/>
      <c r="MM20" s="18"/>
      <c r="MN20" s="18"/>
      <c r="MO20" s="18"/>
      <c r="MP20" s="18"/>
      <c r="MQ20" s="18"/>
      <c r="MR20" s="18"/>
      <c r="MS20" s="18"/>
      <c r="MT20" s="18"/>
      <c r="MU20" s="18"/>
      <c r="MV20" s="18"/>
      <c r="MW20" s="18"/>
      <c r="MX20" s="18"/>
      <c r="MY20" s="18"/>
      <c r="MZ20" s="18"/>
      <c r="NA20" s="18"/>
      <c r="NB20" s="18"/>
      <c r="NC20" s="18"/>
      <c r="ND20" s="18"/>
      <c r="NE20" s="18"/>
      <c r="NF20" s="18"/>
      <c r="NG20" s="18"/>
      <c r="NH20" s="18"/>
      <c r="NI20" s="18"/>
      <c r="NJ20" s="18"/>
      <c r="NK20" s="18"/>
      <c r="NL20" s="18"/>
      <c r="NM20" s="18"/>
      <c r="NN20" s="18"/>
      <c r="NO20" s="18"/>
      <c r="NP20" s="18"/>
      <c r="NQ20" s="18"/>
      <c r="NR20" s="18"/>
      <c r="NS20" s="18"/>
      <c r="NT20" s="18"/>
      <c r="NU20" s="18"/>
      <c r="NV20" s="18"/>
      <c r="NW20" s="18"/>
      <c r="NX20" s="18"/>
      <c r="NY20" s="18"/>
      <c r="NZ20" s="18"/>
      <c r="OA20" s="18"/>
      <c r="OB20" s="18"/>
      <c r="OC20" s="18"/>
      <c r="OD20" s="18"/>
      <c r="OE20" s="18"/>
      <c r="OF20" s="18"/>
      <c r="OG20" s="18"/>
      <c r="OH20" s="18"/>
      <c r="OI20" s="18"/>
      <c r="OJ20" s="18"/>
      <c r="OK20" s="18"/>
      <c r="OL20" s="18"/>
      <c r="OM20" s="18"/>
      <c r="ON20" s="18"/>
      <c r="OO20" s="18"/>
      <c r="OP20" s="18"/>
      <c r="OQ20" s="18"/>
      <c r="OR20" s="18"/>
      <c r="OS20" s="18"/>
      <c r="OT20" s="18"/>
      <c r="OU20" s="18"/>
      <c r="OV20" s="18"/>
      <c r="OW20" s="18"/>
      <c r="OX20" s="18"/>
      <c r="OY20" s="18"/>
      <c r="OZ20" s="18"/>
      <c r="PA20" s="18"/>
      <c r="PB20" s="18"/>
      <c r="PC20" s="18"/>
      <c r="PD20" s="18"/>
      <c r="PE20" s="18"/>
      <c r="PF20" s="18"/>
      <c r="PG20" s="18"/>
      <c r="PH20" s="18"/>
      <c r="PI20" s="18"/>
      <c r="PJ20" s="18"/>
      <c r="PK20" s="18"/>
      <c r="PL20" s="18"/>
      <c r="PM20" s="18"/>
      <c r="PN20" s="18"/>
      <c r="PO20" s="18"/>
      <c r="PP20" s="18"/>
      <c r="PQ20" s="18"/>
      <c r="PR20" s="18"/>
      <c r="PS20" s="18"/>
      <c r="PT20" s="18"/>
      <c r="PU20" s="18"/>
      <c r="PV20" s="18"/>
      <c r="PW20" s="18"/>
      <c r="PX20" s="18"/>
      <c r="PY20" s="18"/>
      <c r="PZ20" s="18"/>
      <c r="QA20" s="18"/>
      <c r="QB20" s="18"/>
      <c r="QC20" s="18"/>
      <c r="QD20" s="18"/>
      <c r="QE20" s="18"/>
      <c r="QF20" s="18"/>
      <c r="QG20" s="18"/>
      <c r="QH20" s="18"/>
      <c r="QI20" s="18"/>
      <c r="QJ20" s="18"/>
      <c r="QK20" s="18"/>
      <c r="QL20" s="18"/>
      <c r="QM20" s="18"/>
      <c r="QN20" s="18"/>
      <c r="QO20" s="18"/>
      <c r="QP20" s="18"/>
      <c r="QQ20" s="18"/>
      <c r="QR20" s="18"/>
      <c r="QS20" s="18"/>
      <c r="QT20" s="18"/>
      <c r="QU20" s="18"/>
      <c r="QV20" s="18"/>
      <c r="QW20" s="18"/>
      <c r="QX20" s="18"/>
      <c r="QY20" s="18"/>
      <c r="QZ20" s="18"/>
      <c r="RA20" s="18"/>
      <c r="RB20" s="18"/>
      <c r="RC20" s="18"/>
      <c r="RD20" s="18"/>
      <c r="RE20" s="18"/>
      <c r="RF20" s="18"/>
      <c r="RG20" s="18"/>
      <c r="RH20" s="18"/>
      <c r="RI20" s="18"/>
      <c r="RJ20" s="18"/>
      <c r="RK20" s="18"/>
      <c r="RL20" s="18"/>
      <c r="RM20" s="18"/>
      <c r="RN20" s="18"/>
      <c r="RO20" s="18"/>
      <c r="RP20" s="18"/>
      <c r="RQ20" s="18"/>
      <c r="RR20" s="18"/>
      <c r="RS20" s="18"/>
      <c r="RT20" s="18"/>
      <c r="RU20" s="18"/>
      <c r="RV20" s="18"/>
      <c r="RW20" s="18"/>
      <c r="RX20" s="18"/>
      <c r="RY20" s="18"/>
      <c r="RZ20" s="18"/>
      <c r="SA20" s="18"/>
      <c r="SB20" s="18"/>
      <c r="SC20" s="18"/>
      <c r="SD20" s="18"/>
      <c r="SE20" s="18"/>
      <c r="SF20" s="18"/>
      <c r="SG20" s="18"/>
      <c r="SH20" s="18"/>
      <c r="SI20" s="18"/>
      <c r="SJ20" s="18"/>
      <c r="SK20" s="18"/>
      <c r="SL20" s="18"/>
      <c r="SM20" s="18"/>
      <c r="SN20" s="18"/>
      <c r="SO20" s="18"/>
      <c r="SP20" s="18"/>
      <c r="SQ20" s="18"/>
      <c r="SR20" s="18"/>
      <c r="SS20" s="18"/>
      <c r="ST20" s="18"/>
      <c r="SU20" s="18"/>
      <c r="SV20" s="18"/>
      <c r="SW20" s="18"/>
      <c r="SX20" s="18"/>
      <c r="SY20" s="18"/>
      <c r="SZ20" s="18"/>
      <c r="TA20" s="18"/>
      <c r="TB20" s="18"/>
      <c r="TC20" s="18"/>
      <c r="TD20" s="18"/>
      <c r="TE20" s="18"/>
      <c r="TF20" s="18"/>
      <c r="TG20" s="18"/>
      <c r="TH20" s="18"/>
      <c r="TI20" s="18"/>
      <c r="TJ20" s="18"/>
      <c r="TK20" s="18"/>
      <c r="TL20" s="18"/>
      <c r="TM20" s="18"/>
      <c r="TN20" s="18"/>
      <c r="TO20" s="18"/>
      <c r="TP20" s="18"/>
      <c r="TQ20" s="18"/>
      <c r="TR20" s="18"/>
      <c r="TS20" s="18"/>
      <c r="TT20" s="18"/>
      <c r="TU20" s="18"/>
      <c r="TV20" s="18"/>
      <c r="TW20" s="18"/>
      <c r="TX20" s="18"/>
      <c r="TY20" s="18"/>
      <c r="TZ20" s="18"/>
      <c r="UA20" s="18"/>
      <c r="UB20" s="18"/>
      <c r="UC20" s="18"/>
      <c r="UD20" s="18"/>
      <c r="UE20" s="18"/>
      <c r="UF20" s="18"/>
      <c r="UG20" s="18"/>
      <c r="UH20" s="18"/>
      <c r="UI20" s="18"/>
      <c r="UJ20" s="18"/>
      <c r="UK20" s="18"/>
      <c r="UL20" s="18"/>
      <c r="UM20" s="18"/>
      <c r="UN20" s="18"/>
      <c r="UO20" s="18"/>
      <c r="UP20" s="18"/>
      <c r="UQ20" s="18"/>
      <c r="UR20" s="18"/>
      <c r="US20" s="18"/>
      <c r="UT20" s="18"/>
      <c r="UU20" s="18"/>
      <c r="UV20" s="18"/>
      <c r="UW20" s="18"/>
      <c r="UX20" s="18"/>
      <c r="UY20" s="18"/>
      <c r="UZ20" s="18"/>
      <c r="VA20" s="18"/>
      <c r="VB20" s="18"/>
      <c r="VC20" s="18"/>
      <c r="VD20" s="18"/>
      <c r="VE20" s="18"/>
      <c r="VF20" s="18"/>
      <c r="VG20" s="18"/>
      <c r="VH20" s="18"/>
      <c r="VI20" s="18"/>
      <c r="VJ20" s="18"/>
      <c r="VK20" s="18"/>
      <c r="VL20" s="18"/>
      <c r="VM20" s="18"/>
      <c r="VN20" s="18"/>
      <c r="VO20" s="18"/>
      <c r="VP20" s="18"/>
      <c r="VQ20" s="18"/>
      <c r="VR20" s="18"/>
      <c r="VS20" s="18"/>
      <c r="VT20" s="18"/>
      <c r="VU20" s="18"/>
      <c r="VV20" s="18"/>
      <c r="VW20" s="18"/>
      <c r="VX20" s="18"/>
      <c r="VY20" s="18"/>
      <c r="VZ20" s="18"/>
      <c r="WA20" s="18"/>
      <c r="WB20" s="18"/>
      <c r="WC20" s="18"/>
      <c r="WD20" s="18"/>
      <c r="WE20" s="18"/>
      <c r="WF20" s="18"/>
      <c r="WG20" s="18"/>
      <c r="WH20" s="18"/>
      <c r="WI20" s="18"/>
      <c r="WJ20" s="18"/>
      <c r="WK20" s="18"/>
      <c r="WL20" s="18"/>
      <c r="WM20" s="18"/>
      <c r="WN20" s="18"/>
      <c r="WO20" s="18"/>
      <c r="WP20" s="18"/>
      <c r="WQ20" s="18"/>
      <c r="WR20" s="18"/>
      <c r="WS20" s="18"/>
      <c r="WT20" s="18"/>
      <c r="WU20" s="18"/>
      <c r="WV20" s="18"/>
      <c r="WW20" s="18"/>
      <c r="WX20" s="18"/>
      <c r="WY20" s="18"/>
      <c r="WZ20" s="18"/>
      <c r="XA20" s="18"/>
      <c r="XB20" s="18"/>
      <c r="XC20" s="18"/>
      <c r="XD20" s="18"/>
      <c r="XE20" s="18"/>
      <c r="XF20" s="18"/>
      <c r="XG20" s="18"/>
      <c r="XH20" s="18"/>
      <c r="XI20" s="18"/>
      <c r="XJ20" s="18"/>
      <c r="XK20" s="18"/>
      <c r="XL20" s="18"/>
      <c r="XM20" s="18"/>
      <c r="XN20" s="18"/>
      <c r="XO20" s="18"/>
      <c r="XP20" s="18"/>
      <c r="XQ20" s="18"/>
      <c r="XR20" s="18"/>
      <c r="XS20" s="18"/>
      <c r="XT20" s="18"/>
      <c r="XU20" s="18"/>
      <c r="XV20" s="18"/>
      <c r="XW20" s="18"/>
      <c r="XX20" s="18"/>
      <c r="XY20" s="18"/>
      <c r="XZ20" s="18"/>
      <c r="YA20" s="18"/>
      <c r="YB20" s="18"/>
      <c r="YC20" s="18"/>
      <c r="YD20" s="18"/>
      <c r="YE20" s="18"/>
      <c r="YF20" s="18"/>
      <c r="YG20" s="18"/>
      <c r="YH20" s="18"/>
      <c r="YI20" s="18"/>
      <c r="YJ20" s="18"/>
      <c r="YK20" s="18"/>
      <c r="YL20" s="18"/>
      <c r="YM20" s="18"/>
      <c r="YN20" s="18"/>
      <c r="YO20" s="18"/>
      <c r="YP20" s="18"/>
      <c r="YQ20" s="18"/>
      <c r="YR20" s="18"/>
      <c r="YS20" s="18"/>
      <c r="YT20" s="18"/>
      <c r="YU20" s="18"/>
      <c r="YV20" s="18"/>
      <c r="YW20" s="18"/>
      <c r="YX20" s="18"/>
      <c r="YY20" s="18"/>
      <c r="YZ20" s="18"/>
      <c r="ZA20" s="18"/>
      <c r="ZB20" s="18"/>
      <c r="ZC20" s="18"/>
      <c r="ZD20" s="18"/>
      <c r="ZE20" s="18"/>
      <c r="ZF20" s="18"/>
      <c r="ZG20" s="18"/>
      <c r="ZH20" s="18"/>
      <c r="ZI20" s="18"/>
      <c r="ZJ20" s="18"/>
      <c r="ZK20" s="18"/>
      <c r="ZL20" s="18"/>
      <c r="ZM20" s="18"/>
      <c r="ZN20" s="18"/>
      <c r="ZO20" s="18"/>
      <c r="ZP20" s="18"/>
      <c r="ZQ20" s="18"/>
      <c r="ZR20" s="18"/>
      <c r="ZS20" s="18"/>
      <c r="ZT20" s="18"/>
      <c r="ZU20" s="18"/>
      <c r="ZV20" s="18"/>
      <c r="ZW20" s="18"/>
      <c r="ZX20" s="18"/>
      <c r="ZY20" s="18"/>
      <c r="ZZ20" s="18"/>
      <c r="AAA20" s="18"/>
      <c r="AAB20" s="18"/>
      <c r="AAC20" s="18"/>
      <c r="AAD20" s="18"/>
      <c r="AAE20" s="18"/>
      <c r="AAF20" s="18"/>
      <c r="AAG20" s="18"/>
      <c r="AAH20" s="18"/>
      <c r="AAI20" s="18"/>
      <c r="AAJ20" s="18"/>
      <c r="AAK20" s="18"/>
      <c r="AAL20" s="18"/>
      <c r="AAM20" s="18"/>
      <c r="AAN20" s="18"/>
      <c r="AAO20" s="18"/>
      <c r="AAP20" s="18"/>
      <c r="AAQ20" s="18"/>
      <c r="AAR20" s="18"/>
      <c r="AAS20" s="18"/>
      <c r="AAT20" s="18"/>
      <c r="AAU20" s="18"/>
      <c r="AAV20" s="18"/>
      <c r="AAW20" s="18"/>
      <c r="AAX20" s="18"/>
      <c r="AAY20" s="18"/>
      <c r="AAZ20" s="18"/>
      <c r="ABA20" s="18"/>
      <c r="ABB20" s="18"/>
      <c r="ABC20" s="18"/>
      <c r="ABD20" s="18"/>
      <c r="ABE20" s="18"/>
      <c r="ABF20" s="18"/>
      <c r="ABG20" s="18"/>
      <c r="ABH20" s="18"/>
      <c r="ABI20" s="18"/>
      <c r="ABJ20" s="18"/>
      <c r="ABK20" s="18"/>
      <c r="ABL20" s="18"/>
      <c r="ABM20" s="18"/>
      <c r="ABN20" s="18"/>
      <c r="ABO20" s="18"/>
      <c r="ABP20" s="18"/>
      <c r="ABQ20" s="18"/>
      <c r="ABR20" s="18"/>
      <c r="ABS20" s="18"/>
      <c r="ABT20" s="18"/>
      <c r="ABU20" s="18"/>
      <c r="ABV20" s="18"/>
      <c r="ABW20" s="18"/>
      <c r="ABX20" s="18"/>
      <c r="ABY20" s="18"/>
      <c r="ABZ20" s="18"/>
      <c r="ACA20" s="18"/>
      <c r="ACB20" s="18"/>
      <c r="ACC20" s="18"/>
      <c r="ACD20" s="18"/>
      <c r="ACE20" s="18"/>
      <c r="ACF20" s="18"/>
      <c r="ACG20" s="18"/>
      <c r="ACH20" s="18"/>
      <c r="ACI20" s="18"/>
      <c r="ACJ20" s="18"/>
      <c r="ACK20" s="18"/>
      <c r="ACL20" s="18"/>
      <c r="ACM20" s="18"/>
      <c r="ACN20" s="18"/>
      <c r="ACO20" s="18"/>
      <c r="ACP20" s="18"/>
      <c r="ACQ20" s="18"/>
      <c r="ACR20" s="18"/>
      <c r="ACS20" s="18"/>
      <c r="ACT20" s="18"/>
      <c r="ACU20" s="18"/>
      <c r="ACV20" s="18"/>
      <c r="ACW20" s="18"/>
      <c r="ACX20" s="18"/>
      <c r="ACY20" s="18"/>
      <c r="ACZ20" s="18"/>
      <c r="ADA20" s="18"/>
      <c r="ADB20" s="18"/>
      <c r="ADC20" s="18"/>
      <c r="ADD20" s="18"/>
      <c r="ADE20" s="18"/>
      <c r="ADF20" s="18"/>
      <c r="ADG20" s="18"/>
      <c r="ADH20" s="18"/>
      <c r="ADI20" s="18"/>
      <c r="ADJ20" s="18"/>
      <c r="ADK20" s="18"/>
      <c r="ADL20" s="18"/>
      <c r="ADM20" s="18"/>
      <c r="ADN20" s="18"/>
      <c r="ADO20" s="18"/>
      <c r="ADP20" s="18"/>
      <c r="ADQ20" s="18"/>
      <c r="ADR20" s="18"/>
      <c r="ADS20" s="18"/>
      <c r="ADT20" s="18"/>
      <c r="ADU20" s="18"/>
      <c r="ADV20" s="18"/>
      <c r="ADW20" s="18"/>
      <c r="ADX20" s="18"/>
      <c r="ADY20" s="18"/>
      <c r="ADZ20" s="18"/>
      <c r="AEA20" s="18"/>
      <c r="AEB20" s="18"/>
      <c r="AEC20" s="18"/>
      <c r="AED20" s="18"/>
      <c r="AEE20" s="18"/>
      <c r="AEF20" s="18"/>
      <c r="AEG20" s="18"/>
      <c r="AEH20" s="18"/>
      <c r="AEI20" s="18"/>
      <c r="AEJ20" s="18"/>
      <c r="AEK20" s="18"/>
      <c r="AEL20" s="18"/>
      <c r="AEM20" s="18"/>
      <c r="AEN20" s="18"/>
      <c r="AEO20" s="18"/>
      <c r="AEP20" s="18"/>
      <c r="AEQ20" s="18"/>
      <c r="AER20" s="18"/>
      <c r="AES20" s="18"/>
      <c r="AET20" s="18"/>
      <c r="AEU20" s="18"/>
      <c r="AEV20" s="18"/>
      <c r="AEW20" s="18"/>
      <c r="AEX20" s="18"/>
      <c r="AEY20" s="18"/>
      <c r="AEZ20" s="18"/>
      <c r="AFA20" s="18"/>
      <c r="AFB20" s="18"/>
      <c r="AFC20" s="18"/>
      <c r="AFD20" s="18"/>
      <c r="AFE20" s="18"/>
      <c r="AFF20" s="18"/>
      <c r="AFG20" s="18"/>
      <c r="AFH20" s="18"/>
      <c r="AFI20" s="18"/>
      <c r="AFJ20" s="18"/>
      <c r="AFK20" s="18"/>
      <c r="AFL20" s="18"/>
      <c r="AFM20" s="18"/>
      <c r="AFN20" s="18"/>
      <c r="AFO20" s="18"/>
      <c r="AFP20" s="18"/>
      <c r="AFQ20" s="18"/>
      <c r="AFR20" s="18"/>
      <c r="AFS20" s="18"/>
      <c r="AFT20" s="18"/>
      <c r="AFU20" s="18"/>
      <c r="AFV20" s="18"/>
      <c r="AFW20" s="18"/>
      <c r="AFX20" s="18"/>
      <c r="AFY20" s="18"/>
      <c r="AFZ20" s="18"/>
      <c r="AGA20" s="18"/>
      <c r="AGB20" s="18"/>
      <c r="AGC20" s="18"/>
      <c r="AGD20" s="18"/>
      <c r="AGE20" s="18"/>
      <c r="AGF20" s="18"/>
      <c r="AGG20" s="18"/>
      <c r="AGH20" s="18"/>
      <c r="AGI20" s="18"/>
      <c r="AGJ20" s="18"/>
      <c r="AGK20" s="18"/>
      <c r="AGL20" s="18"/>
      <c r="AGM20" s="18"/>
      <c r="AGN20" s="18"/>
      <c r="AGO20" s="18"/>
      <c r="AGP20" s="18"/>
      <c r="AGQ20" s="18"/>
      <c r="AGR20" s="18"/>
      <c r="AGS20" s="18"/>
      <c r="AGT20" s="18"/>
      <c r="AGU20" s="18"/>
      <c r="AGV20" s="18"/>
      <c r="AGW20" s="18"/>
      <c r="AGX20" s="18"/>
      <c r="AGY20" s="18"/>
      <c r="AGZ20" s="18"/>
      <c r="AHA20" s="18"/>
      <c r="AHB20" s="18"/>
      <c r="AHC20" s="18"/>
      <c r="AHD20" s="18"/>
      <c r="AHE20" s="18"/>
      <c r="AHF20" s="18"/>
      <c r="AHG20" s="18"/>
      <c r="AHH20" s="18"/>
      <c r="AHI20" s="18"/>
      <c r="AHJ20" s="18"/>
      <c r="AHK20" s="18"/>
      <c r="AHL20" s="18"/>
      <c r="AHM20" s="18"/>
      <c r="AHN20" s="18"/>
      <c r="AHO20" s="18"/>
      <c r="AHP20" s="18"/>
      <c r="AHQ20" s="18"/>
      <c r="AHR20" s="18"/>
      <c r="AHS20" s="18"/>
      <c r="AHT20" s="18"/>
      <c r="AHU20" s="18"/>
      <c r="AHV20" s="18"/>
      <c r="AHW20" s="18"/>
      <c r="AHX20" s="18"/>
      <c r="AHY20" s="18"/>
      <c r="AHZ20" s="18"/>
      <c r="AIA20" s="18"/>
      <c r="AIB20" s="18"/>
      <c r="AIC20" s="18"/>
      <c r="AID20" s="18"/>
      <c r="AIE20" s="18"/>
      <c r="AIF20" s="18"/>
      <c r="AIG20" s="18"/>
      <c r="AIH20" s="18"/>
      <c r="AII20" s="18"/>
      <c r="AIJ20" s="18"/>
      <c r="AIK20" s="18"/>
      <c r="AIL20" s="18"/>
      <c r="AIM20" s="18"/>
      <c r="AIN20" s="18"/>
      <c r="AIO20" s="18"/>
      <c r="AIP20" s="18"/>
      <c r="AIQ20" s="18"/>
      <c r="AIR20" s="18"/>
      <c r="AIS20" s="18"/>
      <c r="AIT20" s="18"/>
      <c r="AIU20" s="18"/>
      <c r="AIV20" s="18"/>
      <c r="AIW20" s="18"/>
      <c r="AIX20" s="18"/>
      <c r="AIY20" s="18"/>
      <c r="AIZ20" s="18"/>
      <c r="AJA20" s="18"/>
      <c r="AJB20" s="18"/>
      <c r="AJC20" s="18"/>
      <c r="AJD20" s="18"/>
      <c r="AJE20" s="18"/>
      <c r="AJF20" s="18"/>
      <c r="AJG20" s="18"/>
      <c r="AJH20" s="18"/>
      <c r="AJI20" s="18"/>
      <c r="AJJ20" s="18"/>
      <c r="AJK20" s="18"/>
      <c r="AJL20" s="18"/>
      <c r="AJM20" s="18"/>
      <c r="AJN20" s="18"/>
      <c r="AJO20" s="18"/>
      <c r="AJP20" s="18"/>
      <c r="AJQ20" s="18"/>
      <c r="AJR20" s="18"/>
      <c r="AJS20" s="18"/>
      <c r="AJT20" s="18"/>
      <c r="AJU20" s="18"/>
      <c r="AJV20" s="18"/>
      <c r="AJW20" s="18"/>
      <c r="AJX20" s="18"/>
      <c r="AJY20" s="18"/>
      <c r="AJZ20" s="18"/>
      <c r="AKA20" s="18"/>
      <c r="AKB20" s="18"/>
      <c r="AKC20" s="18"/>
      <c r="AKD20" s="18"/>
      <c r="AKE20" s="18"/>
      <c r="AKF20" s="18"/>
      <c r="AKG20" s="18"/>
      <c r="AKH20" s="18"/>
      <c r="AKI20" s="18"/>
      <c r="AKJ20" s="18"/>
      <c r="AKK20" s="18"/>
      <c r="AKL20" s="18"/>
      <c r="AKM20" s="18"/>
      <c r="AKN20" s="18"/>
      <c r="AKO20" s="18"/>
      <c r="AKP20" s="18"/>
      <c r="AKQ20" s="18"/>
      <c r="AKR20" s="18"/>
      <c r="AKS20" s="18"/>
      <c r="AKT20" s="18"/>
      <c r="AKU20" s="18"/>
      <c r="AKV20" s="18"/>
      <c r="AKW20" s="18"/>
      <c r="AKX20" s="18"/>
      <c r="AKY20" s="18"/>
      <c r="AKZ20" s="18"/>
      <c r="ALA20" s="18"/>
      <c r="ALB20" s="18"/>
      <c r="ALC20" s="18"/>
      <c r="ALD20" s="18"/>
      <c r="ALE20" s="18"/>
      <c r="ALF20" s="18"/>
      <c r="ALG20" s="18"/>
      <c r="ALH20" s="18"/>
      <c r="ALI20" s="18"/>
      <c r="ALJ20" s="18"/>
      <c r="ALK20" s="18"/>
      <c r="ALL20" s="18"/>
      <c r="ALM20" s="18"/>
      <c r="ALN20" s="18"/>
      <c r="ALO20" s="18"/>
      <c r="ALP20" s="18"/>
      <c r="ALQ20" s="18"/>
      <c r="ALR20" s="18"/>
      <c r="ALS20" s="18"/>
      <c r="ALT20" s="18"/>
      <c r="ALU20" s="18"/>
      <c r="ALV20" s="18"/>
      <c r="ALW20" s="18"/>
      <c r="ALX20" s="18"/>
      <c r="ALY20" s="18"/>
      <c r="ALZ20" s="18"/>
      <c r="AMA20" s="18"/>
      <c r="AMB20" s="18"/>
      <c r="AMC20" s="18"/>
      <c r="AMD20" s="18"/>
      <c r="AME20" s="18"/>
      <c r="AMF20" s="18"/>
      <c r="AMG20" s="18"/>
      <c r="AMH20" s="18"/>
    </row>
    <row r="21" spans="1:1022" s="23" customFormat="1" x14ac:dyDescent="0.3">
      <c r="A21" s="33">
        <v>117</v>
      </c>
      <c r="B21" s="19"/>
      <c r="C21" s="19"/>
      <c r="D21" s="57" t="s">
        <v>296</v>
      </c>
      <c r="E21" s="34" t="s">
        <v>442</v>
      </c>
      <c r="F21" s="19"/>
      <c r="G21" s="19"/>
      <c r="H21" s="38" t="s">
        <v>281</v>
      </c>
      <c r="I21" s="31"/>
      <c r="J21" s="31"/>
      <c r="K21" s="31"/>
      <c r="L21" s="31"/>
      <c r="M21" s="32"/>
      <c r="N21" s="32"/>
      <c r="O21" s="18"/>
      <c r="P21" s="36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  <c r="FV21" s="18"/>
      <c r="FW21" s="18"/>
      <c r="FX21" s="18"/>
      <c r="FY21" s="18"/>
      <c r="FZ21" s="18"/>
      <c r="GA21" s="18"/>
      <c r="GB21" s="18"/>
      <c r="GC21" s="18"/>
      <c r="GD21" s="18"/>
      <c r="GE21" s="18"/>
      <c r="GF21" s="18"/>
      <c r="GG21" s="18"/>
      <c r="GH21" s="18"/>
      <c r="GI21" s="18"/>
      <c r="GJ21" s="18"/>
      <c r="GK21" s="18"/>
      <c r="GL21" s="18"/>
      <c r="GM21" s="18"/>
      <c r="GN21" s="18"/>
      <c r="GO21" s="18"/>
      <c r="GP21" s="18"/>
      <c r="GQ21" s="18"/>
      <c r="GR21" s="18"/>
      <c r="GS21" s="18"/>
      <c r="GT21" s="18"/>
      <c r="GU21" s="18"/>
      <c r="GV21" s="18"/>
      <c r="GW21" s="18"/>
      <c r="GX21" s="18"/>
      <c r="GY21" s="18"/>
      <c r="GZ21" s="18"/>
      <c r="HA21" s="18"/>
      <c r="HB21" s="18"/>
      <c r="HC21" s="18"/>
      <c r="HD21" s="18"/>
      <c r="HE21" s="18"/>
      <c r="HF21" s="18"/>
      <c r="HG21" s="18"/>
      <c r="HH21" s="18"/>
      <c r="HI21" s="18"/>
      <c r="HJ21" s="18"/>
      <c r="HK21" s="18"/>
      <c r="HL21" s="18"/>
      <c r="HM21" s="18"/>
      <c r="HN21" s="18"/>
      <c r="HO21" s="18"/>
      <c r="HP21" s="18"/>
      <c r="HQ21" s="18"/>
      <c r="HR21" s="18"/>
      <c r="HS21" s="18"/>
      <c r="HT21" s="18"/>
      <c r="HU21" s="18"/>
      <c r="HV21" s="18"/>
      <c r="HW21" s="18"/>
      <c r="HX21" s="18"/>
      <c r="HY21" s="18"/>
      <c r="HZ21" s="18"/>
      <c r="IA21" s="18"/>
      <c r="IB21" s="18"/>
      <c r="IC21" s="18"/>
      <c r="ID21" s="18"/>
      <c r="IE21" s="18"/>
      <c r="IF21" s="18"/>
      <c r="IG21" s="18"/>
      <c r="IH21" s="18"/>
      <c r="II21" s="18"/>
      <c r="IJ21" s="18"/>
      <c r="IK21" s="18"/>
      <c r="IL21" s="18"/>
      <c r="IM21" s="18"/>
      <c r="IN21" s="18"/>
      <c r="IO21" s="18"/>
      <c r="IP21" s="18"/>
      <c r="IQ21" s="18"/>
      <c r="IR21" s="18"/>
      <c r="IS21" s="18"/>
      <c r="IT21" s="18"/>
      <c r="IU21" s="18"/>
      <c r="IV21" s="18"/>
      <c r="IW21" s="18"/>
      <c r="IX21" s="18"/>
      <c r="IY21" s="18"/>
      <c r="IZ21" s="18"/>
      <c r="JA21" s="18"/>
      <c r="JB21" s="18"/>
      <c r="JC21" s="18"/>
      <c r="JD21" s="18"/>
      <c r="JE21" s="18"/>
      <c r="JF21" s="18"/>
      <c r="JG21" s="18"/>
      <c r="JH21" s="18"/>
      <c r="JI21" s="18"/>
      <c r="JJ21" s="18"/>
      <c r="JK21" s="18"/>
      <c r="JL21" s="18"/>
      <c r="JM21" s="18"/>
      <c r="JN21" s="18"/>
      <c r="JO21" s="18"/>
      <c r="JP21" s="18"/>
      <c r="JQ21" s="18"/>
      <c r="JR21" s="18"/>
      <c r="JS21" s="18"/>
      <c r="JT21" s="18"/>
      <c r="JU21" s="18"/>
      <c r="JV21" s="18"/>
      <c r="JW21" s="18"/>
      <c r="JX21" s="18"/>
      <c r="JY21" s="18"/>
      <c r="JZ21" s="18"/>
      <c r="KA21" s="18"/>
      <c r="KB21" s="18"/>
      <c r="KC21" s="18"/>
      <c r="KD21" s="18"/>
      <c r="KE21" s="18"/>
      <c r="KF21" s="18"/>
      <c r="KG21" s="18"/>
      <c r="KH21" s="18"/>
      <c r="KI21" s="18"/>
      <c r="KJ21" s="18"/>
      <c r="KK21" s="18"/>
      <c r="KL21" s="18"/>
      <c r="KM21" s="18"/>
      <c r="KN21" s="18"/>
      <c r="KO21" s="18"/>
      <c r="KP21" s="18"/>
      <c r="KQ21" s="18"/>
      <c r="KR21" s="18"/>
      <c r="KS21" s="18"/>
      <c r="KT21" s="18"/>
      <c r="KU21" s="18"/>
      <c r="KV21" s="18"/>
      <c r="KW21" s="18"/>
      <c r="KX21" s="18"/>
      <c r="KY21" s="18"/>
      <c r="KZ21" s="18"/>
      <c r="LA21" s="18"/>
      <c r="LB21" s="18"/>
      <c r="LC21" s="18"/>
      <c r="LD21" s="18"/>
      <c r="LE21" s="18"/>
      <c r="LF21" s="18"/>
      <c r="LG21" s="18"/>
      <c r="LH21" s="18"/>
      <c r="LI21" s="18"/>
      <c r="LJ21" s="18"/>
      <c r="LK21" s="18"/>
      <c r="LL21" s="18"/>
      <c r="LM21" s="18"/>
      <c r="LN21" s="18"/>
      <c r="LO21" s="18"/>
      <c r="LP21" s="18"/>
      <c r="LQ21" s="18"/>
      <c r="LR21" s="18"/>
      <c r="LS21" s="18"/>
      <c r="LT21" s="18"/>
      <c r="LU21" s="18"/>
      <c r="LV21" s="18"/>
      <c r="LW21" s="18"/>
      <c r="LX21" s="18"/>
      <c r="LY21" s="18"/>
      <c r="LZ21" s="18"/>
      <c r="MA21" s="18"/>
      <c r="MB21" s="18"/>
      <c r="MC21" s="18"/>
      <c r="MD21" s="18"/>
      <c r="ME21" s="18"/>
      <c r="MF21" s="18"/>
      <c r="MG21" s="18"/>
      <c r="MH21" s="18"/>
      <c r="MI21" s="18"/>
      <c r="MJ21" s="18"/>
      <c r="MK21" s="18"/>
      <c r="ML21" s="18"/>
      <c r="MM21" s="18"/>
      <c r="MN21" s="18"/>
      <c r="MO21" s="18"/>
      <c r="MP21" s="18"/>
      <c r="MQ21" s="18"/>
      <c r="MR21" s="18"/>
      <c r="MS21" s="18"/>
      <c r="MT21" s="18"/>
      <c r="MU21" s="18"/>
      <c r="MV21" s="18"/>
      <c r="MW21" s="18"/>
      <c r="MX21" s="18"/>
      <c r="MY21" s="18"/>
      <c r="MZ21" s="18"/>
      <c r="NA21" s="18"/>
      <c r="NB21" s="18"/>
      <c r="NC21" s="18"/>
      <c r="ND21" s="18"/>
      <c r="NE21" s="18"/>
      <c r="NF21" s="18"/>
      <c r="NG21" s="18"/>
      <c r="NH21" s="18"/>
      <c r="NI21" s="18"/>
      <c r="NJ21" s="18"/>
      <c r="NK21" s="18"/>
      <c r="NL21" s="18"/>
      <c r="NM21" s="18"/>
      <c r="NN21" s="18"/>
      <c r="NO21" s="18"/>
      <c r="NP21" s="18"/>
      <c r="NQ21" s="18"/>
      <c r="NR21" s="18"/>
      <c r="NS21" s="18"/>
      <c r="NT21" s="18"/>
      <c r="NU21" s="18"/>
      <c r="NV21" s="18"/>
      <c r="NW21" s="18"/>
      <c r="NX21" s="18"/>
      <c r="NY21" s="18"/>
      <c r="NZ21" s="18"/>
      <c r="OA21" s="18"/>
      <c r="OB21" s="18"/>
      <c r="OC21" s="18"/>
      <c r="OD21" s="18"/>
      <c r="OE21" s="18"/>
      <c r="OF21" s="18"/>
      <c r="OG21" s="18"/>
      <c r="OH21" s="18"/>
      <c r="OI21" s="18"/>
      <c r="OJ21" s="18"/>
      <c r="OK21" s="18"/>
      <c r="OL21" s="18"/>
      <c r="OM21" s="18"/>
      <c r="ON21" s="18"/>
      <c r="OO21" s="18"/>
      <c r="OP21" s="18"/>
      <c r="OQ21" s="18"/>
      <c r="OR21" s="18"/>
      <c r="OS21" s="18"/>
      <c r="OT21" s="18"/>
      <c r="OU21" s="18"/>
      <c r="OV21" s="18"/>
      <c r="OW21" s="18"/>
      <c r="OX21" s="18"/>
      <c r="OY21" s="18"/>
      <c r="OZ21" s="18"/>
      <c r="PA21" s="18"/>
      <c r="PB21" s="18"/>
      <c r="PC21" s="18"/>
      <c r="PD21" s="18"/>
      <c r="PE21" s="18"/>
      <c r="PF21" s="18"/>
      <c r="PG21" s="18"/>
      <c r="PH21" s="18"/>
      <c r="PI21" s="18"/>
      <c r="PJ21" s="18"/>
      <c r="PK21" s="18"/>
      <c r="PL21" s="18"/>
      <c r="PM21" s="18"/>
      <c r="PN21" s="18"/>
      <c r="PO21" s="18"/>
      <c r="PP21" s="18"/>
      <c r="PQ21" s="18"/>
      <c r="PR21" s="18"/>
      <c r="PS21" s="18"/>
      <c r="PT21" s="18"/>
      <c r="PU21" s="18"/>
      <c r="PV21" s="18"/>
      <c r="PW21" s="18"/>
      <c r="PX21" s="18"/>
      <c r="PY21" s="18"/>
      <c r="PZ21" s="18"/>
      <c r="QA21" s="18"/>
      <c r="QB21" s="18"/>
      <c r="QC21" s="18"/>
      <c r="QD21" s="18"/>
      <c r="QE21" s="18"/>
      <c r="QF21" s="18"/>
      <c r="QG21" s="18"/>
      <c r="QH21" s="18"/>
      <c r="QI21" s="18"/>
      <c r="QJ21" s="18"/>
      <c r="QK21" s="18"/>
      <c r="QL21" s="18"/>
      <c r="QM21" s="18"/>
      <c r="QN21" s="18"/>
      <c r="QO21" s="18"/>
      <c r="QP21" s="18"/>
      <c r="QQ21" s="18"/>
      <c r="QR21" s="18"/>
      <c r="QS21" s="18"/>
      <c r="QT21" s="18"/>
      <c r="QU21" s="18"/>
      <c r="QV21" s="18"/>
      <c r="QW21" s="18"/>
      <c r="QX21" s="18"/>
      <c r="QY21" s="18"/>
      <c r="QZ21" s="18"/>
      <c r="RA21" s="18"/>
      <c r="RB21" s="18"/>
      <c r="RC21" s="18"/>
      <c r="RD21" s="18"/>
      <c r="RE21" s="18"/>
      <c r="RF21" s="18"/>
      <c r="RG21" s="18"/>
      <c r="RH21" s="18"/>
      <c r="RI21" s="18"/>
      <c r="RJ21" s="18"/>
      <c r="RK21" s="18"/>
      <c r="RL21" s="18"/>
      <c r="RM21" s="18"/>
      <c r="RN21" s="18"/>
      <c r="RO21" s="18"/>
      <c r="RP21" s="18"/>
      <c r="RQ21" s="18"/>
      <c r="RR21" s="18"/>
      <c r="RS21" s="18"/>
      <c r="RT21" s="18"/>
      <c r="RU21" s="18"/>
      <c r="RV21" s="18"/>
      <c r="RW21" s="18"/>
      <c r="RX21" s="18"/>
      <c r="RY21" s="18"/>
      <c r="RZ21" s="18"/>
      <c r="SA21" s="18"/>
      <c r="SB21" s="18"/>
      <c r="SC21" s="18"/>
      <c r="SD21" s="18"/>
      <c r="SE21" s="18"/>
      <c r="SF21" s="18"/>
      <c r="SG21" s="18"/>
      <c r="SH21" s="18"/>
      <c r="SI21" s="18"/>
      <c r="SJ21" s="18"/>
      <c r="SK21" s="18"/>
      <c r="SL21" s="18"/>
      <c r="SM21" s="18"/>
      <c r="SN21" s="18"/>
      <c r="SO21" s="18"/>
      <c r="SP21" s="18"/>
      <c r="SQ21" s="18"/>
      <c r="SR21" s="18"/>
      <c r="SS21" s="18"/>
      <c r="ST21" s="18"/>
      <c r="SU21" s="18"/>
      <c r="SV21" s="18"/>
      <c r="SW21" s="18"/>
      <c r="SX21" s="18"/>
      <c r="SY21" s="18"/>
      <c r="SZ21" s="18"/>
      <c r="TA21" s="18"/>
      <c r="TB21" s="18"/>
      <c r="TC21" s="18"/>
      <c r="TD21" s="18"/>
      <c r="TE21" s="18"/>
      <c r="TF21" s="18"/>
      <c r="TG21" s="18"/>
      <c r="TH21" s="18"/>
      <c r="TI21" s="18"/>
      <c r="TJ21" s="18"/>
      <c r="TK21" s="18"/>
      <c r="TL21" s="18"/>
      <c r="TM21" s="18"/>
      <c r="TN21" s="18"/>
      <c r="TO21" s="18"/>
      <c r="TP21" s="18"/>
      <c r="TQ21" s="18"/>
      <c r="TR21" s="18"/>
      <c r="TS21" s="18"/>
      <c r="TT21" s="18"/>
      <c r="TU21" s="18"/>
      <c r="TV21" s="18"/>
      <c r="TW21" s="18"/>
      <c r="TX21" s="18"/>
      <c r="TY21" s="18"/>
      <c r="TZ21" s="18"/>
      <c r="UA21" s="18"/>
      <c r="UB21" s="18"/>
      <c r="UC21" s="18"/>
      <c r="UD21" s="18"/>
      <c r="UE21" s="18"/>
      <c r="UF21" s="18"/>
      <c r="UG21" s="18"/>
      <c r="UH21" s="18"/>
      <c r="UI21" s="18"/>
      <c r="UJ21" s="18"/>
      <c r="UK21" s="18"/>
      <c r="UL21" s="18"/>
      <c r="UM21" s="18"/>
      <c r="UN21" s="18"/>
      <c r="UO21" s="18"/>
      <c r="UP21" s="18"/>
      <c r="UQ21" s="18"/>
      <c r="UR21" s="18"/>
      <c r="US21" s="18"/>
      <c r="UT21" s="18"/>
      <c r="UU21" s="18"/>
      <c r="UV21" s="18"/>
      <c r="UW21" s="18"/>
      <c r="UX21" s="18"/>
      <c r="UY21" s="18"/>
      <c r="UZ21" s="18"/>
      <c r="VA21" s="18"/>
      <c r="VB21" s="18"/>
      <c r="VC21" s="18"/>
      <c r="VD21" s="18"/>
      <c r="VE21" s="18"/>
      <c r="VF21" s="18"/>
      <c r="VG21" s="18"/>
      <c r="VH21" s="18"/>
      <c r="VI21" s="18"/>
      <c r="VJ21" s="18"/>
      <c r="VK21" s="18"/>
      <c r="VL21" s="18"/>
      <c r="VM21" s="18"/>
      <c r="VN21" s="18"/>
      <c r="VO21" s="18"/>
      <c r="VP21" s="18"/>
      <c r="VQ21" s="18"/>
      <c r="VR21" s="18"/>
      <c r="VS21" s="18"/>
      <c r="VT21" s="18"/>
      <c r="VU21" s="18"/>
      <c r="VV21" s="18"/>
      <c r="VW21" s="18"/>
      <c r="VX21" s="18"/>
      <c r="VY21" s="18"/>
      <c r="VZ21" s="18"/>
      <c r="WA21" s="18"/>
      <c r="WB21" s="18"/>
      <c r="WC21" s="18"/>
      <c r="WD21" s="18"/>
      <c r="WE21" s="18"/>
      <c r="WF21" s="18"/>
      <c r="WG21" s="18"/>
      <c r="WH21" s="18"/>
      <c r="WI21" s="18"/>
      <c r="WJ21" s="18"/>
      <c r="WK21" s="18"/>
      <c r="WL21" s="18"/>
      <c r="WM21" s="18"/>
      <c r="WN21" s="18"/>
      <c r="WO21" s="18"/>
      <c r="WP21" s="18"/>
      <c r="WQ21" s="18"/>
      <c r="WR21" s="18"/>
      <c r="WS21" s="18"/>
      <c r="WT21" s="18"/>
      <c r="WU21" s="18"/>
      <c r="WV21" s="18"/>
      <c r="WW21" s="18"/>
      <c r="WX21" s="18"/>
      <c r="WY21" s="18"/>
      <c r="WZ21" s="18"/>
      <c r="XA21" s="18"/>
      <c r="XB21" s="18"/>
      <c r="XC21" s="18"/>
      <c r="XD21" s="18"/>
      <c r="XE21" s="18"/>
      <c r="XF21" s="18"/>
      <c r="XG21" s="18"/>
      <c r="XH21" s="18"/>
      <c r="XI21" s="18"/>
      <c r="XJ21" s="18"/>
      <c r="XK21" s="18"/>
      <c r="XL21" s="18"/>
      <c r="XM21" s="18"/>
      <c r="XN21" s="18"/>
      <c r="XO21" s="18"/>
      <c r="XP21" s="18"/>
      <c r="XQ21" s="18"/>
      <c r="XR21" s="18"/>
      <c r="XS21" s="18"/>
      <c r="XT21" s="18"/>
      <c r="XU21" s="18"/>
      <c r="XV21" s="18"/>
      <c r="XW21" s="18"/>
      <c r="XX21" s="18"/>
      <c r="XY21" s="18"/>
      <c r="XZ21" s="18"/>
      <c r="YA21" s="18"/>
      <c r="YB21" s="18"/>
      <c r="YC21" s="18"/>
      <c r="YD21" s="18"/>
      <c r="YE21" s="18"/>
      <c r="YF21" s="18"/>
      <c r="YG21" s="18"/>
      <c r="YH21" s="18"/>
      <c r="YI21" s="18"/>
      <c r="YJ21" s="18"/>
      <c r="YK21" s="18"/>
      <c r="YL21" s="18"/>
      <c r="YM21" s="18"/>
      <c r="YN21" s="18"/>
      <c r="YO21" s="18"/>
      <c r="YP21" s="18"/>
      <c r="YQ21" s="18"/>
      <c r="YR21" s="18"/>
      <c r="YS21" s="18"/>
      <c r="YT21" s="18"/>
      <c r="YU21" s="18"/>
      <c r="YV21" s="18"/>
      <c r="YW21" s="18"/>
      <c r="YX21" s="18"/>
      <c r="YY21" s="18"/>
      <c r="YZ21" s="18"/>
      <c r="ZA21" s="18"/>
      <c r="ZB21" s="18"/>
      <c r="ZC21" s="18"/>
      <c r="ZD21" s="18"/>
      <c r="ZE21" s="18"/>
      <c r="ZF21" s="18"/>
      <c r="ZG21" s="18"/>
      <c r="ZH21" s="18"/>
      <c r="ZI21" s="18"/>
      <c r="ZJ21" s="18"/>
      <c r="ZK21" s="18"/>
      <c r="ZL21" s="18"/>
      <c r="ZM21" s="18"/>
      <c r="ZN21" s="18"/>
      <c r="ZO21" s="18"/>
      <c r="ZP21" s="18"/>
      <c r="ZQ21" s="18"/>
      <c r="ZR21" s="18"/>
      <c r="ZS21" s="18"/>
      <c r="ZT21" s="18"/>
      <c r="ZU21" s="18"/>
      <c r="ZV21" s="18"/>
      <c r="ZW21" s="18"/>
      <c r="ZX21" s="18"/>
      <c r="ZY21" s="18"/>
      <c r="ZZ21" s="18"/>
      <c r="AAA21" s="18"/>
      <c r="AAB21" s="18"/>
      <c r="AAC21" s="18"/>
      <c r="AAD21" s="18"/>
      <c r="AAE21" s="18"/>
      <c r="AAF21" s="18"/>
      <c r="AAG21" s="18"/>
      <c r="AAH21" s="18"/>
      <c r="AAI21" s="18"/>
      <c r="AAJ21" s="18"/>
      <c r="AAK21" s="18"/>
      <c r="AAL21" s="18"/>
      <c r="AAM21" s="18"/>
      <c r="AAN21" s="18"/>
      <c r="AAO21" s="18"/>
      <c r="AAP21" s="18"/>
      <c r="AAQ21" s="18"/>
      <c r="AAR21" s="18"/>
      <c r="AAS21" s="18"/>
      <c r="AAT21" s="18"/>
      <c r="AAU21" s="18"/>
      <c r="AAV21" s="18"/>
      <c r="AAW21" s="18"/>
      <c r="AAX21" s="18"/>
      <c r="AAY21" s="18"/>
      <c r="AAZ21" s="18"/>
      <c r="ABA21" s="18"/>
      <c r="ABB21" s="18"/>
      <c r="ABC21" s="18"/>
      <c r="ABD21" s="18"/>
      <c r="ABE21" s="18"/>
      <c r="ABF21" s="18"/>
      <c r="ABG21" s="18"/>
      <c r="ABH21" s="18"/>
      <c r="ABI21" s="18"/>
      <c r="ABJ21" s="18"/>
      <c r="ABK21" s="18"/>
      <c r="ABL21" s="18"/>
      <c r="ABM21" s="18"/>
      <c r="ABN21" s="18"/>
      <c r="ABO21" s="18"/>
      <c r="ABP21" s="18"/>
      <c r="ABQ21" s="18"/>
      <c r="ABR21" s="18"/>
      <c r="ABS21" s="18"/>
      <c r="ABT21" s="18"/>
      <c r="ABU21" s="18"/>
      <c r="ABV21" s="18"/>
      <c r="ABW21" s="18"/>
      <c r="ABX21" s="18"/>
      <c r="ABY21" s="18"/>
      <c r="ABZ21" s="18"/>
      <c r="ACA21" s="18"/>
      <c r="ACB21" s="18"/>
      <c r="ACC21" s="18"/>
      <c r="ACD21" s="18"/>
      <c r="ACE21" s="18"/>
      <c r="ACF21" s="18"/>
      <c r="ACG21" s="18"/>
      <c r="ACH21" s="18"/>
      <c r="ACI21" s="18"/>
      <c r="ACJ21" s="18"/>
      <c r="ACK21" s="18"/>
      <c r="ACL21" s="18"/>
      <c r="ACM21" s="18"/>
      <c r="ACN21" s="18"/>
      <c r="ACO21" s="18"/>
      <c r="ACP21" s="18"/>
      <c r="ACQ21" s="18"/>
      <c r="ACR21" s="18"/>
      <c r="ACS21" s="18"/>
      <c r="ACT21" s="18"/>
      <c r="ACU21" s="18"/>
      <c r="ACV21" s="18"/>
      <c r="ACW21" s="18"/>
      <c r="ACX21" s="18"/>
      <c r="ACY21" s="18"/>
      <c r="ACZ21" s="18"/>
      <c r="ADA21" s="18"/>
      <c r="ADB21" s="18"/>
      <c r="ADC21" s="18"/>
      <c r="ADD21" s="18"/>
      <c r="ADE21" s="18"/>
      <c r="ADF21" s="18"/>
      <c r="ADG21" s="18"/>
      <c r="ADH21" s="18"/>
      <c r="ADI21" s="18"/>
      <c r="ADJ21" s="18"/>
      <c r="ADK21" s="18"/>
      <c r="ADL21" s="18"/>
      <c r="ADM21" s="18"/>
      <c r="ADN21" s="18"/>
      <c r="ADO21" s="18"/>
      <c r="ADP21" s="18"/>
      <c r="ADQ21" s="18"/>
      <c r="ADR21" s="18"/>
      <c r="ADS21" s="18"/>
      <c r="ADT21" s="18"/>
      <c r="ADU21" s="18"/>
      <c r="ADV21" s="18"/>
      <c r="ADW21" s="18"/>
      <c r="ADX21" s="18"/>
      <c r="ADY21" s="18"/>
      <c r="ADZ21" s="18"/>
      <c r="AEA21" s="18"/>
      <c r="AEB21" s="18"/>
      <c r="AEC21" s="18"/>
      <c r="AED21" s="18"/>
      <c r="AEE21" s="18"/>
      <c r="AEF21" s="18"/>
      <c r="AEG21" s="18"/>
      <c r="AEH21" s="18"/>
      <c r="AEI21" s="18"/>
      <c r="AEJ21" s="18"/>
      <c r="AEK21" s="18"/>
      <c r="AEL21" s="18"/>
      <c r="AEM21" s="18"/>
      <c r="AEN21" s="18"/>
      <c r="AEO21" s="18"/>
      <c r="AEP21" s="18"/>
      <c r="AEQ21" s="18"/>
      <c r="AER21" s="18"/>
      <c r="AES21" s="18"/>
      <c r="AET21" s="18"/>
      <c r="AEU21" s="18"/>
      <c r="AEV21" s="18"/>
      <c r="AEW21" s="18"/>
      <c r="AEX21" s="18"/>
      <c r="AEY21" s="18"/>
      <c r="AEZ21" s="18"/>
      <c r="AFA21" s="18"/>
      <c r="AFB21" s="18"/>
      <c r="AFC21" s="18"/>
      <c r="AFD21" s="18"/>
      <c r="AFE21" s="18"/>
      <c r="AFF21" s="18"/>
      <c r="AFG21" s="18"/>
      <c r="AFH21" s="18"/>
      <c r="AFI21" s="18"/>
      <c r="AFJ21" s="18"/>
      <c r="AFK21" s="18"/>
      <c r="AFL21" s="18"/>
      <c r="AFM21" s="18"/>
      <c r="AFN21" s="18"/>
      <c r="AFO21" s="18"/>
      <c r="AFP21" s="18"/>
      <c r="AFQ21" s="18"/>
      <c r="AFR21" s="18"/>
      <c r="AFS21" s="18"/>
      <c r="AFT21" s="18"/>
      <c r="AFU21" s="18"/>
      <c r="AFV21" s="18"/>
      <c r="AFW21" s="18"/>
      <c r="AFX21" s="18"/>
      <c r="AFY21" s="18"/>
      <c r="AFZ21" s="18"/>
      <c r="AGA21" s="18"/>
      <c r="AGB21" s="18"/>
      <c r="AGC21" s="18"/>
      <c r="AGD21" s="18"/>
      <c r="AGE21" s="18"/>
      <c r="AGF21" s="18"/>
      <c r="AGG21" s="18"/>
      <c r="AGH21" s="18"/>
      <c r="AGI21" s="18"/>
      <c r="AGJ21" s="18"/>
      <c r="AGK21" s="18"/>
      <c r="AGL21" s="18"/>
      <c r="AGM21" s="18"/>
      <c r="AGN21" s="18"/>
      <c r="AGO21" s="18"/>
      <c r="AGP21" s="18"/>
      <c r="AGQ21" s="18"/>
      <c r="AGR21" s="18"/>
      <c r="AGS21" s="18"/>
      <c r="AGT21" s="18"/>
      <c r="AGU21" s="18"/>
      <c r="AGV21" s="18"/>
      <c r="AGW21" s="18"/>
      <c r="AGX21" s="18"/>
      <c r="AGY21" s="18"/>
      <c r="AGZ21" s="18"/>
      <c r="AHA21" s="18"/>
      <c r="AHB21" s="18"/>
      <c r="AHC21" s="18"/>
      <c r="AHD21" s="18"/>
      <c r="AHE21" s="18"/>
      <c r="AHF21" s="18"/>
      <c r="AHG21" s="18"/>
      <c r="AHH21" s="18"/>
      <c r="AHI21" s="18"/>
      <c r="AHJ21" s="18"/>
      <c r="AHK21" s="18"/>
      <c r="AHL21" s="18"/>
      <c r="AHM21" s="18"/>
      <c r="AHN21" s="18"/>
      <c r="AHO21" s="18"/>
      <c r="AHP21" s="18"/>
      <c r="AHQ21" s="18"/>
      <c r="AHR21" s="18"/>
      <c r="AHS21" s="18"/>
      <c r="AHT21" s="18"/>
      <c r="AHU21" s="18"/>
      <c r="AHV21" s="18"/>
      <c r="AHW21" s="18"/>
      <c r="AHX21" s="18"/>
      <c r="AHY21" s="18"/>
      <c r="AHZ21" s="18"/>
      <c r="AIA21" s="18"/>
      <c r="AIB21" s="18"/>
      <c r="AIC21" s="18"/>
      <c r="AID21" s="18"/>
      <c r="AIE21" s="18"/>
      <c r="AIF21" s="18"/>
      <c r="AIG21" s="18"/>
      <c r="AIH21" s="18"/>
      <c r="AII21" s="18"/>
      <c r="AIJ21" s="18"/>
      <c r="AIK21" s="18"/>
      <c r="AIL21" s="18"/>
      <c r="AIM21" s="18"/>
      <c r="AIN21" s="18"/>
      <c r="AIO21" s="18"/>
      <c r="AIP21" s="18"/>
      <c r="AIQ21" s="18"/>
      <c r="AIR21" s="18"/>
      <c r="AIS21" s="18"/>
      <c r="AIT21" s="18"/>
      <c r="AIU21" s="18"/>
      <c r="AIV21" s="18"/>
      <c r="AIW21" s="18"/>
      <c r="AIX21" s="18"/>
      <c r="AIY21" s="18"/>
      <c r="AIZ21" s="18"/>
      <c r="AJA21" s="18"/>
      <c r="AJB21" s="18"/>
      <c r="AJC21" s="18"/>
      <c r="AJD21" s="18"/>
      <c r="AJE21" s="18"/>
      <c r="AJF21" s="18"/>
      <c r="AJG21" s="18"/>
      <c r="AJH21" s="18"/>
      <c r="AJI21" s="18"/>
      <c r="AJJ21" s="18"/>
      <c r="AJK21" s="18"/>
      <c r="AJL21" s="18"/>
      <c r="AJM21" s="18"/>
      <c r="AJN21" s="18"/>
      <c r="AJO21" s="18"/>
      <c r="AJP21" s="18"/>
      <c r="AJQ21" s="18"/>
      <c r="AJR21" s="18"/>
      <c r="AJS21" s="18"/>
      <c r="AJT21" s="18"/>
      <c r="AJU21" s="18"/>
      <c r="AJV21" s="18"/>
      <c r="AJW21" s="18"/>
      <c r="AJX21" s="18"/>
      <c r="AJY21" s="18"/>
      <c r="AJZ21" s="18"/>
      <c r="AKA21" s="18"/>
      <c r="AKB21" s="18"/>
      <c r="AKC21" s="18"/>
      <c r="AKD21" s="18"/>
      <c r="AKE21" s="18"/>
      <c r="AKF21" s="18"/>
      <c r="AKG21" s="18"/>
      <c r="AKH21" s="18"/>
      <c r="AKI21" s="18"/>
      <c r="AKJ21" s="18"/>
      <c r="AKK21" s="18"/>
      <c r="AKL21" s="18"/>
      <c r="AKM21" s="18"/>
      <c r="AKN21" s="18"/>
      <c r="AKO21" s="18"/>
      <c r="AKP21" s="18"/>
      <c r="AKQ21" s="18"/>
      <c r="AKR21" s="18"/>
      <c r="AKS21" s="18"/>
      <c r="AKT21" s="18"/>
      <c r="AKU21" s="18"/>
      <c r="AKV21" s="18"/>
      <c r="AKW21" s="18"/>
      <c r="AKX21" s="18"/>
      <c r="AKY21" s="18"/>
      <c r="AKZ21" s="18"/>
      <c r="ALA21" s="18"/>
      <c r="ALB21" s="18"/>
      <c r="ALC21" s="18"/>
      <c r="ALD21" s="18"/>
      <c r="ALE21" s="18"/>
      <c r="ALF21" s="18"/>
      <c r="ALG21" s="18"/>
      <c r="ALH21" s="18"/>
      <c r="ALI21" s="18"/>
      <c r="ALJ21" s="18"/>
      <c r="ALK21" s="18"/>
      <c r="ALL21" s="18"/>
      <c r="ALM21" s="18"/>
      <c r="ALN21" s="18"/>
      <c r="ALO21" s="18"/>
      <c r="ALP21" s="18"/>
      <c r="ALQ21" s="18"/>
      <c r="ALR21" s="18"/>
      <c r="ALS21" s="18"/>
      <c r="ALT21" s="18"/>
      <c r="ALU21" s="18"/>
      <c r="ALV21" s="18"/>
      <c r="ALW21" s="18"/>
      <c r="ALX21" s="18"/>
      <c r="ALY21" s="18"/>
      <c r="ALZ21" s="18"/>
      <c r="AMA21" s="18"/>
      <c r="AMB21" s="18"/>
      <c r="AMC21" s="18"/>
      <c r="AMD21" s="18"/>
      <c r="AME21" s="18"/>
      <c r="AMF21" s="18"/>
      <c r="AMG21" s="18"/>
      <c r="AMH21" s="18"/>
    </row>
    <row r="22" spans="1:1022" s="23" customFormat="1" x14ac:dyDescent="0.3">
      <c r="A22" s="33">
        <v>118</v>
      </c>
      <c r="B22" s="19"/>
      <c r="C22" s="19"/>
      <c r="D22" s="57" t="s">
        <v>297</v>
      </c>
      <c r="E22" s="34" t="s">
        <v>450</v>
      </c>
      <c r="F22" s="19"/>
      <c r="G22" s="19"/>
      <c r="H22" s="38" t="s">
        <v>281</v>
      </c>
      <c r="I22" s="31"/>
      <c r="J22" s="31"/>
      <c r="K22" s="31"/>
      <c r="L22" s="31"/>
      <c r="M22" s="32"/>
      <c r="N22" s="32"/>
      <c r="O22" s="18"/>
      <c r="P22" s="36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8"/>
      <c r="EU22" s="18"/>
      <c r="EV22" s="18"/>
      <c r="EW22" s="18"/>
      <c r="EX22" s="18"/>
      <c r="EY22" s="18"/>
      <c r="EZ22" s="18"/>
      <c r="FA22" s="18"/>
      <c r="FB22" s="18"/>
      <c r="FC22" s="18"/>
      <c r="FD22" s="18"/>
      <c r="FE22" s="18"/>
      <c r="FF22" s="18"/>
      <c r="FG22" s="18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8"/>
      <c r="FW22" s="18"/>
      <c r="FX22" s="18"/>
      <c r="FY22" s="18"/>
      <c r="FZ22" s="18"/>
      <c r="GA22" s="18"/>
      <c r="GB22" s="18"/>
      <c r="GC22" s="18"/>
      <c r="GD22" s="18"/>
      <c r="GE22" s="18"/>
      <c r="GF22" s="18"/>
      <c r="GG22" s="18"/>
      <c r="GH22" s="18"/>
      <c r="GI22" s="18"/>
      <c r="GJ22" s="18"/>
      <c r="GK22" s="18"/>
      <c r="GL22" s="18"/>
      <c r="GM22" s="18"/>
      <c r="GN22" s="18"/>
      <c r="GO22" s="18"/>
      <c r="GP22" s="18"/>
      <c r="GQ22" s="18"/>
      <c r="GR22" s="18"/>
      <c r="GS22" s="18"/>
      <c r="GT22" s="18"/>
      <c r="GU22" s="18"/>
      <c r="GV22" s="18"/>
      <c r="GW22" s="18"/>
      <c r="GX22" s="18"/>
      <c r="GY22" s="18"/>
      <c r="GZ22" s="18"/>
      <c r="HA22" s="18"/>
      <c r="HB22" s="18"/>
      <c r="HC22" s="18"/>
      <c r="HD22" s="18"/>
      <c r="HE22" s="18"/>
      <c r="HF22" s="18"/>
      <c r="HG22" s="18"/>
      <c r="HH22" s="18"/>
      <c r="HI22" s="18"/>
      <c r="HJ22" s="18"/>
      <c r="HK22" s="18"/>
      <c r="HL22" s="18"/>
      <c r="HM22" s="18"/>
      <c r="HN22" s="18"/>
      <c r="HO22" s="18"/>
      <c r="HP22" s="18"/>
      <c r="HQ22" s="18"/>
      <c r="HR22" s="18"/>
      <c r="HS22" s="18"/>
      <c r="HT22" s="18"/>
      <c r="HU22" s="18"/>
      <c r="HV22" s="18"/>
      <c r="HW22" s="18"/>
      <c r="HX22" s="18"/>
      <c r="HY22" s="18"/>
      <c r="HZ22" s="18"/>
      <c r="IA22" s="18"/>
      <c r="IB22" s="18"/>
      <c r="IC22" s="18"/>
      <c r="ID22" s="18"/>
      <c r="IE22" s="18"/>
      <c r="IF22" s="18"/>
      <c r="IG22" s="18"/>
      <c r="IH22" s="18"/>
      <c r="II22" s="18"/>
      <c r="IJ22" s="18"/>
      <c r="IK22" s="18"/>
      <c r="IL22" s="18"/>
      <c r="IM22" s="18"/>
      <c r="IN22" s="18"/>
      <c r="IO22" s="18"/>
      <c r="IP22" s="18"/>
      <c r="IQ22" s="18"/>
      <c r="IR22" s="18"/>
      <c r="IS22" s="18"/>
      <c r="IT22" s="18"/>
      <c r="IU22" s="18"/>
      <c r="IV22" s="18"/>
      <c r="IW22" s="18"/>
      <c r="IX22" s="18"/>
      <c r="IY22" s="18"/>
      <c r="IZ22" s="18"/>
      <c r="JA22" s="18"/>
      <c r="JB22" s="18"/>
      <c r="JC22" s="18"/>
      <c r="JD22" s="18"/>
      <c r="JE22" s="18"/>
      <c r="JF22" s="18"/>
      <c r="JG22" s="18"/>
      <c r="JH22" s="18"/>
      <c r="JI22" s="18"/>
      <c r="JJ22" s="18"/>
      <c r="JK22" s="18"/>
      <c r="JL22" s="18"/>
      <c r="JM22" s="18"/>
      <c r="JN22" s="18"/>
      <c r="JO22" s="18"/>
      <c r="JP22" s="18"/>
      <c r="JQ22" s="18"/>
      <c r="JR22" s="18"/>
      <c r="JS22" s="18"/>
      <c r="JT22" s="18"/>
      <c r="JU22" s="18"/>
      <c r="JV22" s="18"/>
      <c r="JW22" s="18"/>
      <c r="JX22" s="18"/>
      <c r="JY22" s="18"/>
      <c r="JZ22" s="18"/>
      <c r="KA22" s="18"/>
      <c r="KB22" s="18"/>
      <c r="KC22" s="18"/>
      <c r="KD22" s="18"/>
      <c r="KE22" s="18"/>
      <c r="KF22" s="18"/>
      <c r="KG22" s="18"/>
      <c r="KH22" s="18"/>
      <c r="KI22" s="18"/>
      <c r="KJ22" s="18"/>
      <c r="KK22" s="18"/>
      <c r="KL22" s="18"/>
      <c r="KM22" s="18"/>
      <c r="KN22" s="18"/>
      <c r="KO22" s="18"/>
      <c r="KP22" s="18"/>
      <c r="KQ22" s="18"/>
      <c r="KR22" s="18"/>
      <c r="KS22" s="18"/>
      <c r="KT22" s="18"/>
      <c r="KU22" s="18"/>
      <c r="KV22" s="18"/>
      <c r="KW22" s="18"/>
      <c r="KX22" s="18"/>
      <c r="KY22" s="18"/>
      <c r="KZ22" s="18"/>
      <c r="LA22" s="18"/>
      <c r="LB22" s="18"/>
      <c r="LC22" s="18"/>
      <c r="LD22" s="18"/>
      <c r="LE22" s="18"/>
      <c r="LF22" s="18"/>
      <c r="LG22" s="18"/>
      <c r="LH22" s="18"/>
      <c r="LI22" s="18"/>
      <c r="LJ22" s="18"/>
      <c r="LK22" s="18"/>
      <c r="LL22" s="18"/>
      <c r="LM22" s="18"/>
      <c r="LN22" s="18"/>
      <c r="LO22" s="18"/>
      <c r="LP22" s="18"/>
      <c r="LQ22" s="18"/>
      <c r="LR22" s="18"/>
      <c r="LS22" s="18"/>
      <c r="LT22" s="18"/>
      <c r="LU22" s="18"/>
      <c r="LV22" s="18"/>
      <c r="LW22" s="18"/>
      <c r="LX22" s="18"/>
      <c r="LY22" s="18"/>
      <c r="LZ22" s="18"/>
      <c r="MA22" s="18"/>
      <c r="MB22" s="18"/>
      <c r="MC22" s="18"/>
      <c r="MD22" s="18"/>
      <c r="ME22" s="18"/>
      <c r="MF22" s="18"/>
      <c r="MG22" s="18"/>
      <c r="MH22" s="18"/>
      <c r="MI22" s="18"/>
      <c r="MJ22" s="18"/>
      <c r="MK22" s="18"/>
      <c r="ML22" s="18"/>
      <c r="MM22" s="18"/>
      <c r="MN22" s="18"/>
      <c r="MO22" s="18"/>
      <c r="MP22" s="18"/>
      <c r="MQ22" s="18"/>
      <c r="MR22" s="18"/>
      <c r="MS22" s="18"/>
      <c r="MT22" s="18"/>
      <c r="MU22" s="18"/>
      <c r="MV22" s="18"/>
      <c r="MW22" s="18"/>
      <c r="MX22" s="18"/>
      <c r="MY22" s="18"/>
      <c r="MZ22" s="18"/>
      <c r="NA22" s="18"/>
      <c r="NB22" s="18"/>
      <c r="NC22" s="18"/>
      <c r="ND22" s="18"/>
      <c r="NE22" s="18"/>
      <c r="NF22" s="18"/>
      <c r="NG22" s="18"/>
      <c r="NH22" s="18"/>
      <c r="NI22" s="18"/>
      <c r="NJ22" s="18"/>
      <c r="NK22" s="18"/>
      <c r="NL22" s="18"/>
      <c r="NM22" s="18"/>
      <c r="NN22" s="18"/>
      <c r="NO22" s="18"/>
      <c r="NP22" s="18"/>
      <c r="NQ22" s="18"/>
      <c r="NR22" s="18"/>
      <c r="NS22" s="18"/>
      <c r="NT22" s="18"/>
      <c r="NU22" s="18"/>
      <c r="NV22" s="18"/>
      <c r="NW22" s="18"/>
      <c r="NX22" s="18"/>
      <c r="NY22" s="18"/>
      <c r="NZ22" s="18"/>
      <c r="OA22" s="18"/>
      <c r="OB22" s="18"/>
      <c r="OC22" s="18"/>
      <c r="OD22" s="18"/>
      <c r="OE22" s="18"/>
      <c r="OF22" s="18"/>
      <c r="OG22" s="18"/>
      <c r="OH22" s="18"/>
      <c r="OI22" s="18"/>
      <c r="OJ22" s="18"/>
      <c r="OK22" s="18"/>
      <c r="OL22" s="18"/>
      <c r="OM22" s="18"/>
      <c r="ON22" s="18"/>
      <c r="OO22" s="18"/>
      <c r="OP22" s="18"/>
      <c r="OQ22" s="18"/>
      <c r="OR22" s="18"/>
      <c r="OS22" s="18"/>
      <c r="OT22" s="18"/>
      <c r="OU22" s="18"/>
      <c r="OV22" s="18"/>
      <c r="OW22" s="18"/>
      <c r="OX22" s="18"/>
      <c r="OY22" s="18"/>
      <c r="OZ22" s="18"/>
      <c r="PA22" s="18"/>
      <c r="PB22" s="18"/>
      <c r="PC22" s="18"/>
      <c r="PD22" s="18"/>
      <c r="PE22" s="18"/>
      <c r="PF22" s="18"/>
      <c r="PG22" s="18"/>
      <c r="PH22" s="18"/>
      <c r="PI22" s="18"/>
      <c r="PJ22" s="18"/>
      <c r="PK22" s="18"/>
      <c r="PL22" s="18"/>
      <c r="PM22" s="18"/>
      <c r="PN22" s="18"/>
      <c r="PO22" s="18"/>
      <c r="PP22" s="18"/>
      <c r="PQ22" s="18"/>
      <c r="PR22" s="18"/>
      <c r="PS22" s="18"/>
      <c r="PT22" s="18"/>
      <c r="PU22" s="18"/>
      <c r="PV22" s="18"/>
      <c r="PW22" s="18"/>
      <c r="PX22" s="18"/>
      <c r="PY22" s="18"/>
      <c r="PZ22" s="18"/>
      <c r="QA22" s="18"/>
      <c r="QB22" s="18"/>
      <c r="QC22" s="18"/>
      <c r="QD22" s="18"/>
      <c r="QE22" s="18"/>
      <c r="QF22" s="18"/>
      <c r="QG22" s="18"/>
      <c r="QH22" s="18"/>
      <c r="QI22" s="18"/>
      <c r="QJ22" s="18"/>
      <c r="QK22" s="18"/>
      <c r="QL22" s="18"/>
      <c r="QM22" s="18"/>
      <c r="QN22" s="18"/>
      <c r="QO22" s="18"/>
      <c r="QP22" s="18"/>
      <c r="QQ22" s="18"/>
      <c r="QR22" s="18"/>
      <c r="QS22" s="18"/>
      <c r="QT22" s="18"/>
      <c r="QU22" s="18"/>
      <c r="QV22" s="18"/>
      <c r="QW22" s="18"/>
      <c r="QX22" s="18"/>
      <c r="QY22" s="18"/>
      <c r="QZ22" s="18"/>
      <c r="RA22" s="18"/>
      <c r="RB22" s="18"/>
      <c r="RC22" s="18"/>
      <c r="RD22" s="18"/>
      <c r="RE22" s="18"/>
      <c r="RF22" s="18"/>
      <c r="RG22" s="18"/>
      <c r="RH22" s="18"/>
      <c r="RI22" s="18"/>
      <c r="RJ22" s="18"/>
      <c r="RK22" s="18"/>
      <c r="RL22" s="18"/>
      <c r="RM22" s="18"/>
      <c r="RN22" s="18"/>
      <c r="RO22" s="18"/>
      <c r="RP22" s="18"/>
      <c r="RQ22" s="18"/>
      <c r="RR22" s="18"/>
      <c r="RS22" s="18"/>
      <c r="RT22" s="18"/>
      <c r="RU22" s="18"/>
      <c r="RV22" s="18"/>
      <c r="RW22" s="18"/>
      <c r="RX22" s="18"/>
      <c r="RY22" s="18"/>
      <c r="RZ22" s="18"/>
      <c r="SA22" s="18"/>
      <c r="SB22" s="18"/>
      <c r="SC22" s="18"/>
      <c r="SD22" s="18"/>
      <c r="SE22" s="18"/>
      <c r="SF22" s="18"/>
      <c r="SG22" s="18"/>
      <c r="SH22" s="18"/>
      <c r="SI22" s="18"/>
      <c r="SJ22" s="18"/>
      <c r="SK22" s="18"/>
      <c r="SL22" s="18"/>
      <c r="SM22" s="18"/>
      <c r="SN22" s="18"/>
      <c r="SO22" s="18"/>
      <c r="SP22" s="18"/>
      <c r="SQ22" s="18"/>
      <c r="SR22" s="18"/>
      <c r="SS22" s="18"/>
      <c r="ST22" s="18"/>
      <c r="SU22" s="18"/>
      <c r="SV22" s="18"/>
      <c r="SW22" s="18"/>
      <c r="SX22" s="18"/>
      <c r="SY22" s="18"/>
      <c r="SZ22" s="18"/>
      <c r="TA22" s="18"/>
      <c r="TB22" s="18"/>
      <c r="TC22" s="18"/>
      <c r="TD22" s="18"/>
      <c r="TE22" s="18"/>
      <c r="TF22" s="18"/>
      <c r="TG22" s="18"/>
      <c r="TH22" s="18"/>
      <c r="TI22" s="18"/>
      <c r="TJ22" s="18"/>
      <c r="TK22" s="18"/>
      <c r="TL22" s="18"/>
      <c r="TM22" s="18"/>
      <c r="TN22" s="18"/>
      <c r="TO22" s="18"/>
      <c r="TP22" s="18"/>
      <c r="TQ22" s="18"/>
      <c r="TR22" s="18"/>
      <c r="TS22" s="18"/>
      <c r="TT22" s="18"/>
      <c r="TU22" s="18"/>
      <c r="TV22" s="18"/>
      <c r="TW22" s="18"/>
      <c r="TX22" s="18"/>
      <c r="TY22" s="18"/>
      <c r="TZ22" s="18"/>
      <c r="UA22" s="18"/>
      <c r="UB22" s="18"/>
      <c r="UC22" s="18"/>
      <c r="UD22" s="18"/>
      <c r="UE22" s="18"/>
      <c r="UF22" s="18"/>
      <c r="UG22" s="18"/>
      <c r="UH22" s="18"/>
      <c r="UI22" s="18"/>
      <c r="UJ22" s="18"/>
      <c r="UK22" s="18"/>
      <c r="UL22" s="18"/>
      <c r="UM22" s="18"/>
      <c r="UN22" s="18"/>
      <c r="UO22" s="18"/>
      <c r="UP22" s="18"/>
      <c r="UQ22" s="18"/>
      <c r="UR22" s="18"/>
      <c r="US22" s="18"/>
      <c r="UT22" s="18"/>
      <c r="UU22" s="18"/>
      <c r="UV22" s="18"/>
      <c r="UW22" s="18"/>
      <c r="UX22" s="18"/>
      <c r="UY22" s="18"/>
      <c r="UZ22" s="18"/>
      <c r="VA22" s="18"/>
      <c r="VB22" s="18"/>
      <c r="VC22" s="18"/>
      <c r="VD22" s="18"/>
      <c r="VE22" s="18"/>
      <c r="VF22" s="18"/>
      <c r="VG22" s="18"/>
      <c r="VH22" s="18"/>
      <c r="VI22" s="18"/>
      <c r="VJ22" s="18"/>
      <c r="VK22" s="18"/>
      <c r="VL22" s="18"/>
      <c r="VM22" s="18"/>
      <c r="VN22" s="18"/>
      <c r="VO22" s="18"/>
      <c r="VP22" s="18"/>
      <c r="VQ22" s="18"/>
      <c r="VR22" s="18"/>
      <c r="VS22" s="18"/>
      <c r="VT22" s="18"/>
      <c r="VU22" s="18"/>
      <c r="VV22" s="18"/>
      <c r="VW22" s="18"/>
      <c r="VX22" s="18"/>
      <c r="VY22" s="18"/>
      <c r="VZ22" s="18"/>
      <c r="WA22" s="18"/>
      <c r="WB22" s="18"/>
      <c r="WC22" s="18"/>
      <c r="WD22" s="18"/>
      <c r="WE22" s="18"/>
      <c r="WF22" s="18"/>
      <c r="WG22" s="18"/>
      <c r="WH22" s="18"/>
      <c r="WI22" s="18"/>
      <c r="WJ22" s="18"/>
      <c r="WK22" s="18"/>
      <c r="WL22" s="18"/>
      <c r="WM22" s="18"/>
      <c r="WN22" s="18"/>
      <c r="WO22" s="18"/>
      <c r="WP22" s="18"/>
      <c r="WQ22" s="18"/>
      <c r="WR22" s="18"/>
      <c r="WS22" s="18"/>
      <c r="WT22" s="18"/>
      <c r="WU22" s="18"/>
      <c r="WV22" s="18"/>
      <c r="WW22" s="18"/>
      <c r="WX22" s="18"/>
      <c r="WY22" s="18"/>
      <c r="WZ22" s="18"/>
      <c r="XA22" s="18"/>
      <c r="XB22" s="18"/>
      <c r="XC22" s="18"/>
      <c r="XD22" s="18"/>
      <c r="XE22" s="18"/>
      <c r="XF22" s="18"/>
      <c r="XG22" s="18"/>
      <c r="XH22" s="18"/>
      <c r="XI22" s="18"/>
      <c r="XJ22" s="18"/>
      <c r="XK22" s="18"/>
      <c r="XL22" s="18"/>
      <c r="XM22" s="18"/>
      <c r="XN22" s="18"/>
      <c r="XO22" s="18"/>
      <c r="XP22" s="18"/>
      <c r="XQ22" s="18"/>
      <c r="XR22" s="18"/>
      <c r="XS22" s="18"/>
      <c r="XT22" s="18"/>
      <c r="XU22" s="18"/>
      <c r="XV22" s="18"/>
      <c r="XW22" s="18"/>
      <c r="XX22" s="18"/>
      <c r="XY22" s="18"/>
      <c r="XZ22" s="18"/>
      <c r="YA22" s="18"/>
      <c r="YB22" s="18"/>
      <c r="YC22" s="18"/>
      <c r="YD22" s="18"/>
      <c r="YE22" s="18"/>
      <c r="YF22" s="18"/>
      <c r="YG22" s="18"/>
      <c r="YH22" s="18"/>
      <c r="YI22" s="18"/>
      <c r="YJ22" s="18"/>
      <c r="YK22" s="18"/>
      <c r="YL22" s="18"/>
      <c r="YM22" s="18"/>
      <c r="YN22" s="18"/>
      <c r="YO22" s="18"/>
      <c r="YP22" s="18"/>
      <c r="YQ22" s="18"/>
      <c r="YR22" s="18"/>
      <c r="YS22" s="18"/>
      <c r="YT22" s="18"/>
      <c r="YU22" s="18"/>
      <c r="YV22" s="18"/>
      <c r="YW22" s="18"/>
      <c r="YX22" s="18"/>
      <c r="YY22" s="18"/>
      <c r="YZ22" s="18"/>
      <c r="ZA22" s="18"/>
      <c r="ZB22" s="18"/>
      <c r="ZC22" s="18"/>
      <c r="ZD22" s="18"/>
      <c r="ZE22" s="18"/>
      <c r="ZF22" s="18"/>
      <c r="ZG22" s="18"/>
      <c r="ZH22" s="18"/>
      <c r="ZI22" s="18"/>
      <c r="ZJ22" s="18"/>
      <c r="ZK22" s="18"/>
      <c r="ZL22" s="18"/>
      <c r="ZM22" s="18"/>
      <c r="ZN22" s="18"/>
      <c r="ZO22" s="18"/>
      <c r="ZP22" s="18"/>
      <c r="ZQ22" s="18"/>
      <c r="ZR22" s="18"/>
      <c r="ZS22" s="18"/>
      <c r="ZT22" s="18"/>
      <c r="ZU22" s="18"/>
      <c r="ZV22" s="18"/>
      <c r="ZW22" s="18"/>
      <c r="ZX22" s="18"/>
      <c r="ZY22" s="18"/>
      <c r="ZZ22" s="18"/>
      <c r="AAA22" s="18"/>
      <c r="AAB22" s="18"/>
      <c r="AAC22" s="18"/>
      <c r="AAD22" s="18"/>
      <c r="AAE22" s="18"/>
      <c r="AAF22" s="18"/>
      <c r="AAG22" s="18"/>
      <c r="AAH22" s="18"/>
      <c r="AAI22" s="18"/>
      <c r="AAJ22" s="18"/>
      <c r="AAK22" s="18"/>
      <c r="AAL22" s="18"/>
      <c r="AAM22" s="18"/>
      <c r="AAN22" s="18"/>
      <c r="AAO22" s="18"/>
      <c r="AAP22" s="18"/>
      <c r="AAQ22" s="18"/>
      <c r="AAR22" s="18"/>
      <c r="AAS22" s="18"/>
      <c r="AAT22" s="18"/>
      <c r="AAU22" s="18"/>
      <c r="AAV22" s="18"/>
      <c r="AAW22" s="18"/>
      <c r="AAX22" s="18"/>
      <c r="AAY22" s="18"/>
      <c r="AAZ22" s="18"/>
      <c r="ABA22" s="18"/>
      <c r="ABB22" s="18"/>
      <c r="ABC22" s="18"/>
      <c r="ABD22" s="18"/>
      <c r="ABE22" s="18"/>
      <c r="ABF22" s="18"/>
      <c r="ABG22" s="18"/>
      <c r="ABH22" s="18"/>
      <c r="ABI22" s="18"/>
      <c r="ABJ22" s="18"/>
      <c r="ABK22" s="18"/>
      <c r="ABL22" s="18"/>
      <c r="ABM22" s="18"/>
      <c r="ABN22" s="18"/>
      <c r="ABO22" s="18"/>
      <c r="ABP22" s="18"/>
      <c r="ABQ22" s="18"/>
      <c r="ABR22" s="18"/>
      <c r="ABS22" s="18"/>
      <c r="ABT22" s="18"/>
      <c r="ABU22" s="18"/>
      <c r="ABV22" s="18"/>
      <c r="ABW22" s="18"/>
      <c r="ABX22" s="18"/>
      <c r="ABY22" s="18"/>
      <c r="ABZ22" s="18"/>
      <c r="ACA22" s="18"/>
      <c r="ACB22" s="18"/>
      <c r="ACC22" s="18"/>
      <c r="ACD22" s="18"/>
      <c r="ACE22" s="18"/>
      <c r="ACF22" s="18"/>
      <c r="ACG22" s="18"/>
      <c r="ACH22" s="18"/>
      <c r="ACI22" s="18"/>
      <c r="ACJ22" s="18"/>
      <c r="ACK22" s="18"/>
      <c r="ACL22" s="18"/>
      <c r="ACM22" s="18"/>
      <c r="ACN22" s="18"/>
      <c r="ACO22" s="18"/>
      <c r="ACP22" s="18"/>
      <c r="ACQ22" s="18"/>
      <c r="ACR22" s="18"/>
      <c r="ACS22" s="18"/>
      <c r="ACT22" s="18"/>
      <c r="ACU22" s="18"/>
      <c r="ACV22" s="18"/>
      <c r="ACW22" s="18"/>
      <c r="ACX22" s="18"/>
      <c r="ACY22" s="18"/>
      <c r="ACZ22" s="18"/>
      <c r="ADA22" s="18"/>
      <c r="ADB22" s="18"/>
      <c r="ADC22" s="18"/>
      <c r="ADD22" s="18"/>
      <c r="ADE22" s="18"/>
      <c r="ADF22" s="18"/>
      <c r="ADG22" s="18"/>
      <c r="ADH22" s="18"/>
      <c r="ADI22" s="18"/>
      <c r="ADJ22" s="18"/>
      <c r="ADK22" s="18"/>
      <c r="ADL22" s="18"/>
      <c r="ADM22" s="18"/>
      <c r="ADN22" s="18"/>
      <c r="ADO22" s="18"/>
      <c r="ADP22" s="18"/>
      <c r="ADQ22" s="18"/>
      <c r="ADR22" s="18"/>
      <c r="ADS22" s="18"/>
      <c r="ADT22" s="18"/>
      <c r="ADU22" s="18"/>
      <c r="ADV22" s="18"/>
      <c r="ADW22" s="18"/>
      <c r="ADX22" s="18"/>
      <c r="ADY22" s="18"/>
      <c r="ADZ22" s="18"/>
      <c r="AEA22" s="18"/>
      <c r="AEB22" s="18"/>
      <c r="AEC22" s="18"/>
      <c r="AED22" s="18"/>
      <c r="AEE22" s="18"/>
      <c r="AEF22" s="18"/>
      <c r="AEG22" s="18"/>
      <c r="AEH22" s="18"/>
      <c r="AEI22" s="18"/>
      <c r="AEJ22" s="18"/>
      <c r="AEK22" s="18"/>
      <c r="AEL22" s="18"/>
      <c r="AEM22" s="18"/>
      <c r="AEN22" s="18"/>
      <c r="AEO22" s="18"/>
      <c r="AEP22" s="18"/>
      <c r="AEQ22" s="18"/>
      <c r="AER22" s="18"/>
      <c r="AES22" s="18"/>
      <c r="AET22" s="18"/>
      <c r="AEU22" s="18"/>
      <c r="AEV22" s="18"/>
      <c r="AEW22" s="18"/>
      <c r="AEX22" s="18"/>
      <c r="AEY22" s="18"/>
      <c r="AEZ22" s="18"/>
      <c r="AFA22" s="18"/>
      <c r="AFB22" s="18"/>
      <c r="AFC22" s="18"/>
      <c r="AFD22" s="18"/>
      <c r="AFE22" s="18"/>
      <c r="AFF22" s="18"/>
      <c r="AFG22" s="18"/>
      <c r="AFH22" s="18"/>
      <c r="AFI22" s="18"/>
      <c r="AFJ22" s="18"/>
      <c r="AFK22" s="18"/>
      <c r="AFL22" s="18"/>
      <c r="AFM22" s="18"/>
      <c r="AFN22" s="18"/>
      <c r="AFO22" s="18"/>
      <c r="AFP22" s="18"/>
      <c r="AFQ22" s="18"/>
      <c r="AFR22" s="18"/>
      <c r="AFS22" s="18"/>
      <c r="AFT22" s="18"/>
      <c r="AFU22" s="18"/>
      <c r="AFV22" s="18"/>
      <c r="AFW22" s="18"/>
      <c r="AFX22" s="18"/>
      <c r="AFY22" s="18"/>
      <c r="AFZ22" s="18"/>
      <c r="AGA22" s="18"/>
      <c r="AGB22" s="18"/>
      <c r="AGC22" s="18"/>
      <c r="AGD22" s="18"/>
      <c r="AGE22" s="18"/>
      <c r="AGF22" s="18"/>
      <c r="AGG22" s="18"/>
      <c r="AGH22" s="18"/>
      <c r="AGI22" s="18"/>
      <c r="AGJ22" s="18"/>
      <c r="AGK22" s="18"/>
      <c r="AGL22" s="18"/>
      <c r="AGM22" s="18"/>
      <c r="AGN22" s="18"/>
      <c r="AGO22" s="18"/>
      <c r="AGP22" s="18"/>
      <c r="AGQ22" s="18"/>
      <c r="AGR22" s="18"/>
      <c r="AGS22" s="18"/>
      <c r="AGT22" s="18"/>
      <c r="AGU22" s="18"/>
      <c r="AGV22" s="18"/>
      <c r="AGW22" s="18"/>
      <c r="AGX22" s="18"/>
      <c r="AGY22" s="18"/>
      <c r="AGZ22" s="18"/>
      <c r="AHA22" s="18"/>
      <c r="AHB22" s="18"/>
      <c r="AHC22" s="18"/>
      <c r="AHD22" s="18"/>
      <c r="AHE22" s="18"/>
      <c r="AHF22" s="18"/>
      <c r="AHG22" s="18"/>
      <c r="AHH22" s="18"/>
      <c r="AHI22" s="18"/>
      <c r="AHJ22" s="18"/>
      <c r="AHK22" s="18"/>
      <c r="AHL22" s="18"/>
      <c r="AHM22" s="18"/>
      <c r="AHN22" s="18"/>
      <c r="AHO22" s="18"/>
      <c r="AHP22" s="18"/>
      <c r="AHQ22" s="18"/>
      <c r="AHR22" s="18"/>
      <c r="AHS22" s="18"/>
      <c r="AHT22" s="18"/>
      <c r="AHU22" s="18"/>
      <c r="AHV22" s="18"/>
      <c r="AHW22" s="18"/>
      <c r="AHX22" s="18"/>
      <c r="AHY22" s="18"/>
      <c r="AHZ22" s="18"/>
      <c r="AIA22" s="18"/>
      <c r="AIB22" s="18"/>
      <c r="AIC22" s="18"/>
      <c r="AID22" s="18"/>
      <c r="AIE22" s="18"/>
      <c r="AIF22" s="18"/>
      <c r="AIG22" s="18"/>
      <c r="AIH22" s="18"/>
      <c r="AII22" s="18"/>
      <c r="AIJ22" s="18"/>
      <c r="AIK22" s="18"/>
      <c r="AIL22" s="18"/>
      <c r="AIM22" s="18"/>
      <c r="AIN22" s="18"/>
      <c r="AIO22" s="18"/>
      <c r="AIP22" s="18"/>
      <c r="AIQ22" s="18"/>
      <c r="AIR22" s="18"/>
      <c r="AIS22" s="18"/>
      <c r="AIT22" s="18"/>
      <c r="AIU22" s="18"/>
      <c r="AIV22" s="18"/>
      <c r="AIW22" s="18"/>
      <c r="AIX22" s="18"/>
      <c r="AIY22" s="18"/>
      <c r="AIZ22" s="18"/>
      <c r="AJA22" s="18"/>
      <c r="AJB22" s="18"/>
      <c r="AJC22" s="18"/>
      <c r="AJD22" s="18"/>
      <c r="AJE22" s="18"/>
      <c r="AJF22" s="18"/>
      <c r="AJG22" s="18"/>
      <c r="AJH22" s="18"/>
      <c r="AJI22" s="18"/>
      <c r="AJJ22" s="18"/>
      <c r="AJK22" s="18"/>
      <c r="AJL22" s="18"/>
      <c r="AJM22" s="18"/>
      <c r="AJN22" s="18"/>
      <c r="AJO22" s="18"/>
      <c r="AJP22" s="18"/>
      <c r="AJQ22" s="18"/>
      <c r="AJR22" s="18"/>
      <c r="AJS22" s="18"/>
      <c r="AJT22" s="18"/>
      <c r="AJU22" s="18"/>
      <c r="AJV22" s="18"/>
      <c r="AJW22" s="18"/>
      <c r="AJX22" s="18"/>
      <c r="AJY22" s="18"/>
      <c r="AJZ22" s="18"/>
      <c r="AKA22" s="18"/>
      <c r="AKB22" s="18"/>
      <c r="AKC22" s="18"/>
      <c r="AKD22" s="18"/>
      <c r="AKE22" s="18"/>
      <c r="AKF22" s="18"/>
      <c r="AKG22" s="18"/>
      <c r="AKH22" s="18"/>
      <c r="AKI22" s="18"/>
      <c r="AKJ22" s="18"/>
      <c r="AKK22" s="18"/>
      <c r="AKL22" s="18"/>
      <c r="AKM22" s="18"/>
      <c r="AKN22" s="18"/>
      <c r="AKO22" s="18"/>
      <c r="AKP22" s="18"/>
      <c r="AKQ22" s="18"/>
      <c r="AKR22" s="18"/>
      <c r="AKS22" s="18"/>
      <c r="AKT22" s="18"/>
      <c r="AKU22" s="18"/>
      <c r="AKV22" s="18"/>
      <c r="AKW22" s="18"/>
      <c r="AKX22" s="18"/>
      <c r="AKY22" s="18"/>
      <c r="AKZ22" s="18"/>
      <c r="ALA22" s="18"/>
      <c r="ALB22" s="18"/>
      <c r="ALC22" s="18"/>
      <c r="ALD22" s="18"/>
      <c r="ALE22" s="18"/>
      <c r="ALF22" s="18"/>
      <c r="ALG22" s="18"/>
      <c r="ALH22" s="18"/>
      <c r="ALI22" s="18"/>
      <c r="ALJ22" s="18"/>
      <c r="ALK22" s="18"/>
      <c r="ALL22" s="18"/>
      <c r="ALM22" s="18"/>
      <c r="ALN22" s="18"/>
      <c r="ALO22" s="18"/>
      <c r="ALP22" s="18"/>
      <c r="ALQ22" s="18"/>
      <c r="ALR22" s="18"/>
      <c r="ALS22" s="18"/>
      <c r="ALT22" s="18"/>
      <c r="ALU22" s="18"/>
      <c r="ALV22" s="18"/>
      <c r="ALW22" s="18"/>
      <c r="ALX22" s="18"/>
      <c r="ALY22" s="18"/>
      <c r="ALZ22" s="18"/>
      <c r="AMA22" s="18"/>
      <c r="AMB22" s="18"/>
      <c r="AMC22" s="18"/>
      <c r="AMD22" s="18"/>
      <c r="AME22" s="18"/>
      <c r="AMF22" s="18"/>
      <c r="AMG22" s="18"/>
      <c r="AMH22" s="18"/>
    </row>
    <row r="23" spans="1:1022" s="23" customFormat="1" x14ac:dyDescent="0.3">
      <c r="A23" s="33">
        <v>119</v>
      </c>
      <c r="B23" s="19"/>
      <c r="C23" s="19"/>
      <c r="D23" s="57" t="s">
        <v>298</v>
      </c>
      <c r="E23" s="34" t="s">
        <v>447</v>
      </c>
      <c r="F23" s="39"/>
      <c r="G23" s="19"/>
      <c r="H23" s="38" t="s">
        <v>281</v>
      </c>
      <c r="I23" s="31"/>
      <c r="J23" s="31"/>
      <c r="K23" s="31"/>
      <c r="L23" s="31"/>
      <c r="M23" s="32"/>
      <c r="N23" s="32"/>
      <c r="O23" s="18"/>
      <c r="P23" s="36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  <c r="FV23" s="18"/>
      <c r="FW23" s="18"/>
      <c r="FX23" s="18"/>
      <c r="FY23" s="18"/>
      <c r="FZ23" s="18"/>
      <c r="GA23" s="18"/>
      <c r="GB23" s="18"/>
      <c r="GC23" s="18"/>
      <c r="GD23" s="18"/>
      <c r="GE23" s="18"/>
      <c r="GF23" s="18"/>
      <c r="GG23" s="18"/>
      <c r="GH23" s="18"/>
      <c r="GI23" s="18"/>
      <c r="GJ23" s="18"/>
      <c r="GK23" s="18"/>
      <c r="GL23" s="18"/>
      <c r="GM23" s="18"/>
      <c r="GN23" s="18"/>
      <c r="GO23" s="18"/>
      <c r="GP23" s="18"/>
      <c r="GQ23" s="18"/>
      <c r="GR23" s="18"/>
      <c r="GS23" s="18"/>
      <c r="GT23" s="18"/>
      <c r="GU23" s="18"/>
      <c r="GV23" s="18"/>
      <c r="GW23" s="18"/>
      <c r="GX23" s="18"/>
      <c r="GY23" s="18"/>
      <c r="GZ23" s="18"/>
      <c r="HA23" s="18"/>
      <c r="HB23" s="18"/>
      <c r="HC23" s="18"/>
      <c r="HD23" s="18"/>
      <c r="HE23" s="18"/>
      <c r="HF23" s="18"/>
      <c r="HG23" s="18"/>
      <c r="HH23" s="18"/>
      <c r="HI23" s="18"/>
      <c r="HJ23" s="18"/>
      <c r="HK23" s="18"/>
      <c r="HL23" s="18"/>
      <c r="HM23" s="18"/>
      <c r="HN23" s="18"/>
      <c r="HO23" s="18"/>
      <c r="HP23" s="18"/>
      <c r="HQ23" s="18"/>
      <c r="HR23" s="18"/>
      <c r="HS23" s="18"/>
      <c r="HT23" s="18"/>
      <c r="HU23" s="18"/>
      <c r="HV23" s="18"/>
      <c r="HW23" s="18"/>
      <c r="HX23" s="18"/>
      <c r="HY23" s="18"/>
      <c r="HZ23" s="18"/>
      <c r="IA23" s="18"/>
      <c r="IB23" s="18"/>
      <c r="IC23" s="18"/>
      <c r="ID23" s="18"/>
      <c r="IE23" s="18"/>
      <c r="IF23" s="18"/>
      <c r="IG23" s="18"/>
      <c r="IH23" s="18"/>
      <c r="II23" s="18"/>
      <c r="IJ23" s="18"/>
      <c r="IK23" s="18"/>
      <c r="IL23" s="18"/>
      <c r="IM23" s="18"/>
      <c r="IN23" s="18"/>
      <c r="IO23" s="18"/>
      <c r="IP23" s="18"/>
      <c r="IQ23" s="18"/>
      <c r="IR23" s="18"/>
      <c r="IS23" s="18"/>
      <c r="IT23" s="18"/>
      <c r="IU23" s="18"/>
      <c r="IV23" s="18"/>
      <c r="IW23" s="18"/>
      <c r="IX23" s="18"/>
      <c r="IY23" s="18"/>
      <c r="IZ23" s="18"/>
      <c r="JA23" s="18"/>
      <c r="JB23" s="18"/>
      <c r="JC23" s="18"/>
      <c r="JD23" s="18"/>
      <c r="JE23" s="18"/>
      <c r="JF23" s="18"/>
      <c r="JG23" s="18"/>
      <c r="JH23" s="18"/>
      <c r="JI23" s="18"/>
      <c r="JJ23" s="18"/>
      <c r="JK23" s="18"/>
      <c r="JL23" s="18"/>
      <c r="JM23" s="18"/>
      <c r="JN23" s="18"/>
      <c r="JO23" s="18"/>
      <c r="JP23" s="18"/>
      <c r="JQ23" s="18"/>
      <c r="JR23" s="18"/>
      <c r="JS23" s="18"/>
      <c r="JT23" s="18"/>
      <c r="JU23" s="18"/>
      <c r="JV23" s="18"/>
      <c r="JW23" s="18"/>
      <c r="JX23" s="18"/>
      <c r="JY23" s="18"/>
      <c r="JZ23" s="18"/>
      <c r="KA23" s="18"/>
      <c r="KB23" s="18"/>
      <c r="KC23" s="18"/>
      <c r="KD23" s="18"/>
      <c r="KE23" s="18"/>
      <c r="KF23" s="18"/>
      <c r="KG23" s="18"/>
      <c r="KH23" s="18"/>
      <c r="KI23" s="18"/>
      <c r="KJ23" s="18"/>
      <c r="KK23" s="18"/>
      <c r="KL23" s="18"/>
      <c r="KM23" s="18"/>
      <c r="KN23" s="18"/>
      <c r="KO23" s="18"/>
      <c r="KP23" s="18"/>
      <c r="KQ23" s="18"/>
      <c r="KR23" s="18"/>
      <c r="KS23" s="18"/>
      <c r="KT23" s="18"/>
      <c r="KU23" s="18"/>
      <c r="KV23" s="18"/>
      <c r="KW23" s="18"/>
      <c r="KX23" s="18"/>
      <c r="KY23" s="18"/>
      <c r="KZ23" s="18"/>
      <c r="LA23" s="18"/>
      <c r="LB23" s="18"/>
      <c r="LC23" s="18"/>
      <c r="LD23" s="18"/>
      <c r="LE23" s="18"/>
      <c r="LF23" s="18"/>
      <c r="LG23" s="18"/>
      <c r="LH23" s="18"/>
      <c r="LI23" s="18"/>
      <c r="LJ23" s="18"/>
      <c r="LK23" s="18"/>
      <c r="LL23" s="18"/>
      <c r="LM23" s="18"/>
      <c r="LN23" s="18"/>
      <c r="LO23" s="18"/>
      <c r="LP23" s="18"/>
      <c r="LQ23" s="18"/>
      <c r="LR23" s="18"/>
      <c r="LS23" s="18"/>
      <c r="LT23" s="18"/>
      <c r="LU23" s="18"/>
      <c r="LV23" s="18"/>
      <c r="LW23" s="18"/>
      <c r="LX23" s="18"/>
      <c r="LY23" s="18"/>
      <c r="LZ23" s="18"/>
      <c r="MA23" s="18"/>
      <c r="MB23" s="18"/>
      <c r="MC23" s="18"/>
      <c r="MD23" s="18"/>
      <c r="ME23" s="18"/>
      <c r="MF23" s="18"/>
      <c r="MG23" s="18"/>
      <c r="MH23" s="18"/>
      <c r="MI23" s="18"/>
      <c r="MJ23" s="18"/>
      <c r="MK23" s="18"/>
      <c r="ML23" s="18"/>
      <c r="MM23" s="18"/>
      <c r="MN23" s="18"/>
      <c r="MO23" s="18"/>
      <c r="MP23" s="18"/>
      <c r="MQ23" s="18"/>
      <c r="MR23" s="18"/>
      <c r="MS23" s="18"/>
      <c r="MT23" s="18"/>
      <c r="MU23" s="18"/>
      <c r="MV23" s="18"/>
      <c r="MW23" s="18"/>
      <c r="MX23" s="18"/>
      <c r="MY23" s="18"/>
      <c r="MZ23" s="18"/>
      <c r="NA23" s="18"/>
      <c r="NB23" s="18"/>
      <c r="NC23" s="18"/>
      <c r="ND23" s="18"/>
      <c r="NE23" s="18"/>
      <c r="NF23" s="18"/>
      <c r="NG23" s="18"/>
      <c r="NH23" s="18"/>
      <c r="NI23" s="18"/>
      <c r="NJ23" s="18"/>
      <c r="NK23" s="18"/>
      <c r="NL23" s="18"/>
      <c r="NM23" s="18"/>
      <c r="NN23" s="18"/>
      <c r="NO23" s="18"/>
      <c r="NP23" s="18"/>
      <c r="NQ23" s="18"/>
      <c r="NR23" s="18"/>
      <c r="NS23" s="18"/>
      <c r="NT23" s="18"/>
      <c r="NU23" s="18"/>
      <c r="NV23" s="18"/>
      <c r="NW23" s="18"/>
      <c r="NX23" s="18"/>
      <c r="NY23" s="18"/>
      <c r="NZ23" s="18"/>
      <c r="OA23" s="18"/>
      <c r="OB23" s="18"/>
      <c r="OC23" s="18"/>
      <c r="OD23" s="18"/>
      <c r="OE23" s="18"/>
      <c r="OF23" s="18"/>
      <c r="OG23" s="18"/>
      <c r="OH23" s="18"/>
      <c r="OI23" s="18"/>
      <c r="OJ23" s="18"/>
      <c r="OK23" s="18"/>
      <c r="OL23" s="18"/>
      <c r="OM23" s="18"/>
      <c r="ON23" s="18"/>
      <c r="OO23" s="18"/>
      <c r="OP23" s="18"/>
      <c r="OQ23" s="18"/>
      <c r="OR23" s="18"/>
      <c r="OS23" s="18"/>
      <c r="OT23" s="18"/>
      <c r="OU23" s="18"/>
      <c r="OV23" s="18"/>
      <c r="OW23" s="18"/>
      <c r="OX23" s="18"/>
      <c r="OY23" s="18"/>
      <c r="OZ23" s="18"/>
      <c r="PA23" s="18"/>
      <c r="PB23" s="18"/>
      <c r="PC23" s="18"/>
      <c r="PD23" s="18"/>
      <c r="PE23" s="18"/>
      <c r="PF23" s="18"/>
      <c r="PG23" s="18"/>
      <c r="PH23" s="18"/>
      <c r="PI23" s="18"/>
      <c r="PJ23" s="18"/>
      <c r="PK23" s="18"/>
      <c r="PL23" s="18"/>
      <c r="PM23" s="18"/>
      <c r="PN23" s="18"/>
      <c r="PO23" s="18"/>
      <c r="PP23" s="18"/>
      <c r="PQ23" s="18"/>
      <c r="PR23" s="18"/>
      <c r="PS23" s="18"/>
      <c r="PT23" s="18"/>
      <c r="PU23" s="18"/>
      <c r="PV23" s="18"/>
      <c r="PW23" s="18"/>
      <c r="PX23" s="18"/>
      <c r="PY23" s="18"/>
      <c r="PZ23" s="18"/>
      <c r="QA23" s="18"/>
      <c r="QB23" s="18"/>
      <c r="QC23" s="18"/>
      <c r="QD23" s="18"/>
      <c r="QE23" s="18"/>
      <c r="QF23" s="18"/>
      <c r="QG23" s="18"/>
      <c r="QH23" s="18"/>
      <c r="QI23" s="18"/>
      <c r="QJ23" s="18"/>
      <c r="QK23" s="18"/>
      <c r="QL23" s="18"/>
      <c r="QM23" s="18"/>
      <c r="QN23" s="18"/>
      <c r="QO23" s="18"/>
      <c r="QP23" s="18"/>
      <c r="QQ23" s="18"/>
      <c r="QR23" s="18"/>
      <c r="QS23" s="18"/>
      <c r="QT23" s="18"/>
      <c r="QU23" s="18"/>
      <c r="QV23" s="18"/>
      <c r="QW23" s="18"/>
      <c r="QX23" s="18"/>
      <c r="QY23" s="18"/>
      <c r="QZ23" s="18"/>
      <c r="RA23" s="18"/>
      <c r="RB23" s="18"/>
      <c r="RC23" s="18"/>
      <c r="RD23" s="18"/>
      <c r="RE23" s="18"/>
      <c r="RF23" s="18"/>
      <c r="RG23" s="18"/>
      <c r="RH23" s="18"/>
      <c r="RI23" s="18"/>
      <c r="RJ23" s="18"/>
      <c r="RK23" s="18"/>
      <c r="RL23" s="18"/>
      <c r="RM23" s="18"/>
      <c r="RN23" s="18"/>
      <c r="RO23" s="18"/>
      <c r="RP23" s="18"/>
      <c r="RQ23" s="18"/>
      <c r="RR23" s="18"/>
      <c r="RS23" s="18"/>
      <c r="RT23" s="18"/>
      <c r="RU23" s="18"/>
      <c r="RV23" s="18"/>
      <c r="RW23" s="18"/>
      <c r="RX23" s="18"/>
      <c r="RY23" s="18"/>
      <c r="RZ23" s="18"/>
      <c r="SA23" s="18"/>
      <c r="SB23" s="18"/>
      <c r="SC23" s="18"/>
      <c r="SD23" s="18"/>
      <c r="SE23" s="18"/>
      <c r="SF23" s="18"/>
      <c r="SG23" s="18"/>
      <c r="SH23" s="18"/>
      <c r="SI23" s="18"/>
      <c r="SJ23" s="18"/>
      <c r="SK23" s="18"/>
      <c r="SL23" s="18"/>
      <c r="SM23" s="18"/>
      <c r="SN23" s="18"/>
      <c r="SO23" s="18"/>
      <c r="SP23" s="18"/>
      <c r="SQ23" s="18"/>
      <c r="SR23" s="18"/>
      <c r="SS23" s="18"/>
      <c r="ST23" s="18"/>
      <c r="SU23" s="18"/>
      <c r="SV23" s="18"/>
      <c r="SW23" s="18"/>
      <c r="SX23" s="18"/>
      <c r="SY23" s="18"/>
      <c r="SZ23" s="18"/>
      <c r="TA23" s="18"/>
      <c r="TB23" s="18"/>
      <c r="TC23" s="18"/>
      <c r="TD23" s="18"/>
      <c r="TE23" s="18"/>
      <c r="TF23" s="18"/>
      <c r="TG23" s="18"/>
      <c r="TH23" s="18"/>
      <c r="TI23" s="18"/>
      <c r="TJ23" s="18"/>
      <c r="TK23" s="18"/>
      <c r="TL23" s="18"/>
      <c r="TM23" s="18"/>
      <c r="TN23" s="18"/>
      <c r="TO23" s="18"/>
      <c r="TP23" s="18"/>
      <c r="TQ23" s="18"/>
      <c r="TR23" s="18"/>
      <c r="TS23" s="18"/>
      <c r="TT23" s="18"/>
      <c r="TU23" s="18"/>
      <c r="TV23" s="18"/>
      <c r="TW23" s="18"/>
      <c r="TX23" s="18"/>
      <c r="TY23" s="18"/>
      <c r="TZ23" s="18"/>
      <c r="UA23" s="18"/>
      <c r="UB23" s="18"/>
      <c r="UC23" s="18"/>
      <c r="UD23" s="18"/>
      <c r="UE23" s="18"/>
      <c r="UF23" s="18"/>
      <c r="UG23" s="18"/>
      <c r="UH23" s="18"/>
      <c r="UI23" s="18"/>
      <c r="UJ23" s="18"/>
      <c r="UK23" s="18"/>
      <c r="UL23" s="18"/>
      <c r="UM23" s="18"/>
      <c r="UN23" s="18"/>
      <c r="UO23" s="18"/>
      <c r="UP23" s="18"/>
      <c r="UQ23" s="18"/>
      <c r="UR23" s="18"/>
      <c r="US23" s="18"/>
      <c r="UT23" s="18"/>
      <c r="UU23" s="18"/>
      <c r="UV23" s="18"/>
      <c r="UW23" s="18"/>
      <c r="UX23" s="18"/>
      <c r="UY23" s="18"/>
      <c r="UZ23" s="18"/>
      <c r="VA23" s="18"/>
      <c r="VB23" s="18"/>
      <c r="VC23" s="18"/>
      <c r="VD23" s="18"/>
      <c r="VE23" s="18"/>
      <c r="VF23" s="18"/>
      <c r="VG23" s="18"/>
      <c r="VH23" s="18"/>
      <c r="VI23" s="18"/>
      <c r="VJ23" s="18"/>
      <c r="VK23" s="18"/>
      <c r="VL23" s="18"/>
      <c r="VM23" s="18"/>
      <c r="VN23" s="18"/>
      <c r="VO23" s="18"/>
      <c r="VP23" s="18"/>
      <c r="VQ23" s="18"/>
      <c r="VR23" s="18"/>
      <c r="VS23" s="18"/>
      <c r="VT23" s="18"/>
      <c r="VU23" s="18"/>
      <c r="VV23" s="18"/>
      <c r="VW23" s="18"/>
      <c r="VX23" s="18"/>
      <c r="VY23" s="18"/>
      <c r="VZ23" s="18"/>
      <c r="WA23" s="18"/>
      <c r="WB23" s="18"/>
      <c r="WC23" s="18"/>
      <c r="WD23" s="18"/>
      <c r="WE23" s="18"/>
      <c r="WF23" s="18"/>
      <c r="WG23" s="18"/>
      <c r="WH23" s="18"/>
      <c r="WI23" s="18"/>
      <c r="WJ23" s="18"/>
      <c r="WK23" s="18"/>
      <c r="WL23" s="18"/>
      <c r="WM23" s="18"/>
      <c r="WN23" s="18"/>
      <c r="WO23" s="18"/>
      <c r="WP23" s="18"/>
      <c r="WQ23" s="18"/>
      <c r="WR23" s="18"/>
      <c r="WS23" s="18"/>
      <c r="WT23" s="18"/>
      <c r="WU23" s="18"/>
      <c r="WV23" s="18"/>
      <c r="WW23" s="18"/>
      <c r="WX23" s="18"/>
      <c r="WY23" s="18"/>
      <c r="WZ23" s="18"/>
      <c r="XA23" s="18"/>
      <c r="XB23" s="18"/>
      <c r="XC23" s="18"/>
      <c r="XD23" s="18"/>
      <c r="XE23" s="18"/>
      <c r="XF23" s="18"/>
      <c r="XG23" s="18"/>
      <c r="XH23" s="18"/>
      <c r="XI23" s="18"/>
      <c r="XJ23" s="18"/>
      <c r="XK23" s="18"/>
      <c r="XL23" s="18"/>
      <c r="XM23" s="18"/>
      <c r="XN23" s="18"/>
      <c r="XO23" s="18"/>
      <c r="XP23" s="18"/>
      <c r="XQ23" s="18"/>
      <c r="XR23" s="18"/>
      <c r="XS23" s="18"/>
      <c r="XT23" s="18"/>
      <c r="XU23" s="18"/>
      <c r="XV23" s="18"/>
      <c r="XW23" s="18"/>
      <c r="XX23" s="18"/>
      <c r="XY23" s="18"/>
      <c r="XZ23" s="18"/>
      <c r="YA23" s="18"/>
      <c r="YB23" s="18"/>
      <c r="YC23" s="18"/>
      <c r="YD23" s="18"/>
      <c r="YE23" s="18"/>
      <c r="YF23" s="18"/>
      <c r="YG23" s="18"/>
      <c r="YH23" s="18"/>
      <c r="YI23" s="18"/>
      <c r="YJ23" s="18"/>
      <c r="YK23" s="18"/>
      <c r="YL23" s="18"/>
      <c r="YM23" s="18"/>
      <c r="YN23" s="18"/>
      <c r="YO23" s="18"/>
      <c r="YP23" s="18"/>
      <c r="YQ23" s="18"/>
      <c r="YR23" s="18"/>
      <c r="YS23" s="18"/>
      <c r="YT23" s="18"/>
      <c r="YU23" s="18"/>
      <c r="YV23" s="18"/>
      <c r="YW23" s="18"/>
      <c r="YX23" s="18"/>
      <c r="YY23" s="18"/>
      <c r="YZ23" s="18"/>
      <c r="ZA23" s="18"/>
      <c r="ZB23" s="18"/>
      <c r="ZC23" s="18"/>
      <c r="ZD23" s="18"/>
      <c r="ZE23" s="18"/>
      <c r="ZF23" s="18"/>
      <c r="ZG23" s="18"/>
      <c r="ZH23" s="18"/>
      <c r="ZI23" s="18"/>
      <c r="ZJ23" s="18"/>
      <c r="ZK23" s="18"/>
      <c r="ZL23" s="18"/>
      <c r="ZM23" s="18"/>
      <c r="ZN23" s="18"/>
      <c r="ZO23" s="18"/>
      <c r="ZP23" s="18"/>
      <c r="ZQ23" s="18"/>
      <c r="ZR23" s="18"/>
      <c r="ZS23" s="18"/>
      <c r="ZT23" s="18"/>
      <c r="ZU23" s="18"/>
      <c r="ZV23" s="18"/>
      <c r="ZW23" s="18"/>
      <c r="ZX23" s="18"/>
      <c r="ZY23" s="18"/>
      <c r="ZZ23" s="18"/>
      <c r="AAA23" s="18"/>
      <c r="AAB23" s="18"/>
      <c r="AAC23" s="18"/>
      <c r="AAD23" s="18"/>
      <c r="AAE23" s="18"/>
      <c r="AAF23" s="18"/>
      <c r="AAG23" s="18"/>
      <c r="AAH23" s="18"/>
      <c r="AAI23" s="18"/>
      <c r="AAJ23" s="18"/>
      <c r="AAK23" s="18"/>
      <c r="AAL23" s="18"/>
      <c r="AAM23" s="18"/>
      <c r="AAN23" s="18"/>
      <c r="AAO23" s="18"/>
      <c r="AAP23" s="18"/>
      <c r="AAQ23" s="18"/>
      <c r="AAR23" s="18"/>
      <c r="AAS23" s="18"/>
      <c r="AAT23" s="18"/>
      <c r="AAU23" s="18"/>
      <c r="AAV23" s="18"/>
      <c r="AAW23" s="18"/>
      <c r="AAX23" s="18"/>
      <c r="AAY23" s="18"/>
      <c r="AAZ23" s="18"/>
      <c r="ABA23" s="18"/>
      <c r="ABB23" s="18"/>
      <c r="ABC23" s="18"/>
      <c r="ABD23" s="18"/>
      <c r="ABE23" s="18"/>
      <c r="ABF23" s="18"/>
      <c r="ABG23" s="18"/>
      <c r="ABH23" s="18"/>
      <c r="ABI23" s="18"/>
      <c r="ABJ23" s="18"/>
      <c r="ABK23" s="18"/>
      <c r="ABL23" s="18"/>
      <c r="ABM23" s="18"/>
      <c r="ABN23" s="18"/>
      <c r="ABO23" s="18"/>
      <c r="ABP23" s="18"/>
      <c r="ABQ23" s="18"/>
      <c r="ABR23" s="18"/>
      <c r="ABS23" s="18"/>
      <c r="ABT23" s="18"/>
      <c r="ABU23" s="18"/>
      <c r="ABV23" s="18"/>
      <c r="ABW23" s="18"/>
      <c r="ABX23" s="18"/>
      <c r="ABY23" s="18"/>
      <c r="ABZ23" s="18"/>
      <c r="ACA23" s="18"/>
      <c r="ACB23" s="18"/>
      <c r="ACC23" s="18"/>
      <c r="ACD23" s="18"/>
      <c r="ACE23" s="18"/>
      <c r="ACF23" s="18"/>
      <c r="ACG23" s="18"/>
      <c r="ACH23" s="18"/>
      <c r="ACI23" s="18"/>
      <c r="ACJ23" s="18"/>
      <c r="ACK23" s="18"/>
      <c r="ACL23" s="18"/>
      <c r="ACM23" s="18"/>
      <c r="ACN23" s="18"/>
      <c r="ACO23" s="18"/>
      <c r="ACP23" s="18"/>
      <c r="ACQ23" s="18"/>
      <c r="ACR23" s="18"/>
      <c r="ACS23" s="18"/>
      <c r="ACT23" s="18"/>
      <c r="ACU23" s="18"/>
      <c r="ACV23" s="18"/>
      <c r="ACW23" s="18"/>
      <c r="ACX23" s="18"/>
      <c r="ACY23" s="18"/>
      <c r="ACZ23" s="18"/>
      <c r="ADA23" s="18"/>
      <c r="ADB23" s="18"/>
      <c r="ADC23" s="18"/>
      <c r="ADD23" s="18"/>
      <c r="ADE23" s="18"/>
      <c r="ADF23" s="18"/>
      <c r="ADG23" s="18"/>
      <c r="ADH23" s="18"/>
      <c r="ADI23" s="18"/>
      <c r="ADJ23" s="18"/>
      <c r="ADK23" s="18"/>
      <c r="ADL23" s="18"/>
      <c r="ADM23" s="18"/>
      <c r="ADN23" s="18"/>
      <c r="ADO23" s="18"/>
      <c r="ADP23" s="18"/>
      <c r="ADQ23" s="18"/>
      <c r="ADR23" s="18"/>
      <c r="ADS23" s="18"/>
      <c r="ADT23" s="18"/>
      <c r="ADU23" s="18"/>
      <c r="ADV23" s="18"/>
      <c r="ADW23" s="18"/>
      <c r="ADX23" s="18"/>
      <c r="ADY23" s="18"/>
      <c r="ADZ23" s="18"/>
      <c r="AEA23" s="18"/>
      <c r="AEB23" s="18"/>
      <c r="AEC23" s="18"/>
      <c r="AED23" s="18"/>
      <c r="AEE23" s="18"/>
      <c r="AEF23" s="18"/>
      <c r="AEG23" s="18"/>
      <c r="AEH23" s="18"/>
      <c r="AEI23" s="18"/>
      <c r="AEJ23" s="18"/>
      <c r="AEK23" s="18"/>
      <c r="AEL23" s="18"/>
      <c r="AEM23" s="18"/>
      <c r="AEN23" s="18"/>
      <c r="AEO23" s="18"/>
      <c r="AEP23" s="18"/>
      <c r="AEQ23" s="18"/>
      <c r="AER23" s="18"/>
      <c r="AES23" s="18"/>
      <c r="AET23" s="18"/>
      <c r="AEU23" s="18"/>
      <c r="AEV23" s="18"/>
      <c r="AEW23" s="18"/>
      <c r="AEX23" s="18"/>
      <c r="AEY23" s="18"/>
      <c r="AEZ23" s="18"/>
      <c r="AFA23" s="18"/>
      <c r="AFB23" s="18"/>
      <c r="AFC23" s="18"/>
      <c r="AFD23" s="18"/>
      <c r="AFE23" s="18"/>
      <c r="AFF23" s="18"/>
      <c r="AFG23" s="18"/>
      <c r="AFH23" s="18"/>
      <c r="AFI23" s="18"/>
      <c r="AFJ23" s="18"/>
      <c r="AFK23" s="18"/>
      <c r="AFL23" s="18"/>
      <c r="AFM23" s="18"/>
      <c r="AFN23" s="18"/>
      <c r="AFO23" s="18"/>
      <c r="AFP23" s="18"/>
      <c r="AFQ23" s="18"/>
      <c r="AFR23" s="18"/>
      <c r="AFS23" s="18"/>
      <c r="AFT23" s="18"/>
      <c r="AFU23" s="18"/>
      <c r="AFV23" s="18"/>
      <c r="AFW23" s="18"/>
      <c r="AFX23" s="18"/>
      <c r="AFY23" s="18"/>
      <c r="AFZ23" s="18"/>
      <c r="AGA23" s="18"/>
      <c r="AGB23" s="18"/>
      <c r="AGC23" s="18"/>
      <c r="AGD23" s="18"/>
      <c r="AGE23" s="18"/>
      <c r="AGF23" s="18"/>
      <c r="AGG23" s="18"/>
      <c r="AGH23" s="18"/>
      <c r="AGI23" s="18"/>
      <c r="AGJ23" s="18"/>
      <c r="AGK23" s="18"/>
      <c r="AGL23" s="18"/>
      <c r="AGM23" s="18"/>
      <c r="AGN23" s="18"/>
      <c r="AGO23" s="18"/>
      <c r="AGP23" s="18"/>
      <c r="AGQ23" s="18"/>
      <c r="AGR23" s="18"/>
      <c r="AGS23" s="18"/>
      <c r="AGT23" s="18"/>
      <c r="AGU23" s="18"/>
      <c r="AGV23" s="18"/>
      <c r="AGW23" s="18"/>
      <c r="AGX23" s="18"/>
      <c r="AGY23" s="18"/>
      <c r="AGZ23" s="18"/>
      <c r="AHA23" s="18"/>
      <c r="AHB23" s="18"/>
      <c r="AHC23" s="18"/>
      <c r="AHD23" s="18"/>
      <c r="AHE23" s="18"/>
      <c r="AHF23" s="18"/>
      <c r="AHG23" s="18"/>
      <c r="AHH23" s="18"/>
      <c r="AHI23" s="18"/>
      <c r="AHJ23" s="18"/>
      <c r="AHK23" s="18"/>
      <c r="AHL23" s="18"/>
      <c r="AHM23" s="18"/>
      <c r="AHN23" s="18"/>
      <c r="AHO23" s="18"/>
      <c r="AHP23" s="18"/>
      <c r="AHQ23" s="18"/>
      <c r="AHR23" s="18"/>
      <c r="AHS23" s="18"/>
      <c r="AHT23" s="18"/>
      <c r="AHU23" s="18"/>
      <c r="AHV23" s="18"/>
      <c r="AHW23" s="18"/>
      <c r="AHX23" s="18"/>
      <c r="AHY23" s="18"/>
      <c r="AHZ23" s="18"/>
      <c r="AIA23" s="18"/>
      <c r="AIB23" s="18"/>
      <c r="AIC23" s="18"/>
      <c r="AID23" s="18"/>
      <c r="AIE23" s="18"/>
      <c r="AIF23" s="18"/>
      <c r="AIG23" s="18"/>
      <c r="AIH23" s="18"/>
      <c r="AII23" s="18"/>
      <c r="AIJ23" s="18"/>
      <c r="AIK23" s="18"/>
      <c r="AIL23" s="18"/>
      <c r="AIM23" s="18"/>
      <c r="AIN23" s="18"/>
      <c r="AIO23" s="18"/>
      <c r="AIP23" s="18"/>
      <c r="AIQ23" s="18"/>
      <c r="AIR23" s="18"/>
      <c r="AIS23" s="18"/>
      <c r="AIT23" s="18"/>
      <c r="AIU23" s="18"/>
      <c r="AIV23" s="18"/>
      <c r="AIW23" s="18"/>
      <c r="AIX23" s="18"/>
      <c r="AIY23" s="18"/>
      <c r="AIZ23" s="18"/>
      <c r="AJA23" s="18"/>
      <c r="AJB23" s="18"/>
      <c r="AJC23" s="18"/>
      <c r="AJD23" s="18"/>
      <c r="AJE23" s="18"/>
      <c r="AJF23" s="18"/>
      <c r="AJG23" s="18"/>
      <c r="AJH23" s="18"/>
      <c r="AJI23" s="18"/>
      <c r="AJJ23" s="18"/>
      <c r="AJK23" s="18"/>
      <c r="AJL23" s="18"/>
      <c r="AJM23" s="18"/>
      <c r="AJN23" s="18"/>
      <c r="AJO23" s="18"/>
      <c r="AJP23" s="18"/>
      <c r="AJQ23" s="18"/>
      <c r="AJR23" s="18"/>
      <c r="AJS23" s="18"/>
      <c r="AJT23" s="18"/>
      <c r="AJU23" s="18"/>
      <c r="AJV23" s="18"/>
      <c r="AJW23" s="18"/>
      <c r="AJX23" s="18"/>
      <c r="AJY23" s="18"/>
      <c r="AJZ23" s="18"/>
      <c r="AKA23" s="18"/>
      <c r="AKB23" s="18"/>
      <c r="AKC23" s="18"/>
      <c r="AKD23" s="18"/>
      <c r="AKE23" s="18"/>
      <c r="AKF23" s="18"/>
      <c r="AKG23" s="18"/>
      <c r="AKH23" s="18"/>
      <c r="AKI23" s="18"/>
      <c r="AKJ23" s="18"/>
      <c r="AKK23" s="18"/>
      <c r="AKL23" s="18"/>
      <c r="AKM23" s="18"/>
      <c r="AKN23" s="18"/>
      <c r="AKO23" s="18"/>
      <c r="AKP23" s="18"/>
      <c r="AKQ23" s="18"/>
      <c r="AKR23" s="18"/>
      <c r="AKS23" s="18"/>
      <c r="AKT23" s="18"/>
      <c r="AKU23" s="18"/>
      <c r="AKV23" s="18"/>
      <c r="AKW23" s="18"/>
      <c r="AKX23" s="18"/>
      <c r="AKY23" s="18"/>
      <c r="AKZ23" s="18"/>
      <c r="ALA23" s="18"/>
      <c r="ALB23" s="18"/>
      <c r="ALC23" s="18"/>
      <c r="ALD23" s="18"/>
      <c r="ALE23" s="18"/>
      <c r="ALF23" s="18"/>
      <c r="ALG23" s="18"/>
      <c r="ALH23" s="18"/>
      <c r="ALI23" s="18"/>
      <c r="ALJ23" s="18"/>
      <c r="ALK23" s="18"/>
      <c r="ALL23" s="18"/>
      <c r="ALM23" s="18"/>
      <c r="ALN23" s="18"/>
      <c r="ALO23" s="18"/>
      <c r="ALP23" s="18"/>
      <c r="ALQ23" s="18"/>
      <c r="ALR23" s="18"/>
      <c r="ALS23" s="18"/>
      <c r="ALT23" s="18"/>
      <c r="ALU23" s="18"/>
      <c r="ALV23" s="18"/>
      <c r="ALW23" s="18"/>
      <c r="ALX23" s="18"/>
      <c r="ALY23" s="18"/>
      <c r="ALZ23" s="18"/>
      <c r="AMA23" s="18"/>
      <c r="AMB23" s="18"/>
      <c r="AMC23" s="18"/>
      <c r="AMD23" s="18"/>
      <c r="AME23" s="18"/>
      <c r="AMF23" s="18"/>
      <c r="AMG23" s="18"/>
      <c r="AMH23" s="18"/>
    </row>
    <row r="24" spans="1:1022" s="23" customFormat="1" x14ac:dyDescent="0.3">
      <c r="A24" s="33">
        <v>120</v>
      </c>
      <c r="B24" s="19"/>
      <c r="C24" s="19"/>
      <c r="D24" s="57" t="s">
        <v>299</v>
      </c>
      <c r="E24" s="34" t="s">
        <v>445</v>
      </c>
      <c r="F24" s="39"/>
      <c r="G24" s="19"/>
      <c r="H24" s="38" t="s">
        <v>281</v>
      </c>
      <c r="I24" s="31"/>
      <c r="J24" s="31"/>
      <c r="K24" s="31"/>
      <c r="L24" s="31"/>
      <c r="M24" s="32"/>
      <c r="N24" s="32"/>
      <c r="O24" s="18"/>
      <c r="P24" s="36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8"/>
      <c r="FW24" s="18"/>
      <c r="FX24" s="18"/>
      <c r="FY24" s="18"/>
      <c r="FZ24" s="18"/>
      <c r="GA24" s="18"/>
      <c r="GB24" s="18"/>
      <c r="GC24" s="18"/>
      <c r="GD24" s="18"/>
      <c r="GE24" s="18"/>
      <c r="GF24" s="18"/>
      <c r="GG24" s="18"/>
      <c r="GH24" s="18"/>
      <c r="GI24" s="18"/>
      <c r="GJ24" s="18"/>
      <c r="GK24" s="18"/>
      <c r="GL24" s="18"/>
      <c r="GM24" s="18"/>
      <c r="GN24" s="18"/>
      <c r="GO24" s="18"/>
      <c r="GP24" s="18"/>
      <c r="GQ24" s="18"/>
      <c r="GR24" s="18"/>
      <c r="GS24" s="18"/>
      <c r="GT24" s="18"/>
      <c r="GU24" s="18"/>
      <c r="GV24" s="18"/>
      <c r="GW24" s="18"/>
      <c r="GX24" s="18"/>
      <c r="GY24" s="18"/>
      <c r="GZ24" s="18"/>
      <c r="HA24" s="18"/>
      <c r="HB24" s="18"/>
      <c r="HC24" s="18"/>
      <c r="HD24" s="18"/>
      <c r="HE24" s="18"/>
      <c r="HF24" s="18"/>
      <c r="HG24" s="18"/>
      <c r="HH24" s="18"/>
      <c r="HI24" s="18"/>
      <c r="HJ24" s="18"/>
      <c r="HK24" s="18"/>
      <c r="HL24" s="18"/>
      <c r="HM24" s="18"/>
      <c r="HN24" s="18"/>
      <c r="HO24" s="18"/>
      <c r="HP24" s="18"/>
      <c r="HQ24" s="18"/>
      <c r="HR24" s="18"/>
      <c r="HS24" s="18"/>
      <c r="HT24" s="18"/>
      <c r="HU24" s="18"/>
      <c r="HV24" s="18"/>
      <c r="HW24" s="18"/>
      <c r="HX24" s="18"/>
      <c r="HY24" s="18"/>
      <c r="HZ24" s="18"/>
      <c r="IA24" s="18"/>
      <c r="IB24" s="18"/>
      <c r="IC24" s="18"/>
      <c r="ID24" s="18"/>
      <c r="IE24" s="18"/>
      <c r="IF24" s="18"/>
      <c r="IG24" s="18"/>
      <c r="IH24" s="18"/>
      <c r="II24" s="18"/>
      <c r="IJ24" s="18"/>
      <c r="IK24" s="18"/>
      <c r="IL24" s="18"/>
      <c r="IM24" s="18"/>
      <c r="IN24" s="18"/>
      <c r="IO24" s="18"/>
      <c r="IP24" s="18"/>
      <c r="IQ24" s="18"/>
      <c r="IR24" s="18"/>
      <c r="IS24" s="18"/>
      <c r="IT24" s="18"/>
      <c r="IU24" s="18"/>
      <c r="IV24" s="18"/>
      <c r="IW24" s="18"/>
      <c r="IX24" s="18"/>
      <c r="IY24" s="18"/>
      <c r="IZ24" s="18"/>
      <c r="JA24" s="18"/>
      <c r="JB24" s="18"/>
      <c r="JC24" s="18"/>
      <c r="JD24" s="18"/>
      <c r="JE24" s="18"/>
      <c r="JF24" s="18"/>
      <c r="JG24" s="18"/>
      <c r="JH24" s="18"/>
      <c r="JI24" s="18"/>
      <c r="JJ24" s="18"/>
      <c r="JK24" s="18"/>
      <c r="JL24" s="18"/>
      <c r="JM24" s="18"/>
      <c r="JN24" s="18"/>
      <c r="JO24" s="18"/>
      <c r="JP24" s="18"/>
      <c r="JQ24" s="18"/>
      <c r="JR24" s="18"/>
      <c r="JS24" s="18"/>
      <c r="JT24" s="18"/>
      <c r="JU24" s="18"/>
      <c r="JV24" s="18"/>
      <c r="JW24" s="18"/>
      <c r="JX24" s="18"/>
      <c r="JY24" s="18"/>
      <c r="JZ24" s="18"/>
      <c r="KA24" s="18"/>
      <c r="KB24" s="18"/>
      <c r="KC24" s="18"/>
      <c r="KD24" s="18"/>
      <c r="KE24" s="18"/>
      <c r="KF24" s="18"/>
      <c r="KG24" s="18"/>
      <c r="KH24" s="18"/>
      <c r="KI24" s="18"/>
      <c r="KJ24" s="18"/>
      <c r="KK24" s="18"/>
      <c r="KL24" s="18"/>
      <c r="KM24" s="18"/>
      <c r="KN24" s="18"/>
      <c r="KO24" s="18"/>
      <c r="KP24" s="18"/>
      <c r="KQ24" s="18"/>
      <c r="KR24" s="18"/>
      <c r="KS24" s="18"/>
      <c r="KT24" s="18"/>
      <c r="KU24" s="18"/>
      <c r="KV24" s="18"/>
      <c r="KW24" s="18"/>
      <c r="KX24" s="18"/>
      <c r="KY24" s="18"/>
      <c r="KZ24" s="18"/>
      <c r="LA24" s="18"/>
      <c r="LB24" s="18"/>
      <c r="LC24" s="18"/>
      <c r="LD24" s="18"/>
      <c r="LE24" s="18"/>
      <c r="LF24" s="18"/>
      <c r="LG24" s="18"/>
      <c r="LH24" s="18"/>
      <c r="LI24" s="18"/>
      <c r="LJ24" s="18"/>
      <c r="LK24" s="18"/>
      <c r="LL24" s="18"/>
      <c r="LM24" s="18"/>
      <c r="LN24" s="18"/>
      <c r="LO24" s="18"/>
      <c r="LP24" s="18"/>
      <c r="LQ24" s="18"/>
      <c r="LR24" s="18"/>
      <c r="LS24" s="18"/>
      <c r="LT24" s="18"/>
      <c r="LU24" s="18"/>
      <c r="LV24" s="18"/>
      <c r="LW24" s="18"/>
      <c r="LX24" s="18"/>
      <c r="LY24" s="18"/>
      <c r="LZ24" s="18"/>
      <c r="MA24" s="18"/>
      <c r="MB24" s="18"/>
      <c r="MC24" s="18"/>
      <c r="MD24" s="18"/>
      <c r="ME24" s="18"/>
      <c r="MF24" s="18"/>
      <c r="MG24" s="18"/>
      <c r="MH24" s="18"/>
      <c r="MI24" s="18"/>
      <c r="MJ24" s="18"/>
      <c r="MK24" s="18"/>
      <c r="ML24" s="18"/>
      <c r="MM24" s="18"/>
      <c r="MN24" s="18"/>
      <c r="MO24" s="18"/>
      <c r="MP24" s="18"/>
      <c r="MQ24" s="18"/>
      <c r="MR24" s="18"/>
      <c r="MS24" s="18"/>
      <c r="MT24" s="18"/>
      <c r="MU24" s="18"/>
      <c r="MV24" s="18"/>
      <c r="MW24" s="18"/>
      <c r="MX24" s="18"/>
      <c r="MY24" s="18"/>
      <c r="MZ24" s="18"/>
      <c r="NA24" s="18"/>
      <c r="NB24" s="18"/>
      <c r="NC24" s="18"/>
      <c r="ND24" s="18"/>
      <c r="NE24" s="18"/>
      <c r="NF24" s="18"/>
      <c r="NG24" s="18"/>
      <c r="NH24" s="18"/>
      <c r="NI24" s="18"/>
      <c r="NJ24" s="18"/>
      <c r="NK24" s="18"/>
      <c r="NL24" s="18"/>
      <c r="NM24" s="18"/>
      <c r="NN24" s="18"/>
      <c r="NO24" s="18"/>
      <c r="NP24" s="18"/>
      <c r="NQ24" s="18"/>
      <c r="NR24" s="18"/>
      <c r="NS24" s="18"/>
      <c r="NT24" s="18"/>
      <c r="NU24" s="18"/>
      <c r="NV24" s="18"/>
      <c r="NW24" s="18"/>
      <c r="NX24" s="18"/>
      <c r="NY24" s="18"/>
      <c r="NZ24" s="18"/>
      <c r="OA24" s="18"/>
      <c r="OB24" s="18"/>
      <c r="OC24" s="18"/>
      <c r="OD24" s="18"/>
      <c r="OE24" s="18"/>
      <c r="OF24" s="18"/>
      <c r="OG24" s="18"/>
      <c r="OH24" s="18"/>
      <c r="OI24" s="18"/>
      <c r="OJ24" s="18"/>
      <c r="OK24" s="18"/>
      <c r="OL24" s="18"/>
      <c r="OM24" s="18"/>
      <c r="ON24" s="18"/>
      <c r="OO24" s="18"/>
      <c r="OP24" s="18"/>
      <c r="OQ24" s="18"/>
      <c r="OR24" s="18"/>
      <c r="OS24" s="18"/>
      <c r="OT24" s="18"/>
      <c r="OU24" s="18"/>
      <c r="OV24" s="18"/>
      <c r="OW24" s="18"/>
      <c r="OX24" s="18"/>
      <c r="OY24" s="18"/>
      <c r="OZ24" s="18"/>
      <c r="PA24" s="18"/>
      <c r="PB24" s="18"/>
      <c r="PC24" s="18"/>
      <c r="PD24" s="18"/>
      <c r="PE24" s="18"/>
      <c r="PF24" s="18"/>
      <c r="PG24" s="18"/>
      <c r="PH24" s="18"/>
      <c r="PI24" s="18"/>
      <c r="PJ24" s="18"/>
      <c r="PK24" s="18"/>
      <c r="PL24" s="18"/>
      <c r="PM24" s="18"/>
      <c r="PN24" s="18"/>
      <c r="PO24" s="18"/>
      <c r="PP24" s="18"/>
      <c r="PQ24" s="18"/>
      <c r="PR24" s="18"/>
      <c r="PS24" s="18"/>
      <c r="PT24" s="18"/>
      <c r="PU24" s="18"/>
      <c r="PV24" s="18"/>
      <c r="PW24" s="18"/>
      <c r="PX24" s="18"/>
      <c r="PY24" s="18"/>
      <c r="PZ24" s="18"/>
      <c r="QA24" s="18"/>
      <c r="QB24" s="18"/>
      <c r="QC24" s="18"/>
      <c r="QD24" s="18"/>
      <c r="QE24" s="18"/>
      <c r="QF24" s="18"/>
      <c r="QG24" s="18"/>
      <c r="QH24" s="18"/>
      <c r="QI24" s="18"/>
      <c r="QJ24" s="18"/>
      <c r="QK24" s="18"/>
      <c r="QL24" s="18"/>
      <c r="QM24" s="18"/>
      <c r="QN24" s="18"/>
      <c r="QO24" s="18"/>
      <c r="QP24" s="18"/>
      <c r="QQ24" s="18"/>
      <c r="QR24" s="18"/>
      <c r="QS24" s="18"/>
      <c r="QT24" s="18"/>
      <c r="QU24" s="18"/>
      <c r="QV24" s="18"/>
      <c r="QW24" s="18"/>
      <c r="QX24" s="18"/>
      <c r="QY24" s="18"/>
      <c r="QZ24" s="18"/>
      <c r="RA24" s="18"/>
      <c r="RB24" s="18"/>
      <c r="RC24" s="18"/>
      <c r="RD24" s="18"/>
      <c r="RE24" s="18"/>
      <c r="RF24" s="18"/>
      <c r="RG24" s="18"/>
      <c r="RH24" s="18"/>
      <c r="RI24" s="18"/>
      <c r="RJ24" s="18"/>
      <c r="RK24" s="18"/>
      <c r="RL24" s="18"/>
      <c r="RM24" s="18"/>
      <c r="RN24" s="18"/>
      <c r="RO24" s="18"/>
      <c r="RP24" s="18"/>
      <c r="RQ24" s="18"/>
      <c r="RR24" s="18"/>
      <c r="RS24" s="18"/>
      <c r="RT24" s="18"/>
      <c r="RU24" s="18"/>
      <c r="RV24" s="18"/>
      <c r="RW24" s="18"/>
      <c r="RX24" s="18"/>
      <c r="RY24" s="18"/>
      <c r="RZ24" s="18"/>
      <c r="SA24" s="18"/>
      <c r="SB24" s="18"/>
      <c r="SC24" s="18"/>
      <c r="SD24" s="18"/>
      <c r="SE24" s="18"/>
      <c r="SF24" s="18"/>
      <c r="SG24" s="18"/>
      <c r="SH24" s="18"/>
      <c r="SI24" s="18"/>
      <c r="SJ24" s="18"/>
      <c r="SK24" s="18"/>
      <c r="SL24" s="18"/>
      <c r="SM24" s="18"/>
      <c r="SN24" s="18"/>
      <c r="SO24" s="18"/>
      <c r="SP24" s="18"/>
      <c r="SQ24" s="18"/>
      <c r="SR24" s="18"/>
      <c r="SS24" s="18"/>
      <c r="ST24" s="18"/>
      <c r="SU24" s="18"/>
      <c r="SV24" s="18"/>
      <c r="SW24" s="18"/>
      <c r="SX24" s="18"/>
      <c r="SY24" s="18"/>
      <c r="SZ24" s="18"/>
      <c r="TA24" s="18"/>
      <c r="TB24" s="18"/>
      <c r="TC24" s="18"/>
      <c r="TD24" s="18"/>
      <c r="TE24" s="18"/>
      <c r="TF24" s="18"/>
      <c r="TG24" s="18"/>
      <c r="TH24" s="18"/>
      <c r="TI24" s="18"/>
      <c r="TJ24" s="18"/>
      <c r="TK24" s="18"/>
      <c r="TL24" s="18"/>
      <c r="TM24" s="18"/>
      <c r="TN24" s="18"/>
      <c r="TO24" s="18"/>
      <c r="TP24" s="18"/>
      <c r="TQ24" s="18"/>
      <c r="TR24" s="18"/>
      <c r="TS24" s="18"/>
      <c r="TT24" s="18"/>
      <c r="TU24" s="18"/>
      <c r="TV24" s="18"/>
      <c r="TW24" s="18"/>
      <c r="TX24" s="18"/>
      <c r="TY24" s="18"/>
      <c r="TZ24" s="18"/>
      <c r="UA24" s="18"/>
      <c r="UB24" s="18"/>
      <c r="UC24" s="18"/>
      <c r="UD24" s="18"/>
      <c r="UE24" s="18"/>
      <c r="UF24" s="18"/>
      <c r="UG24" s="18"/>
      <c r="UH24" s="18"/>
      <c r="UI24" s="18"/>
      <c r="UJ24" s="18"/>
      <c r="UK24" s="18"/>
      <c r="UL24" s="18"/>
      <c r="UM24" s="18"/>
      <c r="UN24" s="18"/>
      <c r="UO24" s="18"/>
      <c r="UP24" s="18"/>
      <c r="UQ24" s="18"/>
      <c r="UR24" s="18"/>
      <c r="US24" s="18"/>
      <c r="UT24" s="18"/>
      <c r="UU24" s="18"/>
      <c r="UV24" s="18"/>
      <c r="UW24" s="18"/>
      <c r="UX24" s="18"/>
      <c r="UY24" s="18"/>
      <c r="UZ24" s="18"/>
      <c r="VA24" s="18"/>
      <c r="VB24" s="18"/>
      <c r="VC24" s="18"/>
      <c r="VD24" s="18"/>
      <c r="VE24" s="18"/>
      <c r="VF24" s="18"/>
      <c r="VG24" s="18"/>
      <c r="VH24" s="18"/>
      <c r="VI24" s="18"/>
      <c r="VJ24" s="18"/>
      <c r="VK24" s="18"/>
      <c r="VL24" s="18"/>
      <c r="VM24" s="18"/>
      <c r="VN24" s="18"/>
      <c r="VO24" s="18"/>
      <c r="VP24" s="18"/>
      <c r="VQ24" s="18"/>
      <c r="VR24" s="18"/>
      <c r="VS24" s="18"/>
      <c r="VT24" s="18"/>
      <c r="VU24" s="18"/>
      <c r="VV24" s="18"/>
      <c r="VW24" s="18"/>
      <c r="VX24" s="18"/>
      <c r="VY24" s="18"/>
      <c r="VZ24" s="18"/>
      <c r="WA24" s="18"/>
      <c r="WB24" s="18"/>
      <c r="WC24" s="18"/>
      <c r="WD24" s="18"/>
      <c r="WE24" s="18"/>
      <c r="WF24" s="18"/>
      <c r="WG24" s="18"/>
      <c r="WH24" s="18"/>
      <c r="WI24" s="18"/>
      <c r="WJ24" s="18"/>
      <c r="WK24" s="18"/>
      <c r="WL24" s="18"/>
      <c r="WM24" s="18"/>
      <c r="WN24" s="18"/>
      <c r="WO24" s="18"/>
      <c r="WP24" s="18"/>
      <c r="WQ24" s="18"/>
      <c r="WR24" s="18"/>
      <c r="WS24" s="18"/>
      <c r="WT24" s="18"/>
      <c r="WU24" s="18"/>
      <c r="WV24" s="18"/>
      <c r="WW24" s="18"/>
      <c r="WX24" s="18"/>
      <c r="WY24" s="18"/>
      <c r="WZ24" s="18"/>
      <c r="XA24" s="18"/>
      <c r="XB24" s="18"/>
      <c r="XC24" s="18"/>
      <c r="XD24" s="18"/>
      <c r="XE24" s="18"/>
      <c r="XF24" s="18"/>
      <c r="XG24" s="18"/>
      <c r="XH24" s="18"/>
      <c r="XI24" s="18"/>
      <c r="XJ24" s="18"/>
      <c r="XK24" s="18"/>
      <c r="XL24" s="18"/>
      <c r="XM24" s="18"/>
      <c r="XN24" s="18"/>
      <c r="XO24" s="18"/>
      <c r="XP24" s="18"/>
      <c r="XQ24" s="18"/>
      <c r="XR24" s="18"/>
      <c r="XS24" s="18"/>
      <c r="XT24" s="18"/>
      <c r="XU24" s="18"/>
      <c r="XV24" s="18"/>
      <c r="XW24" s="18"/>
      <c r="XX24" s="18"/>
      <c r="XY24" s="18"/>
      <c r="XZ24" s="18"/>
      <c r="YA24" s="18"/>
      <c r="YB24" s="18"/>
      <c r="YC24" s="18"/>
      <c r="YD24" s="18"/>
      <c r="YE24" s="18"/>
      <c r="YF24" s="18"/>
      <c r="YG24" s="18"/>
      <c r="YH24" s="18"/>
      <c r="YI24" s="18"/>
      <c r="YJ24" s="18"/>
      <c r="YK24" s="18"/>
      <c r="YL24" s="18"/>
      <c r="YM24" s="18"/>
      <c r="YN24" s="18"/>
      <c r="YO24" s="18"/>
      <c r="YP24" s="18"/>
      <c r="YQ24" s="18"/>
      <c r="YR24" s="18"/>
      <c r="YS24" s="18"/>
      <c r="YT24" s="18"/>
      <c r="YU24" s="18"/>
      <c r="YV24" s="18"/>
      <c r="YW24" s="18"/>
      <c r="YX24" s="18"/>
      <c r="YY24" s="18"/>
      <c r="YZ24" s="18"/>
      <c r="ZA24" s="18"/>
      <c r="ZB24" s="18"/>
      <c r="ZC24" s="18"/>
      <c r="ZD24" s="18"/>
      <c r="ZE24" s="18"/>
      <c r="ZF24" s="18"/>
      <c r="ZG24" s="18"/>
      <c r="ZH24" s="18"/>
      <c r="ZI24" s="18"/>
      <c r="ZJ24" s="18"/>
      <c r="ZK24" s="18"/>
      <c r="ZL24" s="18"/>
      <c r="ZM24" s="18"/>
      <c r="ZN24" s="18"/>
      <c r="ZO24" s="18"/>
      <c r="ZP24" s="18"/>
      <c r="ZQ24" s="18"/>
      <c r="ZR24" s="18"/>
      <c r="ZS24" s="18"/>
      <c r="ZT24" s="18"/>
      <c r="ZU24" s="18"/>
      <c r="ZV24" s="18"/>
      <c r="ZW24" s="18"/>
      <c r="ZX24" s="18"/>
      <c r="ZY24" s="18"/>
      <c r="ZZ24" s="18"/>
      <c r="AAA24" s="18"/>
      <c r="AAB24" s="18"/>
      <c r="AAC24" s="18"/>
      <c r="AAD24" s="18"/>
      <c r="AAE24" s="18"/>
      <c r="AAF24" s="18"/>
      <c r="AAG24" s="18"/>
      <c r="AAH24" s="18"/>
      <c r="AAI24" s="18"/>
      <c r="AAJ24" s="18"/>
      <c r="AAK24" s="18"/>
      <c r="AAL24" s="18"/>
      <c r="AAM24" s="18"/>
      <c r="AAN24" s="18"/>
      <c r="AAO24" s="18"/>
      <c r="AAP24" s="18"/>
      <c r="AAQ24" s="18"/>
      <c r="AAR24" s="18"/>
      <c r="AAS24" s="18"/>
      <c r="AAT24" s="18"/>
      <c r="AAU24" s="18"/>
      <c r="AAV24" s="18"/>
      <c r="AAW24" s="18"/>
      <c r="AAX24" s="18"/>
      <c r="AAY24" s="18"/>
      <c r="AAZ24" s="18"/>
      <c r="ABA24" s="18"/>
      <c r="ABB24" s="18"/>
      <c r="ABC24" s="18"/>
      <c r="ABD24" s="18"/>
      <c r="ABE24" s="18"/>
      <c r="ABF24" s="18"/>
      <c r="ABG24" s="18"/>
      <c r="ABH24" s="18"/>
      <c r="ABI24" s="18"/>
      <c r="ABJ24" s="18"/>
      <c r="ABK24" s="18"/>
      <c r="ABL24" s="18"/>
      <c r="ABM24" s="18"/>
      <c r="ABN24" s="18"/>
      <c r="ABO24" s="18"/>
      <c r="ABP24" s="18"/>
      <c r="ABQ24" s="18"/>
      <c r="ABR24" s="18"/>
      <c r="ABS24" s="18"/>
      <c r="ABT24" s="18"/>
      <c r="ABU24" s="18"/>
      <c r="ABV24" s="18"/>
      <c r="ABW24" s="18"/>
      <c r="ABX24" s="18"/>
      <c r="ABY24" s="18"/>
      <c r="ABZ24" s="18"/>
      <c r="ACA24" s="18"/>
      <c r="ACB24" s="18"/>
      <c r="ACC24" s="18"/>
      <c r="ACD24" s="18"/>
      <c r="ACE24" s="18"/>
      <c r="ACF24" s="18"/>
      <c r="ACG24" s="18"/>
      <c r="ACH24" s="18"/>
      <c r="ACI24" s="18"/>
      <c r="ACJ24" s="18"/>
      <c r="ACK24" s="18"/>
      <c r="ACL24" s="18"/>
      <c r="ACM24" s="18"/>
      <c r="ACN24" s="18"/>
      <c r="ACO24" s="18"/>
      <c r="ACP24" s="18"/>
      <c r="ACQ24" s="18"/>
      <c r="ACR24" s="18"/>
      <c r="ACS24" s="18"/>
      <c r="ACT24" s="18"/>
      <c r="ACU24" s="18"/>
      <c r="ACV24" s="18"/>
      <c r="ACW24" s="18"/>
      <c r="ACX24" s="18"/>
      <c r="ACY24" s="18"/>
      <c r="ACZ24" s="18"/>
      <c r="ADA24" s="18"/>
      <c r="ADB24" s="18"/>
      <c r="ADC24" s="18"/>
      <c r="ADD24" s="18"/>
      <c r="ADE24" s="18"/>
      <c r="ADF24" s="18"/>
      <c r="ADG24" s="18"/>
      <c r="ADH24" s="18"/>
      <c r="ADI24" s="18"/>
      <c r="ADJ24" s="18"/>
      <c r="ADK24" s="18"/>
      <c r="ADL24" s="18"/>
      <c r="ADM24" s="18"/>
      <c r="ADN24" s="18"/>
      <c r="ADO24" s="18"/>
      <c r="ADP24" s="18"/>
      <c r="ADQ24" s="18"/>
      <c r="ADR24" s="18"/>
      <c r="ADS24" s="18"/>
      <c r="ADT24" s="18"/>
      <c r="ADU24" s="18"/>
      <c r="ADV24" s="18"/>
      <c r="ADW24" s="18"/>
      <c r="ADX24" s="18"/>
      <c r="ADY24" s="18"/>
      <c r="ADZ24" s="18"/>
      <c r="AEA24" s="18"/>
      <c r="AEB24" s="18"/>
      <c r="AEC24" s="18"/>
      <c r="AED24" s="18"/>
      <c r="AEE24" s="18"/>
      <c r="AEF24" s="18"/>
      <c r="AEG24" s="18"/>
      <c r="AEH24" s="18"/>
      <c r="AEI24" s="18"/>
      <c r="AEJ24" s="18"/>
      <c r="AEK24" s="18"/>
      <c r="AEL24" s="18"/>
      <c r="AEM24" s="18"/>
      <c r="AEN24" s="18"/>
      <c r="AEO24" s="18"/>
      <c r="AEP24" s="18"/>
      <c r="AEQ24" s="18"/>
      <c r="AER24" s="18"/>
      <c r="AES24" s="18"/>
      <c r="AET24" s="18"/>
      <c r="AEU24" s="18"/>
      <c r="AEV24" s="18"/>
      <c r="AEW24" s="18"/>
      <c r="AEX24" s="18"/>
      <c r="AEY24" s="18"/>
      <c r="AEZ24" s="18"/>
      <c r="AFA24" s="18"/>
      <c r="AFB24" s="18"/>
      <c r="AFC24" s="18"/>
      <c r="AFD24" s="18"/>
      <c r="AFE24" s="18"/>
      <c r="AFF24" s="18"/>
      <c r="AFG24" s="18"/>
      <c r="AFH24" s="18"/>
      <c r="AFI24" s="18"/>
      <c r="AFJ24" s="18"/>
      <c r="AFK24" s="18"/>
      <c r="AFL24" s="18"/>
      <c r="AFM24" s="18"/>
      <c r="AFN24" s="18"/>
      <c r="AFO24" s="18"/>
      <c r="AFP24" s="18"/>
      <c r="AFQ24" s="18"/>
      <c r="AFR24" s="18"/>
      <c r="AFS24" s="18"/>
      <c r="AFT24" s="18"/>
      <c r="AFU24" s="18"/>
      <c r="AFV24" s="18"/>
      <c r="AFW24" s="18"/>
      <c r="AFX24" s="18"/>
      <c r="AFY24" s="18"/>
      <c r="AFZ24" s="18"/>
      <c r="AGA24" s="18"/>
      <c r="AGB24" s="18"/>
      <c r="AGC24" s="18"/>
      <c r="AGD24" s="18"/>
      <c r="AGE24" s="18"/>
      <c r="AGF24" s="18"/>
      <c r="AGG24" s="18"/>
      <c r="AGH24" s="18"/>
      <c r="AGI24" s="18"/>
      <c r="AGJ24" s="18"/>
      <c r="AGK24" s="18"/>
      <c r="AGL24" s="18"/>
      <c r="AGM24" s="18"/>
      <c r="AGN24" s="18"/>
      <c r="AGO24" s="18"/>
      <c r="AGP24" s="18"/>
      <c r="AGQ24" s="18"/>
      <c r="AGR24" s="18"/>
      <c r="AGS24" s="18"/>
      <c r="AGT24" s="18"/>
      <c r="AGU24" s="18"/>
      <c r="AGV24" s="18"/>
      <c r="AGW24" s="18"/>
      <c r="AGX24" s="18"/>
      <c r="AGY24" s="18"/>
      <c r="AGZ24" s="18"/>
      <c r="AHA24" s="18"/>
      <c r="AHB24" s="18"/>
      <c r="AHC24" s="18"/>
      <c r="AHD24" s="18"/>
      <c r="AHE24" s="18"/>
      <c r="AHF24" s="18"/>
      <c r="AHG24" s="18"/>
      <c r="AHH24" s="18"/>
      <c r="AHI24" s="18"/>
      <c r="AHJ24" s="18"/>
      <c r="AHK24" s="18"/>
      <c r="AHL24" s="18"/>
      <c r="AHM24" s="18"/>
      <c r="AHN24" s="18"/>
      <c r="AHO24" s="18"/>
      <c r="AHP24" s="18"/>
      <c r="AHQ24" s="18"/>
      <c r="AHR24" s="18"/>
      <c r="AHS24" s="18"/>
      <c r="AHT24" s="18"/>
      <c r="AHU24" s="18"/>
      <c r="AHV24" s="18"/>
      <c r="AHW24" s="18"/>
      <c r="AHX24" s="18"/>
      <c r="AHY24" s="18"/>
      <c r="AHZ24" s="18"/>
      <c r="AIA24" s="18"/>
      <c r="AIB24" s="18"/>
      <c r="AIC24" s="18"/>
      <c r="AID24" s="18"/>
      <c r="AIE24" s="18"/>
      <c r="AIF24" s="18"/>
      <c r="AIG24" s="18"/>
      <c r="AIH24" s="18"/>
      <c r="AII24" s="18"/>
      <c r="AIJ24" s="18"/>
      <c r="AIK24" s="18"/>
      <c r="AIL24" s="18"/>
      <c r="AIM24" s="18"/>
      <c r="AIN24" s="18"/>
      <c r="AIO24" s="18"/>
      <c r="AIP24" s="18"/>
      <c r="AIQ24" s="18"/>
      <c r="AIR24" s="18"/>
      <c r="AIS24" s="18"/>
      <c r="AIT24" s="18"/>
      <c r="AIU24" s="18"/>
      <c r="AIV24" s="18"/>
      <c r="AIW24" s="18"/>
      <c r="AIX24" s="18"/>
      <c r="AIY24" s="18"/>
      <c r="AIZ24" s="18"/>
      <c r="AJA24" s="18"/>
      <c r="AJB24" s="18"/>
      <c r="AJC24" s="18"/>
      <c r="AJD24" s="18"/>
      <c r="AJE24" s="18"/>
      <c r="AJF24" s="18"/>
      <c r="AJG24" s="18"/>
      <c r="AJH24" s="18"/>
      <c r="AJI24" s="18"/>
      <c r="AJJ24" s="18"/>
      <c r="AJK24" s="18"/>
      <c r="AJL24" s="18"/>
      <c r="AJM24" s="18"/>
      <c r="AJN24" s="18"/>
      <c r="AJO24" s="18"/>
      <c r="AJP24" s="18"/>
      <c r="AJQ24" s="18"/>
      <c r="AJR24" s="18"/>
      <c r="AJS24" s="18"/>
      <c r="AJT24" s="18"/>
      <c r="AJU24" s="18"/>
      <c r="AJV24" s="18"/>
      <c r="AJW24" s="18"/>
      <c r="AJX24" s="18"/>
      <c r="AJY24" s="18"/>
      <c r="AJZ24" s="18"/>
      <c r="AKA24" s="18"/>
      <c r="AKB24" s="18"/>
      <c r="AKC24" s="18"/>
      <c r="AKD24" s="18"/>
      <c r="AKE24" s="18"/>
      <c r="AKF24" s="18"/>
      <c r="AKG24" s="18"/>
      <c r="AKH24" s="18"/>
      <c r="AKI24" s="18"/>
      <c r="AKJ24" s="18"/>
      <c r="AKK24" s="18"/>
      <c r="AKL24" s="18"/>
      <c r="AKM24" s="18"/>
      <c r="AKN24" s="18"/>
      <c r="AKO24" s="18"/>
      <c r="AKP24" s="18"/>
      <c r="AKQ24" s="18"/>
      <c r="AKR24" s="18"/>
      <c r="AKS24" s="18"/>
      <c r="AKT24" s="18"/>
      <c r="AKU24" s="18"/>
      <c r="AKV24" s="18"/>
      <c r="AKW24" s="18"/>
      <c r="AKX24" s="18"/>
      <c r="AKY24" s="18"/>
      <c r="AKZ24" s="18"/>
      <c r="ALA24" s="18"/>
      <c r="ALB24" s="18"/>
      <c r="ALC24" s="18"/>
      <c r="ALD24" s="18"/>
      <c r="ALE24" s="18"/>
      <c r="ALF24" s="18"/>
      <c r="ALG24" s="18"/>
      <c r="ALH24" s="18"/>
      <c r="ALI24" s="18"/>
      <c r="ALJ24" s="18"/>
      <c r="ALK24" s="18"/>
      <c r="ALL24" s="18"/>
      <c r="ALM24" s="18"/>
      <c r="ALN24" s="18"/>
      <c r="ALO24" s="18"/>
      <c r="ALP24" s="18"/>
      <c r="ALQ24" s="18"/>
      <c r="ALR24" s="18"/>
      <c r="ALS24" s="18"/>
      <c r="ALT24" s="18"/>
      <c r="ALU24" s="18"/>
      <c r="ALV24" s="18"/>
      <c r="ALW24" s="18"/>
      <c r="ALX24" s="18"/>
      <c r="ALY24" s="18"/>
      <c r="ALZ24" s="18"/>
      <c r="AMA24" s="18"/>
      <c r="AMB24" s="18"/>
      <c r="AMC24" s="18"/>
      <c r="AMD24" s="18"/>
      <c r="AME24" s="18"/>
      <c r="AMF24" s="18"/>
      <c r="AMG24" s="18"/>
      <c r="AMH24" s="18"/>
    </row>
    <row r="25" spans="1:1022" s="23" customFormat="1" x14ac:dyDescent="0.3">
      <c r="A25" s="33">
        <v>121</v>
      </c>
      <c r="B25" s="19"/>
      <c r="C25" s="19"/>
      <c r="D25" s="57" t="s">
        <v>300</v>
      </c>
      <c r="E25" s="34" t="s">
        <v>451</v>
      </c>
      <c r="F25" s="39"/>
      <c r="G25" s="19"/>
      <c r="H25" s="18"/>
      <c r="I25" s="31"/>
      <c r="J25" s="31"/>
      <c r="K25" s="38" t="s">
        <v>281</v>
      </c>
      <c r="L25" s="31"/>
      <c r="M25" s="32"/>
      <c r="N25" s="32"/>
      <c r="O25" s="18"/>
      <c r="P25" s="36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18"/>
      <c r="IB25" s="18"/>
      <c r="IC25" s="18"/>
      <c r="ID25" s="18"/>
      <c r="IE25" s="18"/>
      <c r="IF25" s="18"/>
      <c r="IG25" s="18"/>
      <c r="IH25" s="18"/>
      <c r="II25" s="18"/>
      <c r="IJ25" s="18"/>
      <c r="IK25" s="18"/>
      <c r="IL25" s="18"/>
      <c r="IM25" s="18"/>
      <c r="IN25" s="18"/>
      <c r="IO25" s="18"/>
      <c r="IP25" s="18"/>
      <c r="IQ25" s="18"/>
      <c r="IR25" s="18"/>
      <c r="IS25" s="18"/>
      <c r="IT25" s="18"/>
      <c r="IU25" s="18"/>
      <c r="IV25" s="18"/>
      <c r="IW25" s="18"/>
      <c r="IX25" s="18"/>
      <c r="IY25" s="18"/>
      <c r="IZ25" s="18"/>
      <c r="JA25" s="18"/>
      <c r="JB25" s="18"/>
      <c r="JC25" s="18"/>
      <c r="JD25" s="18"/>
      <c r="JE25" s="18"/>
      <c r="JF25" s="18"/>
      <c r="JG25" s="18"/>
      <c r="JH25" s="18"/>
      <c r="JI25" s="18"/>
      <c r="JJ25" s="18"/>
      <c r="JK25" s="18"/>
      <c r="JL25" s="18"/>
      <c r="JM25" s="18"/>
      <c r="JN25" s="18"/>
      <c r="JO25" s="18"/>
      <c r="JP25" s="18"/>
      <c r="JQ25" s="18"/>
      <c r="JR25" s="18"/>
      <c r="JS25" s="18"/>
      <c r="JT25" s="18"/>
      <c r="JU25" s="18"/>
      <c r="JV25" s="18"/>
      <c r="JW25" s="18"/>
      <c r="JX25" s="18"/>
      <c r="JY25" s="18"/>
      <c r="JZ25" s="18"/>
      <c r="KA25" s="18"/>
      <c r="KB25" s="18"/>
      <c r="KC25" s="18"/>
      <c r="KD25" s="18"/>
      <c r="KE25" s="18"/>
      <c r="KF25" s="18"/>
      <c r="KG25" s="18"/>
      <c r="KH25" s="18"/>
      <c r="KI25" s="18"/>
      <c r="KJ25" s="18"/>
      <c r="KK25" s="18"/>
      <c r="KL25" s="18"/>
      <c r="KM25" s="18"/>
      <c r="KN25" s="18"/>
      <c r="KO25" s="18"/>
      <c r="KP25" s="18"/>
      <c r="KQ25" s="18"/>
      <c r="KR25" s="18"/>
      <c r="KS25" s="18"/>
      <c r="KT25" s="18"/>
      <c r="KU25" s="18"/>
      <c r="KV25" s="18"/>
      <c r="KW25" s="18"/>
      <c r="KX25" s="18"/>
      <c r="KY25" s="18"/>
      <c r="KZ25" s="18"/>
      <c r="LA25" s="18"/>
      <c r="LB25" s="18"/>
      <c r="LC25" s="18"/>
      <c r="LD25" s="18"/>
      <c r="LE25" s="18"/>
      <c r="LF25" s="18"/>
      <c r="LG25" s="18"/>
      <c r="LH25" s="18"/>
      <c r="LI25" s="18"/>
      <c r="LJ25" s="18"/>
      <c r="LK25" s="18"/>
      <c r="LL25" s="18"/>
      <c r="LM25" s="18"/>
      <c r="LN25" s="18"/>
      <c r="LO25" s="18"/>
      <c r="LP25" s="18"/>
      <c r="LQ25" s="18"/>
      <c r="LR25" s="18"/>
      <c r="LS25" s="18"/>
      <c r="LT25" s="18"/>
      <c r="LU25" s="18"/>
      <c r="LV25" s="18"/>
      <c r="LW25" s="18"/>
      <c r="LX25" s="18"/>
      <c r="LY25" s="18"/>
      <c r="LZ25" s="18"/>
      <c r="MA25" s="18"/>
      <c r="MB25" s="18"/>
      <c r="MC25" s="18"/>
      <c r="MD25" s="18"/>
      <c r="ME25" s="18"/>
      <c r="MF25" s="18"/>
      <c r="MG25" s="18"/>
      <c r="MH25" s="18"/>
      <c r="MI25" s="18"/>
      <c r="MJ25" s="18"/>
      <c r="MK25" s="18"/>
      <c r="ML25" s="18"/>
      <c r="MM25" s="18"/>
      <c r="MN25" s="18"/>
      <c r="MO25" s="18"/>
      <c r="MP25" s="18"/>
      <c r="MQ25" s="18"/>
      <c r="MR25" s="18"/>
      <c r="MS25" s="18"/>
      <c r="MT25" s="18"/>
      <c r="MU25" s="18"/>
      <c r="MV25" s="18"/>
      <c r="MW25" s="18"/>
      <c r="MX25" s="18"/>
      <c r="MY25" s="18"/>
      <c r="MZ25" s="18"/>
      <c r="NA25" s="18"/>
      <c r="NB25" s="18"/>
      <c r="NC25" s="18"/>
      <c r="ND25" s="18"/>
      <c r="NE25" s="18"/>
      <c r="NF25" s="18"/>
      <c r="NG25" s="18"/>
      <c r="NH25" s="18"/>
      <c r="NI25" s="18"/>
      <c r="NJ25" s="18"/>
      <c r="NK25" s="18"/>
      <c r="NL25" s="18"/>
      <c r="NM25" s="18"/>
      <c r="NN25" s="18"/>
      <c r="NO25" s="18"/>
      <c r="NP25" s="18"/>
      <c r="NQ25" s="18"/>
      <c r="NR25" s="18"/>
      <c r="NS25" s="18"/>
      <c r="NT25" s="18"/>
      <c r="NU25" s="18"/>
      <c r="NV25" s="18"/>
      <c r="NW25" s="18"/>
      <c r="NX25" s="18"/>
      <c r="NY25" s="18"/>
      <c r="NZ25" s="18"/>
      <c r="OA25" s="18"/>
      <c r="OB25" s="18"/>
      <c r="OC25" s="18"/>
      <c r="OD25" s="18"/>
      <c r="OE25" s="18"/>
      <c r="OF25" s="18"/>
      <c r="OG25" s="18"/>
      <c r="OH25" s="18"/>
      <c r="OI25" s="18"/>
      <c r="OJ25" s="18"/>
      <c r="OK25" s="18"/>
      <c r="OL25" s="18"/>
      <c r="OM25" s="18"/>
      <c r="ON25" s="18"/>
      <c r="OO25" s="18"/>
      <c r="OP25" s="18"/>
      <c r="OQ25" s="18"/>
      <c r="OR25" s="18"/>
      <c r="OS25" s="18"/>
      <c r="OT25" s="18"/>
      <c r="OU25" s="18"/>
      <c r="OV25" s="18"/>
      <c r="OW25" s="18"/>
      <c r="OX25" s="18"/>
      <c r="OY25" s="18"/>
      <c r="OZ25" s="18"/>
      <c r="PA25" s="18"/>
      <c r="PB25" s="18"/>
      <c r="PC25" s="18"/>
      <c r="PD25" s="18"/>
      <c r="PE25" s="18"/>
      <c r="PF25" s="18"/>
      <c r="PG25" s="18"/>
      <c r="PH25" s="18"/>
      <c r="PI25" s="18"/>
      <c r="PJ25" s="18"/>
      <c r="PK25" s="18"/>
      <c r="PL25" s="18"/>
      <c r="PM25" s="18"/>
      <c r="PN25" s="18"/>
      <c r="PO25" s="18"/>
      <c r="PP25" s="18"/>
      <c r="PQ25" s="18"/>
      <c r="PR25" s="18"/>
      <c r="PS25" s="18"/>
      <c r="PT25" s="18"/>
      <c r="PU25" s="18"/>
      <c r="PV25" s="18"/>
      <c r="PW25" s="18"/>
      <c r="PX25" s="18"/>
      <c r="PY25" s="18"/>
      <c r="PZ25" s="18"/>
      <c r="QA25" s="18"/>
      <c r="QB25" s="18"/>
      <c r="QC25" s="18"/>
      <c r="QD25" s="18"/>
      <c r="QE25" s="18"/>
      <c r="QF25" s="18"/>
      <c r="QG25" s="18"/>
      <c r="QH25" s="18"/>
      <c r="QI25" s="18"/>
      <c r="QJ25" s="18"/>
      <c r="QK25" s="18"/>
      <c r="QL25" s="18"/>
      <c r="QM25" s="18"/>
      <c r="QN25" s="18"/>
      <c r="QO25" s="18"/>
      <c r="QP25" s="18"/>
      <c r="QQ25" s="18"/>
      <c r="QR25" s="18"/>
      <c r="QS25" s="18"/>
      <c r="QT25" s="18"/>
      <c r="QU25" s="18"/>
      <c r="QV25" s="18"/>
      <c r="QW25" s="18"/>
      <c r="QX25" s="18"/>
      <c r="QY25" s="18"/>
      <c r="QZ25" s="18"/>
      <c r="RA25" s="18"/>
      <c r="RB25" s="18"/>
      <c r="RC25" s="18"/>
      <c r="RD25" s="18"/>
      <c r="RE25" s="18"/>
      <c r="RF25" s="18"/>
      <c r="RG25" s="18"/>
      <c r="RH25" s="18"/>
      <c r="RI25" s="18"/>
      <c r="RJ25" s="18"/>
      <c r="RK25" s="18"/>
      <c r="RL25" s="18"/>
      <c r="RM25" s="18"/>
      <c r="RN25" s="18"/>
      <c r="RO25" s="18"/>
      <c r="RP25" s="18"/>
      <c r="RQ25" s="18"/>
      <c r="RR25" s="18"/>
      <c r="RS25" s="18"/>
      <c r="RT25" s="18"/>
      <c r="RU25" s="18"/>
      <c r="RV25" s="18"/>
      <c r="RW25" s="18"/>
      <c r="RX25" s="18"/>
      <c r="RY25" s="18"/>
      <c r="RZ25" s="18"/>
      <c r="SA25" s="18"/>
      <c r="SB25" s="18"/>
      <c r="SC25" s="18"/>
      <c r="SD25" s="18"/>
      <c r="SE25" s="18"/>
      <c r="SF25" s="18"/>
      <c r="SG25" s="18"/>
      <c r="SH25" s="18"/>
      <c r="SI25" s="18"/>
      <c r="SJ25" s="18"/>
      <c r="SK25" s="18"/>
      <c r="SL25" s="18"/>
      <c r="SM25" s="18"/>
      <c r="SN25" s="18"/>
      <c r="SO25" s="18"/>
      <c r="SP25" s="18"/>
      <c r="SQ25" s="18"/>
      <c r="SR25" s="18"/>
      <c r="SS25" s="18"/>
      <c r="ST25" s="18"/>
      <c r="SU25" s="18"/>
      <c r="SV25" s="18"/>
      <c r="SW25" s="18"/>
      <c r="SX25" s="18"/>
      <c r="SY25" s="18"/>
      <c r="SZ25" s="18"/>
      <c r="TA25" s="18"/>
      <c r="TB25" s="18"/>
      <c r="TC25" s="18"/>
      <c r="TD25" s="18"/>
      <c r="TE25" s="18"/>
      <c r="TF25" s="18"/>
      <c r="TG25" s="18"/>
      <c r="TH25" s="18"/>
      <c r="TI25" s="18"/>
      <c r="TJ25" s="18"/>
      <c r="TK25" s="18"/>
      <c r="TL25" s="18"/>
      <c r="TM25" s="18"/>
      <c r="TN25" s="18"/>
      <c r="TO25" s="18"/>
      <c r="TP25" s="18"/>
      <c r="TQ25" s="18"/>
      <c r="TR25" s="18"/>
      <c r="TS25" s="18"/>
      <c r="TT25" s="18"/>
      <c r="TU25" s="18"/>
      <c r="TV25" s="18"/>
      <c r="TW25" s="18"/>
      <c r="TX25" s="18"/>
      <c r="TY25" s="18"/>
      <c r="TZ25" s="18"/>
      <c r="UA25" s="18"/>
      <c r="UB25" s="18"/>
      <c r="UC25" s="18"/>
      <c r="UD25" s="18"/>
      <c r="UE25" s="18"/>
      <c r="UF25" s="18"/>
      <c r="UG25" s="18"/>
      <c r="UH25" s="18"/>
      <c r="UI25" s="18"/>
      <c r="UJ25" s="18"/>
      <c r="UK25" s="18"/>
      <c r="UL25" s="18"/>
      <c r="UM25" s="18"/>
      <c r="UN25" s="18"/>
      <c r="UO25" s="18"/>
      <c r="UP25" s="18"/>
      <c r="UQ25" s="18"/>
      <c r="UR25" s="18"/>
      <c r="US25" s="18"/>
      <c r="UT25" s="18"/>
      <c r="UU25" s="18"/>
      <c r="UV25" s="18"/>
      <c r="UW25" s="18"/>
      <c r="UX25" s="18"/>
      <c r="UY25" s="18"/>
      <c r="UZ25" s="18"/>
      <c r="VA25" s="18"/>
      <c r="VB25" s="18"/>
      <c r="VC25" s="18"/>
      <c r="VD25" s="18"/>
      <c r="VE25" s="18"/>
      <c r="VF25" s="18"/>
      <c r="VG25" s="18"/>
      <c r="VH25" s="18"/>
      <c r="VI25" s="18"/>
      <c r="VJ25" s="18"/>
      <c r="VK25" s="18"/>
      <c r="VL25" s="18"/>
      <c r="VM25" s="18"/>
      <c r="VN25" s="18"/>
      <c r="VO25" s="18"/>
      <c r="VP25" s="18"/>
      <c r="VQ25" s="18"/>
      <c r="VR25" s="18"/>
      <c r="VS25" s="18"/>
      <c r="VT25" s="18"/>
      <c r="VU25" s="18"/>
      <c r="VV25" s="18"/>
      <c r="VW25" s="18"/>
      <c r="VX25" s="18"/>
      <c r="VY25" s="18"/>
      <c r="VZ25" s="18"/>
      <c r="WA25" s="18"/>
      <c r="WB25" s="18"/>
      <c r="WC25" s="18"/>
      <c r="WD25" s="18"/>
      <c r="WE25" s="18"/>
      <c r="WF25" s="18"/>
      <c r="WG25" s="18"/>
      <c r="WH25" s="18"/>
      <c r="WI25" s="18"/>
      <c r="WJ25" s="18"/>
      <c r="WK25" s="18"/>
      <c r="WL25" s="18"/>
      <c r="WM25" s="18"/>
      <c r="WN25" s="18"/>
      <c r="WO25" s="18"/>
      <c r="WP25" s="18"/>
      <c r="WQ25" s="18"/>
      <c r="WR25" s="18"/>
      <c r="WS25" s="18"/>
      <c r="WT25" s="18"/>
      <c r="WU25" s="18"/>
      <c r="WV25" s="18"/>
      <c r="WW25" s="18"/>
      <c r="WX25" s="18"/>
      <c r="WY25" s="18"/>
      <c r="WZ25" s="18"/>
      <c r="XA25" s="18"/>
      <c r="XB25" s="18"/>
      <c r="XC25" s="18"/>
      <c r="XD25" s="18"/>
      <c r="XE25" s="18"/>
      <c r="XF25" s="18"/>
      <c r="XG25" s="18"/>
      <c r="XH25" s="18"/>
      <c r="XI25" s="18"/>
      <c r="XJ25" s="18"/>
      <c r="XK25" s="18"/>
      <c r="XL25" s="18"/>
      <c r="XM25" s="18"/>
      <c r="XN25" s="18"/>
      <c r="XO25" s="18"/>
      <c r="XP25" s="18"/>
      <c r="XQ25" s="18"/>
      <c r="XR25" s="18"/>
      <c r="XS25" s="18"/>
      <c r="XT25" s="18"/>
      <c r="XU25" s="18"/>
      <c r="XV25" s="18"/>
      <c r="XW25" s="18"/>
      <c r="XX25" s="18"/>
      <c r="XY25" s="18"/>
      <c r="XZ25" s="18"/>
      <c r="YA25" s="18"/>
      <c r="YB25" s="18"/>
      <c r="YC25" s="18"/>
      <c r="YD25" s="18"/>
      <c r="YE25" s="18"/>
      <c r="YF25" s="18"/>
      <c r="YG25" s="18"/>
      <c r="YH25" s="18"/>
      <c r="YI25" s="18"/>
      <c r="YJ25" s="18"/>
      <c r="YK25" s="18"/>
      <c r="YL25" s="18"/>
      <c r="YM25" s="18"/>
      <c r="YN25" s="18"/>
      <c r="YO25" s="18"/>
      <c r="YP25" s="18"/>
      <c r="YQ25" s="18"/>
      <c r="YR25" s="18"/>
      <c r="YS25" s="18"/>
      <c r="YT25" s="18"/>
      <c r="YU25" s="18"/>
      <c r="YV25" s="18"/>
      <c r="YW25" s="18"/>
      <c r="YX25" s="18"/>
      <c r="YY25" s="18"/>
      <c r="YZ25" s="18"/>
      <c r="ZA25" s="18"/>
      <c r="ZB25" s="18"/>
      <c r="ZC25" s="18"/>
      <c r="ZD25" s="18"/>
      <c r="ZE25" s="18"/>
      <c r="ZF25" s="18"/>
      <c r="ZG25" s="18"/>
      <c r="ZH25" s="18"/>
      <c r="ZI25" s="18"/>
      <c r="ZJ25" s="18"/>
      <c r="ZK25" s="18"/>
      <c r="ZL25" s="18"/>
      <c r="ZM25" s="18"/>
      <c r="ZN25" s="18"/>
      <c r="ZO25" s="18"/>
      <c r="ZP25" s="18"/>
      <c r="ZQ25" s="18"/>
      <c r="ZR25" s="18"/>
      <c r="ZS25" s="18"/>
      <c r="ZT25" s="18"/>
      <c r="ZU25" s="18"/>
      <c r="ZV25" s="18"/>
      <c r="ZW25" s="18"/>
      <c r="ZX25" s="18"/>
      <c r="ZY25" s="18"/>
      <c r="ZZ25" s="18"/>
      <c r="AAA25" s="18"/>
      <c r="AAB25" s="18"/>
      <c r="AAC25" s="18"/>
      <c r="AAD25" s="18"/>
      <c r="AAE25" s="18"/>
      <c r="AAF25" s="18"/>
      <c r="AAG25" s="18"/>
      <c r="AAH25" s="18"/>
      <c r="AAI25" s="18"/>
      <c r="AAJ25" s="18"/>
      <c r="AAK25" s="18"/>
      <c r="AAL25" s="18"/>
      <c r="AAM25" s="18"/>
      <c r="AAN25" s="18"/>
      <c r="AAO25" s="18"/>
      <c r="AAP25" s="18"/>
      <c r="AAQ25" s="18"/>
      <c r="AAR25" s="18"/>
      <c r="AAS25" s="18"/>
      <c r="AAT25" s="18"/>
      <c r="AAU25" s="18"/>
      <c r="AAV25" s="18"/>
      <c r="AAW25" s="18"/>
      <c r="AAX25" s="18"/>
      <c r="AAY25" s="18"/>
      <c r="AAZ25" s="18"/>
      <c r="ABA25" s="18"/>
      <c r="ABB25" s="18"/>
      <c r="ABC25" s="18"/>
      <c r="ABD25" s="18"/>
      <c r="ABE25" s="18"/>
      <c r="ABF25" s="18"/>
      <c r="ABG25" s="18"/>
      <c r="ABH25" s="18"/>
      <c r="ABI25" s="18"/>
      <c r="ABJ25" s="18"/>
      <c r="ABK25" s="18"/>
      <c r="ABL25" s="18"/>
      <c r="ABM25" s="18"/>
      <c r="ABN25" s="18"/>
      <c r="ABO25" s="18"/>
      <c r="ABP25" s="18"/>
      <c r="ABQ25" s="18"/>
      <c r="ABR25" s="18"/>
      <c r="ABS25" s="18"/>
      <c r="ABT25" s="18"/>
      <c r="ABU25" s="18"/>
      <c r="ABV25" s="18"/>
      <c r="ABW25" s="18"/>
      <c r="ABX25" s="18"/>
      <c r="ABY25" s="18"/>
      <c r="ABZ25" s="18"/>
      <c r="ACA25" s="18"/>
      <c r="ACB25" s="18"/>
      <c r="ACC25" s="18"/>
      <c r="ACD25" s="18"/>
      <c r="ACE25" s="18"/>
      <c r="ACF25" s="18"/>
      <c r="ACG25" s="18"/>
      <c r="ACH25" s="18"/>
      <c r="ACI25" s="18"/>
      <c r="ACJ25" s="18"/>
      <c r="ACK25" s="18"/>
      <c r="ACL25" s="18"/>
      <c r="ACM25" s="18"/>
      <c r="ACN25" s="18"/>
      <c r="ACO25" s="18"/>
      <c r="ACP25" s="18"/>
      <c r="ACQ25" s="18"/>
      <c r="ACR25" s="18"/>
      <c r="ACS25" s="18"/>
      <c r="ACT25" s="18"/>
      <c r="ACU25" s="18"/>
      <c r="ACV25" s="18"/>
      <c r="ACW25" s="18"/>
      <c r="ACX25" s="18"/>
      <c r="ACY25" s="18"/>
      <c r="ACZ25" s="18"/>
      <c r="ADA25" s="18"/>
      <c r="ADB25" s="18"/>
      <c r="ADC25" s="18"/>
      <c r="ADD25" s="18"/>
      <c r="ADE25" s="18"/>
      <c r="ADF25" s="18"/>
      <c r="ADG25" s="18"/>
      <c r="ADH25" s="18"/>
      <c r="ADI25" s="18"/>
      <c r="ADJ25" s="18"/>
      <c r="ADK25" s="18"/>
      <c r="ADL25" s="18"/>
      <c r="ADM25" s="18"/>
      <c r="ADN25" s="18"/>
      <c r="ADO25" s="18"/>
      <c r="ADP25" s="18"/>
      <c r="ADQ25" s="18"/>
      <c r="ADR25" s="18"/>
      <c r="ADS25" s="18"/>
      <c r="ADT25" s="18"/>
      <c r="ADU25" s="18"/>
      <c r="ADV25" s="18"/>
      <c r="ADW25" s="18"/>
      <c r="ADX25" s="18"/>
      <c r="ADY25" s="18"/>
      <c r="ADZ25" s="18"/>
      <c r="AEA25" s="18"/>
      <c r="AEB25" s="18"/>
      <c r="AEC25" s="18"/>
      <c r="AED25" s="18"/>
      <c r="AEE25" s="18"/>
      <c r="AEF25" s="18"/>
      <c r="AEG25" s="18"/>
      <c r="AEH25" s="18"/>
      <c r="AEI25" s="18"/>
      <c r="AEJ25" s="18"/>
      <c r="AEK25" s="18"/>
      <c r="AEL25" s="18"/>
      <c r="AEM25" s="18"/>
      <c r="AEN25" s="18"/>
      <c r="AEO25" s="18"/>
      <c r="AEP25" s="18"/>
      <c r="AEQ25" s="18"/>
      <c r="AER25" s="18"/>
      <c r="AES25" s="18"/>
      <c r="AET25" s="18"/>
      <c r="AEU25" s="18"/>
      <c r="AEV25" s="18"/>
      <c r="AEW25" s="18"/>
      <c r="AEX25" s="18"/>
      <c r="AEY25" s="18"/>
      <c r="AEZ25" s="18"/>
      <c r="AFA25" s="18"/>
      <c r="AFB25" s="18"/>
      <c r="AFC25" s="18"/>
      <c r="AFD25" s="18"/>
      <c r="AFE25" s="18"/>
      <c r="AFF25" s="18"/>
      <c r="AFG25" s="18"/>
      <c r="AFH25" s="18"/>
      <c r="AFI25" s="18"/>
      <c r="AFJ25" s="18"/>
      <c r="AFK25" s="18"/>
      <c r="AFL25" s="18"/>
      <c r="AFM25" s="18"/>
      <c r="AFN25" s="18"/>
      <c r="AFO25" s="18"/>
      <c r="AFP25" s="18"/>
      <c r="AFQ25" s="18"/>
      <c r="AFR25" s="18"/>
      <c r="AFS25" s="18"/>
      <c r="AFT25" s="18"/>
      <c r="AFU25" s="18"/>
      <c r="AFV25" s="18"/>
      <c r="AFW25" s="18"/>
      <c r="AFX25" s="18"/>
      <c r="AFY25" s="18"/>
      <c r="AFZ25" s="18"/>
      <c r="AGA25" s="18"/>
      <c r="AGB25" s="18"/>
      <c r="AGC25" s="18"/>
      <c r="AGD25" s="18"/>
      <c r="AGE25" s="18"/>
      <c r="AGF25" s="18"/>
      <c r="AGG25" s="18"/>
      <c r="AGH25" s="18"/>
      <c r="AGI25" s="18"/>
      <c r="AGJ25" s="18"/>
      <c r="AGK25" s="18"/>
      <c r="AGL25" s="18"/>
      <c r="AGM25" s="18"/>
      <c r="AGN25" s="18"/>
      <c r="AGO25" s="18"/>
      <c r="AGP25" s="18"/>
      <c r="AGQ25" s="18"/>
      <c r="AGR25" s="18"/>
      <c r="AGS25" s="18"/>
      <c r="AGT25" s="18"/>
      <c r="AGU25" s="18"/>
      <c r="AGV25" s="18"/>
      <c r="AGW25" s="18"/>
      <c r="AGX25" s="18"/>
      <c r="AGY25" s="18"/>
      <c r="AGZ25" s="18"/>
      <c r="AHA25" s="18"/>
      <c r="AHB25" s="18"/>
      <c r="AHC25" s="18"/>
      <c r="AHD25" s="18"/>
      <c r="AHE25" s="18"/>
      <c r="AHF25" s="18"/>
      <c r="AHG25" s="18"/>
      <c r="AHH25" s="18"/>
      <c r="AHI25" s="18"/>
      <c r="AHJ25" s="18"/>
      <c r="AHK25" s="18"/>
      <c r="AHL25" s="18"/>
      <c r="AHM25" s="18"/>
      <c r="AHN25" s="18"/>
      <c r="AHO25" s="18"/>
      <c r="AHP25" s="18"/>
      <c r="AHQ25" s="18"/>
      <c r="AHR25" s="18"/>
      <c r="AHS25" s="18"/>
      <c r="AHT25" s="18"/>
      <c r="AHU25" s="18"/>
      <c r="AHV25" s="18"/>
      <c r="AHW25" s="18"/>
      <c r="AHX25" s="18"/>
      <c r="AHY25" s="18"/>
      <c r="AHZ25" s="18"/>
      <c r="AIA25" s="18"/>
      <c r="AIB25" s="18"/>
      <c r="AIC25" s="18"/>
      <c r="AID25" s="18"/>
      <c r="AIE25" s="18"/>
      <c r="AIF25" s="18"/>
      <c r="AIG25" s="18"/>
      <c r="AIH25" s="18"/>
      <c r="AII25" s="18"/>
      <c r="AIJ25" s="18"/>
      <c r="AIK25" s="18"/>
      <c r="AIL25" s="18"/>
      <c r="AIM25" s="18"/>
      <c r="AIN25" s="18"/>
      <c r="AIO25" s="18"/>
      <c r="AIP25" s="18"/>
      <c r="AIQ25" s="18"/>
      <c r="AIR25" s="18"/>
      <c r="AIS25" s="18"/>
      <c r="AIT25" s="18"/>
      <c r="AIU25" s="18"/>
      <c r="AIV25" s="18"/>
      <c r="AIW25" s="18"/>
      <c r="AIX25" s="18"/>
      <c r="AIY25" s="18"/>
      <c r="AIZ25" s="18"/>
      <c r="AJA25" s="18"/>
      <c r="AJB25" s="18"/>
      <c r="AJC25" s="18"/>
      <c r="AJD25" s="18"/>
      <c r="AJE25" s="18"/>
      <c r="AJF25" s="18"/>
      <c r="AJG25" s="18"/>
      <c r="AJH25" s="18"/>
      <c r="AJI25" s="18"/>
      <c r="AJJ25" s="18"/>
      <c r="AJK25" s="18"/>
      <c r="AJL25" s="18"/>
      <c r="AJM25" s="18"/>
      <c r="AJN25" s="18"/>
      <c r="AJO25" s="18"/>
      <c r="AJP25" s="18"/>
      <c r="AJQ25" s="18"/>
      <c r="AJR25" s="18"/>
      <c r="AJS25" s="18"/>
      <c r="AJT25" s="18"/>
      <c r="AJU25" s="18"/>
      <c r="AJV25" s="18"/>
      <c r="AJW25" s="18"/>
      <c r="AJX25" s="18"/>
      <c r="AJY25" s="18"/>
      <c r="AJZ25" s="18"/>
      <c r="AKA25" s="18"/>
      <c r="AKB25" s="18"/>
      <c r="AKC25" s="18"/>
      <c r="AKD25" s="18"/>
      <c r="AKE25" s="18"/>
      <c r="AKF25" s="18"/>
      <c r="AKG25" s="18"/>
      <c r="AKH25" s="18"/>
      <c r="AKI25" s="18"/>
      <c r="AKJ25" s="18"/>
      <c r="AKK25" s="18"/>
      <c r="AKL25" s="18"/>
      <c r="AKM25" s="18"/>
      <c r="AKN25" s="18"/>
      <c r="AKO25" s="18"/>
      <c r="AKP25" s="18"/>
      <c r="AKQ25" s="18"/>
      <c r="AKR25" s="18"/>
      <c r="AKS25" s="18"/>
      <c r="AKT25" s="18"/>
      <c r="AKU25" s="18"/>
      <c r="AKV25" s="18"/>
      <c r="AKW25" s="18"/>
      <c r="AKX25" s="18"/>
      <c r="AKY25" s="18"/>
      <c r="AKZ25" s="18"/>
      <c r="ALA25" s="18"/>
      <c r="ALB25" s="18"/>
      <c r="ALC25" s="18"/>
      <c r="ALD25" s="18"/>
      <c r="ALE25" s="18"/>
      <c r="ALF25" s="18"/>
      <c r="ALG25" s="18"/>
      <c r="ALH25" s="18"/>
      <c r="ALI25" s="18"/>
      <c r="ALJ25" s="18"/>
      <c r="ALK25" s="18"/>
      <c r="ALL25" s="18"/>
      <c r="ALM25" s="18"/>
      <c r="ALN25" s="18"/>
      <c r="ALO25" s="18"/>
      <c r="ALP25" s="18"/>
      <c r="ALQ25" s="18"/>
      <c r="ALR25" s="18"/>
      <c r="ALS25" s="18"/>
      <c r="ALT25" s="18"/>
      <c r="ALU25" s="18"/>
      <c r="ALV25" s="18"/>
      <c r="ALW25" s="18"/>
      <c r="ALX25" s="18"/>
      <c r="ALY25" s="18"/>
      <c r="ALZ25" s="18"/>
      <c r="AMA25" s="18"/>
      <c r="AMB25" s="18"/>
      <c r="AMC25" s="18"/>
      <c r="AMD25" s="18"/>
      <c r="AME25" s="18"/>
      <c r="AMF25" s="18"/>
      <c r="AMG25" s="18"/>
      <c r="AMH25" s="18"/>
    </row>
    <row r="26" spans="1:1022" s="23" customFormat="1" x14ac:dyDescent="0.3">
      <c r="A26" s="33">
        <v>122</v>
      </c>
      <c r="B26" s="19"/>
      <c r="C26" s="19"/>
      <c r="D26" s="57" t="s">
        <v>301</v>
      </c>
      <c r="E26" s="34" t="s">
        <v>452</v>
      </c>
      <c r="F26" s="39"/>
      <c r="G26" s="19"/>
      <c r="H26" s="38" t="s">
        <v>281</v>
      </c>
      <c r="I26" s="40"/>
      <c r="J26" s="31"/>
      <c r="K26" s="31"/>
      <c r="L26" s="31"/>
      <c r="M26" s="32"/>
      <c r="N26" s="32"/>
      <c r="O26" s="18"/>
      <c r="P26" s="36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  <c r="FK26" s="18"/>
      <c r="FL26" s="18"/>
      <c r="FM26" s="18"/>
      <c r="FN26" s="18"/>
      <c r="FO26" s="18"/>
      <c r="FP26" s="18"/>
      <c r="FQ26" s="18"/>
      <c r="FR26" s="18"/>
      <c r="FS26" s="18"/>
      <c r="FT26" s="18"/>
      <c r="FU26" s="18"/>
      <c r="FV26" s="18"/>
      <c r="FW26" s="18"/>
      <c r="FX26" s="18"/>
      <c r="FY26" s="18"/>
      <c r="FZ26" s="18"/>
      <c r="GA26" s="18"/>
      <c r="GB26" s="18"/>
      <c r="GC26" s="18"/>
      <c r="GD26" s="18"/>
      <c r="GE26" s="18"/>
      <c r="GF26" s="18"/>
      <c r="GG26" s="18"/>
      <c r="GH26" s="18"/>
      <c r="GI26" s="18"/>
      <c r="GJ26" s="18"/>
      <c r="GK26" s="18"/>
      <c r="GL26" s="18"/>
      <c r="GM26" s="18"/>
      <c r="GN26" s="18"/>
      <c r="GO26" s="18"/>
      <c r="GP26" s="18"/>
      <c r="GQ26" s="18"/>
      <c r="GR26" s="18"/>
      <c r="GS26" s="18"/>
      <c r="GT26" s="18"/>
      <c r="GU26" s="18"/>
      <c r="GV26" s="18"/>
      <c r="GW26" s="18"/>
      <c r="GX26" s="18"/>
      <c r="GY26" s="18"/>
      <c r="GZ26" s="18"/>
      <c r="HA26" s="18"/>
      <c r="HB26" s="18"/>
      <c r="HC26" s="18"/>
      <c r="HD26" s="18"/>
      <c r="HE26" s="18"/>
      <c r="HF26" s="18"/>
      <c r="HG26" s="18"/>
      <c r="HH26" s="18"/>
      <c r="HI26" s="18"/>
      <c r="HJ26" s="18"/>
      <c r="HK26" s="18"/>
      <c r="HL26" s="18"/>
      <c r="HM26" s="18"/>
      <c r="HN26" s="18"/>
      <c r="HO26" s="18"/>
      <c r="HP26" s="18"/>
      <c r="HQ26" s="18"/>
      <c r="HR26" s="18"/>
      <c r="HS26" s="18"/>
      <c r="HT26" s="18"/>
      <c r="HU26" s="18"/>
      <c r="HV26" s="18"/>
      <c r="HW26" s="18"/>
      <c r="HX26" s="18"/>
      <c r="HY26" s="18"/>
      <c r="HZ26" s="18"/>
      <c r="IA26" s="18"/>
      <c r="IB26" s="18"/>
      <c r="IC26" s="18"/>
      <c r="ID26" s="18"/>
      <c r="IE26" s="18"/>
      <c r="IF26" s="18"/>
      <c r="IG26" s="18"/>
      <c r="IH26" s="18"/>
      <c r="II26" s="18"/>
      <c r="IJ26" s="18"/>
      <c r="IK26" s="18"/>
      <c r="IL26" s="18"/>
      <c r="IM26" s="18"/>
      <c r="IN26" s="18"/>
      <c r="IO26" s="18"/>
      <c r="IP26" s="18"/>
      <c r="IQ26" s="18"/>
      <c r="IR26" s="18"/>
      <c r="IS26" s="18"/>
      <c r="IT26" s="18"/>
      <c r="IU26" s="18"/>
      <c r="IV26" s="18"/>
      <c r="IW26" s="18"/>
      <c r="IX26" s="18"/>
      <c r="IY26" s="18"/>
      <c r="IZ26" s="18"/>
      <c r="JA26" s="18"/>
      <c r="JB26" s="18"/>
      <c r="JC26" s="18"/>
      <c r="JD26" s="18"/>
      <c r="JE26" s="18"/>
      <c r="JF26" s="18"/>
      <c r="JG26" s="18"/>
      <c r="JH26" s="18"/>
      <c r="JI26" s="18"/>
      <c r="JJ26" s="18"/>
      <c r="JK26" s="18"/>
      <c r="JL26" s="18"/>
      <c r="JM26" s="18"/>
      <c r="JN26" s="18"/>
      <c r="JO26" s="18"/>
      <c r="JP26" s="18"/>
      <c r="JQ26" s="18"/>
      <c r="JR26" s="18"/>
      <c r="JS26" s="18"/>
      <c r="JT26" s="18"/>
      <c r="JU26" s="18"/>
      <c r="JV26" s="18"/>
      <c r="JW26" s="18"/>
      <c r="JX26" s="18"/>
      <c r="JY26" s="18"/>
      <c r="JZ26" s="18"/>
      <c r="KA26" s="18"/>
      <c r="KB26" s="18"/>
      <c r="KC26" s="18"/>
      <c r="KD26" s="18"/>
      <c r="KE26" s="18"/>
      <c r="KF26" s="18"/>
      <c r="KG26" s="18"/>
      <c r="KH26" s="18"/>
      <c r="KI26" s="18"/>
      <c r="KJ26" s="18"/>
      <c r="KK26" s="18"/>
      <c r="KL26" s="18"/>
      <c r="KM26" s="18"/>
      <c r="KN26" s="18"/>
      <c r="KO26" s="18"/>
      <c r="KP26" s="18"/>
      <c r="KQ26" s="18"/>
      <c r="KR26" s="18"/>
      <c r="KS26" s="18"/>
      <c r="KT26" s="18"/>
      <c r="KU26" s="18"/>
      <c r="KV26" s="18"/>
      <c r="KW26" s="18"/>
      <c r="KX26" s="18"/>
      <c r="KY26" s="18"/>
      <c r="KZ26" s="18"/>
      <c r="LA26" s="18"/>
      <c r="LB26" s="18"/>
      <c r="LC26" s="18"/>
      <c r="LD26" s="18"/>
      <c r="LE26" s="18"/>
      <c r="LF26" s="18"/>
      <c r="LG26" s="18"/>
      <c r="LH26" s="18"/>
      <c r="LI26" s="18"/>
      <c r="LJ26" s="18"/>
      <c r="LK26" s="18"/>
      <c r="LL26" s="18"/>
      <c r="LM26" s="18"/>
      <c r="LN26" s="18"/>
      <c r="LO26" s="18"/>
      <c r="LP26" s="18"/>
      <c r="LQ26" s="18"/>
      <c r="LR26" s="18"/>
      <c r="LS26" s="18"/>
      <c r="LT26" s="18"/>
      <c r="LU26" s="18"/>
      <c r="LV26" s="18"/>
      <c r="LW26" s="18"/>
      <c r="LX26" s="18"/>
      <c r="LY26" s="18"/>
      <c r="LZ26" s="18"/>
      <c r="MA26" s="18"/>
      <c r="MB26" s="18"/>
      <c r="MC26" s="18"/>
      <c r="MD26" s="18"/>
      <c r="ME26" s="18"/>
      <c r="MF26" s="18"/>
      <c r="MG26" s="18"/>
      <c r="MH26" s="18"/>
      <c r="MI26" s="18"/>
      <c r="MJ26" s="18"/>
      <c r="MK26" s="18"/>
      <c r="ML26" s="18"/>
      <c r="MM26" s="18"/>
      <c r="MN26" s="18"/>
      <c r="MO26" s="18"/>
      <c r="MP26" s="18"/>
      <c r="MQ26" s="18"/>
      <c r="MR26" s="18"/>
      <c r="MS26" s="18"/>
      <c r="MT26" s="18"/>
      <c r="MU26" s="18"/>
      <c r="MV26" s="18"/>
      <c r="MW26" s="18"/>
      <c r="MX26" s="18"/>
      <c r="MY26" s="18"/>
      <c r="MZ26" s="18"/>
      <c r="NA26" s="18"/>
      <c r="NB26" s="18"/>
      <c r="NC26" s="18"/>
      <c r="ND26" s="18"/>
      <c r="NE26" s="18"/>
      <c r="NF26" s="18"/>
      <c r="NG26" s="18"/>
      <c r="NH26" s="18"/>
      <c r="NI26" s="18"/>
      <c r="NJ26" s="18"/>
      <c r="NK26" s="18"/>
      <c r="NL26" s="18"/>
      <c r="NM26" s="18"/>
      <c r="NN26" s="18"/>
      <c r="NO26" s="18"/>
      <c r="NP26" s="18"/>
      <c r="NQ26" s="18"/>
      <c r="NR26" s="18"/>
      <c r="NS26" s="18"/>
      <c r="NT26" s="18"/>
      <c r="NU26" s="18"/>
      <c r="NV26" s="18"/>
      <c r="NW26" s="18"/>
      <c r="NX26" s="18"/>
      <c r="NY26" s="18"/>
      <c r="NZ26" s="18"/>
      <c r="OA26" s="18"/>
      <c r="OB26" s="18"/>
      <c r="OC26" s="18"/>
      <c r="OD26" s="18"/>
      <c r="OE26" s="18"/>
      <c r="OF26" s="18"/>
      <c r="OG26" s="18"/>
      <c r="OH26" s="18"/>
      <c r="OI26" s="18"/>
      <c r="OJ26" s="18"/>
      <c r="OK26" s="18"/>
      <c r="OL26" s="18"/>
      <c r="OM26" s="18"/>
      <c r="ON26" s="18"/>
      <c r="OO26" s="18"/>
      <c r="OP26" s="18"/>
      <c r="OQ26" s="18"/>
      <c r="OR26" s="18"/>
      <c r="OS26" s="18"/>
      <c r="OT26" s="18"/>
      <c r="OU26" s="18"/>
      <c r="OV26" s="18"/>
      <c r="OW26" s="18"/>
      <c r="OX26" s="18"/>
      <c r="OY26" s="18"/>
      <c r="OZ26" s="18"/>
      <c r="PA26" s="18"/>
      <c r="PB26" s="18"/>
      <c r="PC26" s="18"/>
      <c r="PD26" s="18"/>
      <c r="PE26" s="18"/>
      <c r="PF26" s="18"/>
      <c r="PG26" s="18"/>
      <c r="PH26" s="18"/>
      <c r="PI26" s="18"/>
      <c r="PJ26" s="18"/>
      <c r="PK26" s="18"/>
      <c r="PL26" s="18"/>
      <c r="PM26" s="18"/>
      <c r="PN26" s="18"/>
      <c r="PO26" s="18"/>
      <c r="PP26" s="18"/>
      <c r="PQ26" s="18"/>
      <c r="PR26" s="18"/>
      <c r="PS26" s="18"/>
      <c r="PT26" s="18"/>
      <c r="PU26" s="18"/>
      <c r="PV26" s="18"/>
      <c r="PW26" s="18"/>
      <c r="PX26" s="18"/>
      <c r="PY26" s="18"/>
      <c r="PZ26" s="18"/>
      <c r="QA26" s="18"/>
      <c r="QB26" s="18"/>
      <c r="QC26" s="18"/>
      <c r="QD26" s="18"/>
      <c r="QE26" s="18"/>
      <c r="QF26" s="18"/>
      <c r="QG26" s="18"/>
      <c r="QH26" s="18"/>
      <c r="QI26" s="18"/>
      <c r="QJ26" s="18"/>
      <c r="QK26" s="18"/>
      <c r="QL26" s="18"/>
      <c r="QM26" s="18"/>
      <c r="QN26" s="18"/>
      <c r="QO26" s="18"/>
      <c r="QP26" s="18"/>
      <c r="QQ26" s="18"/>
      <c r="QR26" s="18"/>
      <c r="QS26" s="18"/>
      <c r="QT26" s="18"/>
      <c r="QU26" s="18"/>
      <c r="QV26" s="18"/>
      <c r="QW26" s="18"/>
      <c r="QX26" s="18"/>
      <c r="QY26" s="18"/>
      <c r="QZ26" s="18"/>
      <c r="RA26" s="18"/>
      <c r="RB26" s="18"/>
      <c r="RC26" s="18"/>
      <c r="RD26" s="18"/>
      <c r="RE26" s="18"/>
      <c r="RF26" s="18"/>
      <c r="RG26" s="18"/>
      <c r="RH26" s="18"/>
      <c r="RI26" s="18"/>
      <c r="RJ26" s="18"/>
      <c r="RK26" s="18"/>
      <c r="RL26" s="18"/>
      <c r="RM26" s="18"/>
      <c r="RN26" s="18"/>
      <c r="RO26" s="18"/>
      <c r="RP26" s="18"/>
      <c r="RQ26" s="18"/>
      <c r="RR26" s="18"/>
      <c r="RS26" s="18"/>
      <c r="RT26" s="18"/>
      <c r="RU26" s="18"/>
      <c r="RV26" s="18"/>
      <c r="RW26" s="18"/>
      <c r="RX26" s="18"/>
      <c r="RY26" s="18"/>
      <c r="RZ26" s="18"/>
      <c r="SA26" s="18"/>
      <c r="SB26" s="18"/>
      <c r="SC26" s="18"/>
      <c r="SD26" s="18"/>
      <c r="SE26" s="18"/>
      <c r="SF26" s="18"/>
      <c r="SG26" s="18"/>
      <c r="SH26" s="18"/>
      <c r="SI26" s="18"/>
      <c r="SJ26" s="18"/>
      <c r="SK26" s="18"/>
      <c r="SL26" s="18"/>
      <c r="SM26" s="18"/>
      <c r="SN26" s="18"/>
      <c r="SO26" s="18"/>
      <c r="SP26" s="18"/>
      <c r="SQ26" s="18"/>
      <c r="SR26" s="18"/>
      <c r="SS26" s="18"/>
      <c r="ST26" s="18"/>
      <c r="SU26" s="18"/>
      <c r="SV26" s="18"/>
      <c r="SW26" s="18"/>
      <c r="SX26" s="18"/>
      <c r="SY26" s="18"/>
      <c r="SZ26" s="18"/>
      <c r="TA26" s="18"/>
      <c r="TB26" s="18"/>
      <c r="TC26" s="18"/>
      <c r="TD26" s="18"/>
      <c r="TE26" s="18"/>
      <c r="TF26" s="18"/>
      <c r="TG26" s="18"/>
      <c r="TH26" s="18"/>
      <c r="TI26" s="18"/>
      <c r="TJ26" s="18"/>
      <c r="TK26" s="18"/>
      <c r="TL26" s="18"/>
      <c r="TM26" s="18"/>
      <c r="TN26" s="18"/>
      <c r="TO26" s="18"/>
      <c r="TP26" s="18"/>
      <c r="TQ26" s="18"/>
      <c r="TR26" s="18"/>
      <c r="TS26" s="18"/>
      <c r="TT26" s="18"/>
      <c r="TU26" s="18"/>
      <c r="TV26" s="18"/>
      <c r="TW26" s="18"/>
      <c r="TX26" s="18"/>
      <c r="TY26" s="18"/>
      <c r="TZ26" s="18"/>
      <c r="UA26" s="18"/>
      <c r="UB26" s="18"/>
      <c r="UC26" s="18"/>
      <c r="UD26" s="18"/>
      <c r="UE26" s="18"/>
      <c r="UF26" s="18"/>
      <c r="UG26" s="18"/>
      <c r="UH26" s="18"/>
      <c r="UI26" s="18"/>
      <c r="UJ26" s="18"/>
      <c r="UK26" s="18"/>
      <c r="UL26" s="18"/>
      <c r="UM26" s="18"/>
      <c r="UN26" s="18"/>
      <c r="UO26" s="18"/>
      <c r="UP26" s="18"/>
      <c r="UQ26" s="18"/>
      <c r="UR26" s="18"/>
      <c r="US26" s="18"/>
      <c r="UT26" s="18"/>
      <c r="UU26" s="18"/>
      <c r="UV26" s="18"/>
      <c r="UW26" s="18"/>
      <c r="UX26" s="18"/>
      <c r="UY26" s="18"/>
      <c r="UZ26" s="18"/>
      <c r="VA26" s="18"/>
      <c r="VB26" s="18"/>
      <c r="VC26" s="18"/>
      <c r="VD26" s="18"/>
      <c r="VE26" s="18"/>
      <c r="VF26" s="18"/>
      <c r="VG26" s="18"/>
      <c r="VH26" s="18"/>
      <c r="VI26" s="18"/>
      <c r="VJ26" s="18"/>
      <c r="VK26" s="18"/>
      <c r="VL26" s="18"/>
      <c r="VM26" s="18"/>
      <c r="VN26" s="18"/>
      <c r="VO26" s="18"/>
      <c r="VP26" s="18"/>
      <c r="VQ26" s="18"/>
      <c r="VR26" s="18"/>
      <c r="VS26" s="18"/>
      <c r="VT26" s="18"/>
      <c r="VU26" s="18"/>
      <c r="VV26" s="18"/>
      <c r="VW26" s="18"/>
      <c r="VX26" s="18"/>
      <c r="VY26" s="18"/>
      <c r="VZ26" s="18"/>
      <c r="WA26" s="18"/>
      <c r="WB26" s="18"/>
      <c r="WC26" s="18"/>
      <c r="WD26" s="18"/>
      <c r="WE26" s="18"/>
      <c r="WF26" s="18"/>
      <c r="WG26" s="18"/>
      <c r="WH26" s="18"/>
      <c r="WI26" s="18"/>
      <c r="WJ26" s="18"/>
      <c r="WK26" s="18"/>
      <c r="WL26" s="18"/>
      <c r="WM26" s="18"/>
      <c r="WN26" s="18"/>
      <c r="WO26" s="18"/>
      <c r="WP26" s="18"/>
      <c r="WQ26" s="18"/>
      <c r="WR26" s="18"/>
      <c r="WS26" s="18"/>
      <c r="WT26" s="18"/>
      <c r="WU26" s="18"/>
      <c r="WV26" s="18"/>
      <c r="WW26" s="18"/>
      <c r="WX26" s="18"/>
      <c r="WY26" s="18"/>
      <c r="WZ26" s="18"/>
      <c r="XA26" s="18"/>
      <c r="XB26" s="18"/>
      <c r="XC26" s="18"/>
      <c r="XD26" s="18"/>
      <c r="XE26" s="18"/>
      <c r="XF26" s="18"/>
      <c r="XG26" s="18"/>
      <c r="XH26" s="18"/>
      <c r="XI26" s="18"/>
      <c r="XJ26" s="18"/>
      <c r="XK26" s="18"/>
      <c r="XL26" s="18"/>
      <c r="XM26" s="18"/>
      <c r="XN26" s="18"/>
      <c r="XO26" s="18"/>
      <c r="XP26" s="18"/>
      <c r="XQ26" s="18"/>
      <c r="XR26" s="18"/>
      <c r="XS26" s="18"/>
      <c r="XT26" s="18"/>
      <c r="XU26" s="18"/>
      <c r="XV26" s="18"/>
      <c r="XW26" s="18"/>
      <c r="XX26" s="18"/>
      <c r="XY26" s="18"/>
      <c r="XZ26" s="18"/>
      <c r="YA26" s="18"/>
      <c r="YB26" s="18"/>
      <c r="YC26" s="18"/>
      <c r="YD26" s="18"/>
      <c r="YE26" s="18"/>
      <c r="YF26" s="18"/>
      <c r="YG26" s="18"/>
      <c r="YH26" s="18"/>
      <c r="YI26" s="18"/>
      <c r="YJ26" s="18"/>
      <c r="YK26" s="18"/>
      <c r="YL26" s="18"/>
      <c r="YM26" s="18"/>
      <c r="YN26" s="18"/>
      <c r="YO26" s="18"/>
      <c r="YP26" s="18"/>
      <c r="YQ26" s="18"/>
      <c r="YR26" s="18"/>
      <c r="YS26" s="18"/>
      <c r="YT26" s="18"/>
      <c r="YU26" s="18"/>
      <c r="YV26" s="18"/>
      <c r="YW26" s="18"/>
      <c r="YX26" s="18"/>
      <c r="YY26" s="18"/>
      <c r="YZ26" s="18"/>
      <c r="ZA26" s="18"/>
      <c r="ZB26" s="18"/>
      <c r="ZC26" s="18"/>
      <c r="ZD26" s="18"/>
      <c r="ZE26" s="18"/>
      <c r="ZF26" s="18"/>
      <c r="ZG26" s="18"/>
      <c r="ZH26" s="18"/>
      <c r="ZI26" s="18"/>
      <c r="ZJ26" s="18"/>
      <c r="ZK26" s="18"/>
      <c r="ZL26" s="18"/>
      <c r="ZM26" s="18"/>
      <c r="ZN26" s="18"/>
      <c r="ZO26" s="18"/>
      <c r="ZP26" s="18"/>
      <c r="ZQ26" s="18"/>
      <c r="ZR26" s="18"/>
      <c r="ZS26" s="18"/>
      <c r="ZT26" s="18"/>
      <c r="ZU26" s="18"/>
      <c r="ZV26" s="18"/>
      <c r="ZW26" s="18"/>
      <c r="ZX26" s="18"/>
      <c r="ZY26" s="18"/>
      <c r="ZZ26" s="18"/>
      <c r="AAA26" s="18"/>
      <c r="AAB26" s="18"/>
      <c r="AAC26" s="18"/>
      <c r="AAD26" s="18"/>
      <c r="AAE26" s="18"/>
      <c r="AAF26" s="18"/>
      <c r="AAG26" s="18"/>
      <c r="AAH26" s="18"/>
      <c r="AAI26" s="18"/>
      <c r="AAJ26" s="18"/>
      <c r="AAK26" s="18"/>
      <c r="AAL26" s="18"/>
      <c r="AAM26" s="18"/>
      <c r="AAN26" s="18"/>
      <c r="AAO26" s="18"/>
      <c r="AAP26" s="18"/>
      <c r="AAQ26" s="18"/>
      <c r="AAR26" s="18"/>
      <c r="AAS26" s="18"/>
      <c r="AAT26" s="18"/>
      <c r="AAU26" s="18"/>
      <c r="AAV26" s="18"/>
      <c r="AAW26" s="18"/>
      <c r="AAX26" s="18"/>
      <c r="AAY26" s="18"/>
      <c r="AAZ26" s="18"/>
      <c r="ABA26" s="18"/>
      <c r="ABB26" s="18"/>
      <c r="ABC26" s="18"/>
      <c r="ABD26" s="18"/>
      <c r="ABE26" s="18"/>
      <c r="ABF26" s="18"/>
      <c r="ABG26" s="18"/>
      <c r="ABH26" s="18"/>
      <c r="ABI26" s="18"/>
      <c r="ABJ26" s="18"/>
      <c r="ABK26" s="18"/>
      <c r="ABL26" s="18"/>
      <c r="ABM26" s="18"/>
      <c r="ABN26" s="18"/>
      <c r="ABO26" s="18"/>
      <c r="ABP26" s="18"/>
      <c r="ABQ26" s="18"/>
      <c r="ABR26" s="18"/>
      <c r="ABS26" s="18"/>
      <c r="ABT26" s="18"/>
      <c r="ABU26" s="18"/>
      <c r="ABV26" s="18"/>
      <c r="ABW26" s="18"/>
      <c r="ABX26" s="18"/>
      <c r="ABY26" s="18"/>
      <c r="ABZ26" s="18"/>
      <c r="ACA26" s="18"/>
      <c r="ACB26" s="18"/>
      <c r="ACC26" s="18"/>
      <c r="ACD26" s="18"/>
      <c r="ACE26" s="18"/>
      <c r="ACF26" s="18"/>
      <c r="ACG26" s="18"/>
      <c r="ACH26" s="18"/>
      <c r="ACI26" s="18"/>
      <c r="ACJ26" s="18"/>
      <c r="ACK26" s="18"/>
      <c r="ACL26" s="18"/>
      <c r="ACM26" s="18"/>
      <c r="ACN26" s="18"/>
      <c r="ACO26" s="18"/>
      <c r="ACP26" s="18"/>
      <c r="ACQ26" s="18"/>
      <c r="ACR26" s="18"/>
      <c r="ACS26" s="18"/>
      <c r="ACT26" s="18"/>
      <c r="ACU26" s="18"/>
      <c r="ACV26" s="18"/>
      <c r="ACW26" s="18"/>
      <c r="ACX26" s="18"/>
      <c r="ACY26" s="18"/>
      <c r="ACZ26" s="18"/>
      <c r="ADA26" s="18"/>
      <c r="ADB26" s="18"/>
      <c r="ADC26" s="18"/>
      <c r="ADD26" s="18"/>
      <c r="ADE26" s="18"/>
      <c r="ADF26" s="18"/>
      <c r="ADG26" s="18"/>
      <c r="ADH26" s="18"/>
      <c r="ADI26" s="18"/>
      <c r="ADJ26" s="18"/>
      <c r="ADK26" s="18"/>
      <c r="ADL26" s="18"/>
      <c r="ADM26" s="18"/>
      <c r="ADN26" s="18"/>
      <c r="ADO26" s="18"/>
      <c r="ADP26" s="18"/>
      <c r="ADQ26" s="18"/>
      <c r="ADR26" s="18"/>
      <c r="ADS26" s="18"/>
      <c r="ADT26" s="18"/>
      <c r="ADU26" s="18"/>
      <c r="ADV26" s="18"/>
      <c r="ADW26" s="18"/>
      <c r="ADX26" s="18"/>
      <c r="ADY26" s="18"/>
      <c r="ADZ26" s="18"/>
      <c r="AEA26" s="18"/>
      <c r="AEB26" s="18"/>
      <c r="AEC26" s="18"/>
      <c r="AED26" s="18"/>
      <c r="AEE26" s="18"/>
      <c r="AEF26" s="18"/>
      <c r="AEG26" s="18"/>
      <c r="AEH26" s="18"/>
      <c r="AEI26" s="18"/>
      <c r="AEJ26" s="18"/>
      <c r="AEK26" s="18"/>
      <c r="AEL26" s="18"/>
      <c r="AEM26" s="18"/>
      <c r="AEN26" s="18"/>
      <c r="AEO26" s="18"/>
      <c r="AEP26" s="18"/>
      <c r="AEQ26" s="18"/>
      <c r="AER26" s="18"/>
      <c r="AES26" s="18"/>
      <c r="AET26" s="18"/>
      <c r="AEU26" s="18"/>
      <c r="AEV26" s="18"/>
      <c r="AEW26" s="18"/>
      <c r="AEX26" s="18"/>
      <c r="AEY26" s="18"/>
      <c r="AEZ26" s="18"/>
      <c r="AFA26" s="18"/>
      <c r="AFB26" s="18"/>
      <c r="AFC26" s="18"/>
      <c r="AFD26" s="18"/>
      <c r="AFE26" s="18"/>
      <c r="AFF26" s="18"/>
      <c r="AFG26" s="18"/>
      <c r="AFH26" s="18"/>
      <c r="AFI26" s="18"/>
      <c r="AFJ26" s="18"/>
      <c r="AFK26" s="18"/>
      <c r="AFL26" s="18"/>
      <c r="AFM26" s="18"/>
      <c r="AFN26" s="18"/>
      <c r="AFO26" s="18"/>
      <c r="AFP26" s="18"/>
      <c r="AFQ26" s="18"/>
      <c r="AFR26" s="18"/>
      <c r="AFS26" s="18"/>
      <c r="AFT26" s="18"/>
      <c r="AFU26" s="18"/>
      <c r="AFV26" s="18"/>
      <c r="AFW26" s="18"/>
      <c r="AFX26" s="18"/>
      <c r="AFY26" s="18"/>
      <c r="AFZ26" s="18"/>
      <c r="AGA26" s="18"/>
      <c r="AGB26" s="18"/>
      <c r="AGC26" s="18"/>
      <c r="AGD26" s="18"/>
      <c r="AGE26" s="18"/>
      <c r="AGF26" s="18"/>
      <c r="AGG26" s="18"/>
      <c r="AGH26" s="18"/>
      <c r="AGI26" s="18"/>
      <c r="AGJ26" s="18"/>
      <c r="AGK26" s="18"/>
      <c r="AGL26" s="18"/>
      <c r="AGM26" s="18"/>
      <c r="AGN26" s="18"/>
      <c r="AGO26" s="18"/>
      <c r="AGP26" s="18"/>
      <c r="AGQ26" s="18"/>
      <c r="AGR26" s="18"/>
      <c r="AGS26" s="18"/>
      <c r="AGT26" s="18"/>
      <c r="AGU26" s="18"/>
      <c r="AGV26" s="18"/>
      <c r="AGW26" s="18"/>
      <c r="AGX26" s="18"/>
      <c r="AGY26" s="18"/>
      <c r="AGZ26" s="18"/>
      <c r="AHA26" s="18"/>
      <c r="AHB26" s="18"/>
      <c r="AHC26" s="18"/>
      <c r="AHD26" s="18"/>
      <c r="AHE26" s="18"/>
      <c r="AHF26" s="18"/>
      <c r="AHG26" s="18"/>
      <c r="AHH26" s="18"/>
      <c r="AHI26" s="18"/>
      <c r="AHJ26" s="18"/>
      <c r="AHK26" s="18"/>
      <c r="AHL26" s="18"/>
      <c r="AHM26" s="18"/>
      <c r="AHN26" s="18"/>
      <c r="AHO26" s="18"/>
      <c r="AHP26" s="18"/>
      <c r="AHQ26" s="18"/>
      <c r="AHR26" s="18"/>
      <c r="AHS26" s="18"/>
      <c r="AHT26" s="18"/>
      <c r="AHU26" s="18"/>
      <c r="AHV26" s="18"/>
      <c r="AHW26" s="18"/>
      <c r="AHX26" s="18"/>
      <c r="AHY26" s="18"/>
      <c r="AHZ26" s="18"/>
      <c r="AIA26" s="18"/>
      <c r="AIB26" s="18"/>
      <c r="AIC26" s="18"/>
      <c r="AID26" s="18"/>
      <c r="AIE26" s="18"/>
      <c r="AIF26" s="18"/>
      <c r="AIG26" s="18"/>
      <c r="AIH26" s="18"/>
      <c r="AII26" s="18"/>
      <c r="AIJ26" s="18"/>
      <c r="AIK26" s="18"/>
      <c r="AIL26" s="18"/>
      <c r="AIM26" s="18"/>
      <c r="AIN26" s="18"/>
      <c r="AIO26" s="18"/>
      <c r="AIP26" s="18"/>
      <c r="AIQ26" s="18"/>
      <c r="AIR26" s="18"/>
      <c r="AIS26" s="18"/>
      <c r="AIT26" s="18"/>
      <c r="AIU26" s="18"/>
      <c r="AIV26" s="18"/>
      <c r="AIW26" s="18"/>
      <c r="AIX26" s="18"/>
      <c r="AIY26" s="18"/>
      <c r="AIZ26" s="18"/>
      <c r="AJA26" s="18"/>
      <c r="AJB26" s="18"/>
      <c r="AJC26" s="18"/>
      <c r="AJD26" s="18"/>
      <c r="AJE26" s="18"/>
      <c r="AJF26" s="18"/>
      <c r="AJG26" s="18"/>
      <c r="AJH26" s="18"/>
      <c r="AJI26" s="18"/>
      <c r="AJJ26" s="18"/>
      <c r="AJK26" s="18"/>
      <c r="AJL26" s="18"/>
      <c r="AJM26" s="18"/>
      <c r="AJN26" s="18"/>
      <c r="AJO26" s="18"/>
      <c r="AJP26" s="18"/>
      <c r="AJQ26" s="18"/>
      <c r="AJR26" s="18"/>
      <c r="AJS26" s="18"/>
      <c r="AJT26" s="18"/>
      <c r="AJU26" s="18"/>
      <c r="AJV26" s="18"/>
      <c r="AJW26" s="18"/>
      <c r="AJX26" s="18"/>
      <c r="AJY26" s="18"/>
      <c r="AJZ26" s="18"/>
      <c r="AKA26" s="18"/>
      <c r="AKB26" s="18"/>
      <c r="AKC26" s="18"/>
      <c r="AKD26" s="18"/>
      <c r="AKE26" s="18"/>
      <c r="AKF26" s="18"/>
      <c r="AKG26" s="18"/>
      <c r="AKH26" s="18"/>
      <c r="AKI26" s="18"/>
      <c r="AKJ26" s="18"/>
      <c r="AKK26" s="18"/>
      <c r="AKL26" s="18"/>
      <c r="AKM26" s="18"/>
      <c r="AKN26" s="18"/>
      <c r="AKO26" s="18"/>
      <c r="AKP26" s="18"/>
      <c r="AKQ26" s="18"/>
      <c r="AKR26" s="18"/>
      <c r="AKS26" s="18"/>
      <c r="AKT26" s="18"/>
      <c r="AKU26" s="18"/>
      <c r="AKV26" s="18"/>
      <c r="AKW26" s="18"/>
      <c r="AKX26" s="18"/>
      <c r="AKY26" s="18"/>
      <c r="AKZ26" s="18"/>
      <c r="ALA26" s="18"/>
      <c r="ALB26" s="18"/>
      <c r="ALC26" s="18"/>
      <c r="ALD26" s="18"/>
      <c r="ALE26" s="18"/>
      <c r="ALF26" s="18"/>
      <c r="ALG26" s="18"/>
      <c r="ALH26" s="18"/>
      <c r="ALI26" s="18"/>
      <c r="ALJ26" s="18"/>
      <c r="ALK26" s="18"/>
      <c r="ALL26" s="18"/>
      <c r="ALM26" s="18"/>
      <c r="ALN26" s="18"/>
      <c r="ALO26" s="18"/>
      <c r="ALP26" s="18"/>
      <c r="ALQ26" s="18"/>
      <c r="ALR26" s="18"/>
      <c r="ALS26" s="18"/>
      <c r="ALT26" s="18"/>
      <c r="ALU26" s="18"/>
      <c r="ALV26" s="18"/>
      <c r="ALW26" s="18"/>
      <c r="ALX26" s="18"/>
      <c r="ALY26" s="18"/>
      <c r="ALZ26" s="18"/>
      <c r="AMA26" s="18"/>
      <c r="AMB26" s="18"/>
      <c r="AMC26" s="18"/>
      <c r="AMD26" s="18"/>
      <c r="AME26" s="18"/>
      <c r="AMF26" s="18"/>
      <c r="AMG26" s="18"/>
      <c r="AMH26" s="18"/>
    </row>
    <row r="27" spans="1:1022" s="23" customFormat="1" x14ac:dyDescent="0.3">
      <c r="A27" s="33">
        <v>123</v>
      </c>
      <c r="B27" s="19"/>
      <c r="C27" s="19"/>
      <c r="D27" s="57" t="s">
        <v>290</v>
      </c>
      <c r="E27" s="34" t="s">
        <v>440</v>
      </c>
      <c r="F27" s="39"/>
      <c r="G27" s="19"/>
      <c r="H27" s="38" t="s">
        <v>281</v>
      </c>
      <c r="I27" s="40"/>
      <c r="J27" s="31"/>
      <c r="K27" s="31"/>
      <c r="L27" s="31"/>
      <c r="M27" s="32"/>
      <c r="N27" s="32"/>
      <c r="O27" s="18"/>
      <c r="P27" s="36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  <c r="FV27" s="18"/>
      <c r="FW27" s="18"/>
      <c r="FX27" s="18"/>
      <c r="FY27" s="18"/>
      <c r="FZ27" s="18"/>
      <c r="GA27" s="18"/>
      <c r="GB27" s="18"/>
      <c r="GC27" s="18"/>
      <c r="GD27" s="18"/>
      <c r="GE27" s="18"/>
      <c r="GF27" s="18"/>
      <c r="GG27" s="18"/>
      <c r="GH27" s="18"/>
      <c r="GI27" s="18"/>
      <c r="GJ27" s="18"/>
      <c r="GK27" s="18"/>
      <c r="GL27" s="18"/>
      <c r="GM27" s="18"/>
      <c r="GN27" s="18"/>
      <c r="GO27" s="18"/>
      <c r="GP27" s="18"/>
      <c r="GQ27" s="18"/>
      <c r="GR27" s="18"/>
      <c r="GS27" s="18"/>
      <c r="GT27" s="18"/>
      <c r="GU27" s="18"/>
      <c r="GV27" s="18"/>
      <c r="GW27" s="18"/>
      <c r="GX27" s="18"/>
      <c r="GY27" s="18"/>
      <c r="GZ27" s="18"/>
      <c r="HA27" s="18"/>
      <c r="HB27" s="18"/>
      <c r="HC27" s="18"/>
      <c r="HD27" s="18"/>
      <c r="HE27" s="18"/>
      <c r="HF27" s="18"/>
      <c r="HG27" s="18"/>
      <c r="HH27" s="18"/>
      <c r="HI27" s="18"/>
      <c r="HJ27" s="18"/>
      <c r="HK27" s="18"/>
      <c r="HL27" s="18"/>
      <c r="HM27" s="18"/>
      <c r="HN27" s="18"/>
      <c r="HO27" s="18"/>
      <c r="HP27" s="18"/>
      <c r="HQ27" s="18"/>
      <c r="HR27" s="18"/>
      <c r="HS27" s="18"/>
      <c r="HT27" s="18"/>
      <c r="HU27" s="18"/>
      <c r="HV27" s="18"/>
      <c r="HW27" s="18"/>
      <c r="HX27" s="18"/>
      <c r="HY27" s="18"/>
      <c r="HZ27" s="18"/>
      <c r="IA27" s="18"/>
      <c r="IB27" s="18"/>
      <c r="IC27" s="18"/>
      <c r="ID27" s="18"/>
      <c r="IE27" s="18"/>
      <c r="IF27" s="18"/>
      <c r="IG27" s="18"/>
      <c r="IH27" s="18"/>
      <c r="II27" s="18"/>
      <c r="IJ27" s="18"/>
      <c r="IK27" s="18"/>
      <c r="IL27" s="18"/>
      <c r="IM27" s="18"/>
      <c r="IN27" s="18"/>
      <c r="IO27" s="18"/>
      <c r="IP27" s="18"/>
      <c r="IQ27" s="18"/>
      <c r="IR27" s="18"/>
      <c r="IS27" s="18"/>
      <c r="IT27" s="18"/>
      <c r="IU27" s="18"/>
      <c r="IV27" s="18"/>
      <c r="IW27" s="18"/>
      <c r="IX27" s="18"/>
      <c r="IY27" s="18"/>
      <c r="IZ27" s="18"/>
      <c r="JA27" s="18"/>
      <c r="JB27" s="18"/>
      <c r="JC27" s="18"/>
      <c r="JD27" s="18"/>
      <c r="JE27" s="18"/>
      <c r="JF27" s="18"/>
      <c r="JG27" s="18"/>
      <c r="JH27" s="18"/>
      <c r="JI27" s="18"/>
      <c r="JJ27" s="18"/>
      <c r="JK27" s="18"/>
      <c r="JL27" s="18"/>
      <c r="JM27" s="18"/>
      <c r="JN27" s="18"/>
      <c r="JO27" s="18"/>
      <c r="JP27" s="18"/>
      <c r="JQ27" s="18"/>
      <c r="JR27" s="18"/>
      <c r="JS27" s="18"/>
      <c r="JT27" s="18"/>
      <c r="JU27" s="18"/>
      <c r="JV27" s="18"/>
      <c r="JW27" s="18"/>
      <c r="JX27" s="18"/>
      <c r="JY27" s="18"/>
      <c r="JZ27" s="18"/>
      <c r="KA27" s="18"/>
      <c r="KB27" s="18"/>
      <c r="KC27" s="18"/>
      <c r="KD27" s="18"/>
      <c r="KE27" s="18"/>
      <c r="KF27" s="18"/>
      <c r="KG27" s="18"/>
      <c r="KH27" s="18"/>
      <c r="KI27" s="18"/>
      <c r="KJ27" s="18"/>
      <c r="KK27" s="18"/>
      <c r="KL27" s="18"/>
      <c r="KM27" s="18"/>
      <c r="KN27" s="18"/>
      <c r="KO27" s="18"/>
      <c r="KP27" s="18"/>
      <c r="KQ27" s="18"/>
      <c r="KR27" s="18"/>
      <c r="KS27" s="18"/>
      <c r="KT27" s="18"/>
      <c r="KU27" s="18"/>
      <c r="KV27" s="18"/>
      <c r="KW27" s="18"/>
      <c r="KX27" s="18"/>
      <c r="KY27" s="18"/>
      <c r="KZ27" s="18"/>
      <c r="LA27" s="18"/>
      <c r="LB27" s="18"/>
      <c r="LC27" s="18"/>
      <c r="LD27" s="18"/>
      <c r="LE27" s="18"/>
      <c r="LF27" s="18"/>
      <c r="LG27" s="18"/>
      <c r="LH27" s="18"/>
      <c r="LI27" s="18"/>
      <c r="LJ27" s="18"/>
      <c r="LK27" s="18"/>
      <c r="LL27" s="18"/>
      <c r="LM27" s="18"/>
      <c r="LN27" s="18"/>
      <c r="LO27" s="18"/>
      <c r="LP27" s="18"/>
      <c r="LQ27" s="18"/>
      <c r="LR27" s="18"/>
      <c r="LS27" s="18"/>
      <c r="LT27" s="18"/>
      <c r="LU27" s="18"/>
      <c r="LV27" s="18"/>
      <c r="LW27" s="18"/>
      <c r="LX27" s="18"/>
      <c r="LY27" s="18"/>
      <c r="LZ27" s="18"/>
      <c r="MA27" s="18"/>
      <c r="MB27" s="18"/>
      <c r="MC27" s="18"/>
      <c r="MD27" s="18"/>
      <c r="ME27" s="18"/>
      <c r="MF27" s="18"/>
      <c r="MG27" s="18"/>
      <c r="MH27" s="18"/>
      <c r="MI27" s="18"/>
      <c r="MJ27" s="18"/>
      <c r="MK27" s="18"/>
      <c r="ML27" s="18"/>
      <c r="MM27" s="18"/>
      <c r="MN27" s="18"/>
      <c r="MO27" s="18"/>
      <c r="MP27" s="18"/>
      <c r="MQ27" s="18"/>
      <c r="MR27" s="18"/>
      <c r="MS27" s="18"/>
      <c r="MT27" s="18"/>
      <c r="MU27" s="18"/>
      <c r="MV27" s="18"/>
      <c r="MW27" s="18"/>
      <c r="MX27" s="18"/>
      <c r="MY27" s="18"/>
      <c r="MZ27" s="18"/>
      <c r="NA27" s="18"/>
      <c r="NB27" s="18"/>
      <c r="NC27" s="18"/>
      <c r="ND27" s="18"/>
      <c r="NE27" s="18"/>
      <c r="NF27" s="18"/>
      <c r="NG27" s="18"/>
      <c r="NH27" s="18"/>
      <c r="NI27" s="18"/>
      <c r="NJ27" s="18"/>
      <c r="NK27" s="18"/>
      <c r="NL27" s="18"/>
      <c r="NM27" s="18"/>
      <c r="NN27" s="18"/>
      <c r="NO27" s="18"/>
      <c r="NP27" s="18"/>
      <c r="NQ27" s="18"/>
      <c r="NR27" s="18"/>
      <c r="NS27" s="18"/>
      <c r="NT27" s="18"/>
      <c r="NU27" s="18"/>
      <c r="NV27" s="18"/>
      <c r="NW27" s="18"/>
      <c r="NX27" s="18"/>
      <c r="NY27" s="18"/>
      <c r="NZ27" s="18"/>
      <c r="OA27" s="18"/>
      <c r="OB27" s="18"/>
      <c r="OC27" s="18"/>
      <c r="OD27" s="18"/>
      <c r="OE27" s="18"/>
      <c r="OF27" s="18"/>
      <c r="OG27" s="18"/>
      <c r="OH27" s="18"/>
      <c r="OI27" s="18"/>
      <c r="OJ27" s="18"/>
      <c r="OK27" s="18"/>
      <c r="OL27" s="18"/>
      <c r="OM27" s="18"/>
      <c r="ON27" s="18"/>
      <c r="OO27" s="18"/>
      <c r="OP27" s="18"/>
      <c r="OQ27" s="18"/>
      <c r="OR27" s="18"/>
      <c r="OS27" s="18"/>
      <c r="OT27" s="18"/>
      <c r="OU27" s="18"/>
      <c r="OV27" s="18"/>
      <c r="OW27" s="18"/>
      <c r="OX27" s="18"/>
      <c r="OY27" s="18"/>
      <c r="OZ27" s="18"/>
      <c r="PA27" s="18"/>
      <c r="PB27" s="18"/>
      <c r="PC27" s="18"/>
      <c r="PD27" s="18"/>
      <c r="PE27" s="18"/>
      <c r="PF27" s="18"/>
      <c r="PG27" s="18"/>
      <c r="PH27" s="18"/>
      <c r="PI27" s="18"/>
      <c r="PJ27" s="18"/>
      <c r="PK27" s="18"/>
      <c r="PL27" s="18"/>
      <c r="PM27" s="18"/>
      <c r="PN27" s="18"/>
      <c r="PO27" s="18"/>
      <c r="PP27" s="18"/>
      <c r="PQ27" s="18"/>
      <c r="PR27" s="18"/>
      <c r="PS27" s="18"/>
      <c r="PT27" s="18"/>
      <c r="PU27" s="18"/>
      <c r="PV27" s="18"/>
      <c r="PW27" s="18"/>
      <c r="PX27" s="18"/>
      <c r="PY27" s="18"/>
      <c r="PZ27" s="18"/>
      <c r="QA27" s="18"/>
      <c r="QB27" s="18"/>
      <c r="QC27" s="18"/>
      <c r="QD27" s="18"/>
      <c r="QE27" s="18"/>
      <c r="QF27" s="18"/>
      <c r="QG27" s="18"/>
      <c r="QH27" s="18"/>
      <c r="QI27" s="18"/>
      <c r="QJ27" s="18"/>
      <c r="QK27" s="18"/>
      <c r="QL27" s="18"/>
      <c r="QM27" s="18"/>
      <c r="QN27" s="18"/>
      <c r="QO27" s="18"/>
      <c r="QP27" s="18"/>
      <c r="QQ27" s="18"/>
      <c r="QR27" s="18"/>
      <c r="QS27" s="18"/>
      <c r="QT27" s="18"/>
      <c r="QU27" s="18"/>
      <c r="QV27" s="18"/>
      <c r="QW27" s="18"/>
      <c r="QX27" s="18"/>
      <c r="QY27" s="18"/>
      <c r="QZ27" s="18"/>
      <c r="RA27" s="18"/>
      <c r="RB27" s="18"/>
      <c r="RC27" s="18"/>
      <c r="RD27" s="18"/>
      <c r="RE27" s="18"/>
      <c r="RF27" s="18"/>
      <c r="RG27" s="18"/>
      <c r="RH27" s="18"/>
      <c r="RI27" s="18"/>
      <c r="RJ27" s="18"/>
      <c r="RK27" s="18"/>
      <c r="RL27" s="18"/>
      <c r="RM27" s="18"/>
      <c r="RN27" s="18"/>
      <c r="RO27" s="18"/>
      <c r="RP27" s="18"/>
      <c r="RQ27" s="18"/>
      <c r="RR27" s="18"/>
      <c r="RS27" s="18"/>
      <c r="RT27" s="18"/>
      <c r="RU27" s="18"/>
      <c r="RV27" s="18"/>
      <c r="RW27" s="18"/>
      <c r="RX27" s="18"/>
      <c r="RY27" s="18"/>
      <c r="RZ27" s="18"/>
      <c r="SA27" s="18"/>
      <c r="SB27" s="18"/>
      <c r="SC27" s="18"/>
      <c r="SD27" s="18"/>
      <c r="SE27" s="18"/>
      <c r="SF27" s="18"/>
      <c r="SG27" s="18"/>
      <c r="SH27" s="18"/>
      <c r="SI27" s="18"/>
      <c r="SJ27" s="18"/>
      <c r="SK27" s="18"/>
      <c r="SL27" s="18"/>
      <c r="SM27" s="18"/>
      <c r="SN27" s="18"/>
      <c r="SO27" s="18"/>
      <c r="SP27" s="18"/>
      <c r="SQ27" s="18"/>
      <c r="SR27" s="18"/>
      <c r="SS27" s="18"/>
      <c r="ST27" s="18"/>
      <c r="SU27" s="18"/>
      <c r="SV27" s="18"/>
      <c r="SW27" s="18"/>
      <c r="SX27" s="18"/>
      <c r="SY27" s="18"/>
      <c r="SZ27" s="18"/>
      <c r="TA27" s="18"/>
      <c r="TB27" s="18"/>
      <c r="TC27" s="18"/>
      <c r="TD27" s="18"/>
      <c r="TE27" s="18"/>
      <c r="TF27" s="18"/>
      <c r="TG27" s="18"/>
      <c r="TH27" s="18"/>
      <c r="TI27" s="18"/>
      <c r="TJ27" s="18"/>
      <c r="TK27" s="18"/>
      <c r="TL27" s="18"/>
      <c r="TM27" s="18"/>
      <c r="TN27" s="18"/>
      <c r="TO27" s="18"/>
      <c r="TP27" s="18"/>
      <c r="TQ27" s="18"/>
      <c r="TR27" s="18"/>
      <c r="TS27" s="18"/>
      <c r="TT27" s="18"/>
      <c r="TU27" s="18"/>
      <c r="TV27" s="18"/>
      <c r="TW27" s="18"/>
      <c r="TX27" s="18"/>
      <c r="TY27" s="18"/>
      <c r="TZ27" s="18"/>
      <c r="UA27" s="18"/>
      <c r="UB27" s="18"/>
      <c r="UC27" s="18"/>
      <c r="UD27" s="18"/>
      <c r="UE27" s="18"/>
      <c r="UF27" s="18"/>
      <c r="UG27" s="18"/>
      <c r="UH27" s="18"/>
      <c r="UI27" s="18"/>
      <c r="UJ27" s="18"/>
      <c r="UK27" s="18"/>
      <c r="UL27" s="18"/>
      <c r="UM27" s="18"/>
      <c r="UN27" s="18"/>
      <c r="UO27" s="18"/>
      <c r="UP27" s="18"/>
      <c r="UQ27" s="18"/>
      <c r="UR27" s="18"/>
      <c r="US27" s="18"/>
      <c r="UT27" s="18"/>
      <c r="UU27" s="18"/>
      <c r="UV27" s="18"/>
      <c r="UW27" s="18"/>
      <c r="UX27" s="18"/>
      <c r="UY27" s="18"/>
      <c r="UZ27" s="18"/>
      <c r="VA27" s="18"/>
      <c r="VB27" s="18"/>
      <c r="VC27" s="18"/>
      <c r="VD27" s="18"/>
      <c r="VE27" s="18"/>
      <c r="VF27" s="18"/>
      <c r="VG27" s="18"/>
      <c r="VH27" s="18"/>
      <c r="VI27" s="18"/>
      <c r="VJ27" s="18"/>
      <c r="VK27" s="18"/>
      <c r="VL27" s="18"/>
      <c r="VM27" s="18"/>
      <c r="VN27" s="18"/>
      <c r="VO27" s="18"/>
      <c r="VP27" s="18"/>
      <c r="VQ27" s="18"/>
      <c r="VR27" s="18"/>
      <c r="VS27" s="18"/>
      <c r="VT27" s="18"/>
      <c r="VU27" s="18"/>
      <c r="VV27" s="18"/>
      <c r="VW27" s="18"/>
      <c r="VX27" s="18"/>
      <c r="VY27" s="18"/>
      <c r="VZ27" s="18"/>
      <c r="WA27" s="18"/>
      <c r="WB27" s="18"/>
      <c r="WC27" s="18"/>
      <c r="WD27" s="18"/>
      <c r="WE27" s="18"/>
      <c r="WF27" s="18"/>
      <c r="WG27" s="18"/>
      <c r="WH27" s="18"/>
      <c r="WI27" s="18"/>
      <c r="WJ27" s="18"/>
      <c r="WK27" s="18"/>
      <c r="WL27" s="18"/>
      <c r="WM27" s="18"/>
      <c r="WN27" s="18"/>
      <c r="WO27" s="18"/>
      <c r="WP27" s="18"/>
      <c r="WQ27" s="18"/>
      <c r="WR27" s="18"/>
      <c r="WS27" s="18"/>
      <c r="WT27" s="18"/>
      <c r="WU27" s="18"/>
      <c r="WV27" s="18"/>
      <c r="WW27" s="18"/>
      <c r="WX27" s="18"/>
      <c r="WY27" s="18"/>
      <c r="WZ27" s="18"/>
      <c r="XA27" s="18"/>
      <c r="XB27" s="18"/>
      <c r="XC27" s="18"/>
      <c r="XD27" s="18"/>
      <c r="XE27" s="18"/>
      <c r="XF27" s="18"/>
      <c r="XG27" s="18"/>
      <c r="XH27" s="18"/>
      <c r="XI27" s="18"/>
      <c r="XJ27" s="18"/>
      <c r="XK27" s="18"/>
      <c r="XL27" s="18"/>
      <c r="XM27" s="18"/>
      <c r="XN27" s="18"/>
      <c r="XO27" s="18"/>
      <c r="XP27" s="18"/>
      <c r="XQ27" s="18"/>
      <c r="XR27" s="18"/>
      <c r="XS27" s="18"/>
      <c r="XT27" s="18"/>
      <c r="XU27" s="18"/>
      <c r="XV27" s="18"/>
      <c r="XW27" s="18"/>
      <c r="XX27" s="18"/>
      <c r="XY27" s="18"/>
      <c r="XZ27" s="18"/>
      <c r="YA27" s="18"/>
      <c r="YB27" s="18"/>
      <c r="YC27" s="18"/>
      <c r="YD27" s="18"/>
      <c r="YE27" s="18"/>
      <c r="YF27" s="18"/>
      <c r="YG27" s="18"/>
      <c r="YH27" s="18"/>
      <c r="YI27" s="18"/>
      <c r="YJ27" s="18"/>
      <c r="YK27" s="18"/>
      <c r="YL27" s="18"/>
      <c r="YM27" s="18"/>
      <c r="YN27" s="18"/>
      <c r="YO27" s="18"/>
      <c r="YP27" s="18"/>
      <c r="YQ27" s="18"/>
      <c r="YR27" s="18"/>
      <c r="YS27" s="18"/>
      <c r="YT27" s="18"/>
      <c r="YU27" s="18"/>
      <c r="YV27" s="18"/>
      <c r="YW27" s="18"/>
      <c r="YX27" s="18"/>
      <c r="YY27" s="18"/>
      <c r="YZ27" s="18"/>
      <c r="ZA27" s="18"/>
      <c r="ZB27" s="18"/>
      <c r="ZC27" s="18"/>
      <c r="ZD27" s="18"/>
      <c r="ZE27" s="18"/>
      <c r="ZF27" s="18"/>
      <c r="ZG27" s="18"/>
      <c r="ZH27" s="18"/>
      <c r="ZI27" s="18"/>
      <c r="ZJ27" s="18"/>
      <c r="ZK27" s="18"/>
      <c r="ZL27" s="18"/>
      <c r="ZM27" s="18"/>
      <c r="ZN27" s="18"/>
      <c r="ZO27" s="18"/>
      <c r="ZP27" s="18"/>
      <c r="ZQ27" s="18"/>
      <c r="ZR27" s="18"/>
      <c r="ZS27" s="18"/>
      <c r="ZT27" s="18"/>
      <c r="ZU27" s="18"/>
      <c r="ZV27" s="18"/>
      <c r="ZW27" s="18"/>
      <c r="ZX27" s="18"/>
      <c r="ZY27" s="18"/>
      <c r="ZZ27" s="18"/>
      <c r="AAA27" s="18"/>
      <c r="AAB27" s="18"/>
      <c r="AAC27" s="18"/>
      <c r="AAD27" s="18"/>
      <c r="AAE27" s="18"/>
      <c r="AAF27" s="18"/>
      <c r="AAG27" s="18"/>
      <c r="AAH27" s="18"/>
      <c r="AAI27" s="18"/>
      <c r="AAJ27" s="18"/>
      <c r="AAK27" s="18"/>
      <c r="AAL27" s="18"/>
      <c r="AAM27" s="18"/>
      <c r="AAN27" s="18"/>
      <c r="AAO27" s="18"/>
      <c r="AAP27" s="18"/>
      <c r="AAQ27" s="18"/>
      <c r="AAR27" s="18"/>
      <c r="AAS27" s="18"/>
      <c r="AAT27" s="18"/>
      <c r="AAU27" s="18"/>
      <c r="AAV27" s="18"/>
      <c r="AAW27" s="18"/>
      <c r="AAX27" s="18"/>
      <c r="AAY27" s="18"/>
      <c r="AAZ27" s="18"/>
      <c r="ABA27" s="18"/>
      <c r="ABB27" s="18"/>
      <c r="ABC27" s="18"/>
      <c r="ABD27" s="18"/>
      <c r="ABE27" s="18"/>
      <c r="ABF27" s="18"/>
      <c r="ABG27" s="18"/>
      <c r="ABH27" s="18"/>
      <c r="ABI27" s="18"/>
      <c r="ABJ27" s="18"/>
      <c r="ABK27" s="18"/>
      <c r="ABL27" s="18"/>
      <c r="ABM27" s="18"/>
      <c r="ABN27" s="18"/>
      <c r="ABO27" s="18"/>
      <c r="ABP27" s="18"/>
      <c r="ABQ27" s="18"/>
      <c r="ABR27" s="18"/>
      <c r="ABS27" s="18"/>
      <c r="ABT27" s="18"/>
      <c r="ABU27" s="18"/>
      <c r="ABV27" s="18"/>
      <c r="ABW27" s="18"/>
      <c r="ABX27" s="18"/>
      <c r="ABY27" s="18"/>
      <c r="ABZ27" s="18"/>
      <c r="ACA27" s="18"/>
      <c r="ACB27" s="18"/>
      <c r="ACC27" s="18"/>
      <c r="ACD27" s="18"/>
      <c r="ACE27" s="18"/>
      <c r="ACF27" s="18"/>
      <c r="ACG27" s="18"/>
      <c r="ACH27" s="18"/>
      <c r="ACI27" s="18"/>
      <c r="ACJ27" s="18"/>
      <c r="ACK27" s="18"/>
      <c r="ACL27" s="18"/>
      <c r="ACM27" s="18"/>
      <c r="ACN27" s="18"/>
      <c r="ACO27" s="18"/>
      <c r="ACP27" s="18"/>
      <c r="ACQ27" s="18"/>
      <c r="ACR27" s="18"/>
      <c r="ACS27" s="18"/>
      <c r="ACT27" s="18"/>
      <c r="ACU27" s="18"/>
      <c r="ACV27" s="18"/>
      <c r="ACW27" s="18"/>
      <c r="ACX27" s="18"/>
      <c r="ACY27" s="18"/>
      <c r="ACZ27" s="18"/>
      <c r="ADA27" s="18"/>
      <c r="ADB27" s="18"/>
      <c r="ADC27" s="18"/>
      <c r="ADD27" s="18"/>
      <c r="ADE27" s="18"/>
      <c r="ADF27" s="18"/>
      <c r="ADG27" s="18"/>
      <c r="ADH27" s="18"/>
      <c r="ADI27" s="18"/>
      <c r="ADJ27" s="18"/>
      <c r="ADK27" s="18"/>
      <c r="ADL27" s="18"/>
      <c r="ADM27" s="18"/>
      <c r="ADN27" s="18"/>
      <c r="ADO27" s="18"/>
      <c r="ADP27" s="18"/>
      <c r="ADQ27" s="18"/>
      <c r="ADR27" s="18"/>
      <c r="ADS27" s="18"/>
      <c r="ADT27" s="18"/>
      <c r="ADU27" s="18"/>
      <c r="ADV27" s="18"/>
      <c r="ADW27" s="18"/>
      <c r="ADX27" s="18"/>
      <c r="ADY27" s="18"/>
      <c r="ADZ27" s="18"/>
      <c r="AEA27" s="18"/>
      <c r="AEB27" s="18"/>
      <c r="AEC27" s="18"/>
      <c r="AED27" s="18"/>
      <c r="AEE27" s="18"/>
      <c r="AEF27" s="18"/>
      <c r="AEG27" s="18"/>
      <c r="AEH27" s="18"/>
      <c r="AEI27" s="18"/>
      <c r="AEJ27" s="18"/>
      <c r="AEK27" s="18"/>
      <c r="AEL27" s="18"/>
      <c r="AEM27" s="18"/>
      <c r="AEN27" s="18"/>
      <c r="AEO27" s="18"/>
      <c r="AEP27" s="18"/>
      <c r="AEQ27" s="18"/>
      <c r="AER27" s="18"/>
      <c r="AES27" s="18"/>
      <c r="AET27" s="18"/>
      <c r="AEU27" s="18"/>
      <c r="AEV27" s="18"/>
      <c r="AEW27" s="18"/>
      <c r="AEX27" s="18"/>
      <c r="AEY27" s="18"/>
      <c r="AEZ27" s="18"/>
      <c r="AFA27" s="18"/>
      <c r="AFB27" s="18"/>
      <c r="AFC27" s="18"/>
      <c r="AFD27" s="18"/>
      <c r="AFE27" s="18"/>
      <c r="AFF27" s="18"/>
      <c r="AFG27" s="18"/>
      <c r="AFH27" s="18"/>
      <c r="AFI27" s="18"/>
      <c r="AFJ27" s="18"/>
      <c r="AFK27" s="18"/>
      <c r="AFL27" s="18"/>
      <c r="AFM27" s="18"/>
      <c r="AFN27" s="18"/>
      <c r="AFO27" s="18"/>
      <c r="AFP27" s="18"/>
      <c r="AFQ27" s="18"/>
      <c r="AFR27" s="18"/>
      <c r="AFS27" s="18"/>
      <c r="AFT27" s="18"/>
      <c r="AFU27" s="18"/>
      <c r="AFV27" s="18"/>
      <c r="AFW27" s="18"/>
      <c r="AFX27" s="18"/>
      <c r="AFY27" s="18"/>
      <c r="AFZ27" s="18"/>
      <c r="AGA27" s="18"/>
      <c r="AGB27" s="18"/>
      <c r="AGC27" s="18"/>
      <c r="AGD27" s="18"/>
      <c r="AGE27" s="18"/>
      <c r="AGF27" s="18"/>
      <c r="AGG27" s="18"/>
      <c r="AGH27" s="18"/>
      <c r="AGI27" s="18"/>
      <c r="AGJ27" s="18"/>
      <c r="AGK27" s="18"/>
      <c r="AGL27" s="18"/>
      <c r="AGM27" s="18"/>
      <c r="AGN27" s="18"/>
      <c r="AGO27" s="18"/>
      <c r="AGP27" s="18"/>
      <c r="AGQ27" s="18"/>
      <c r="AGR27" s="18"/>
      <c r="AGS27" s="18"/>
      <c r="AGT27" s="18"/>
      <c r="AGU27" s="18"/>
      <c r="AGV27" s="18"/>
      <c r="AGW27" s="18"/>
      <c r="AGX27" s="18"/>
      <c r="AGY27" s="18"/>
      <c r="AGZ27" s="18"/>
      <c r="AHA27" s="18"/>
      <c r="AHB27" s="18"/>
      <c r="AHC27" s="18"/>
      <c r="AHD27" s="18"/>
      <c r="AHE27" s="18"/>
      <c r="AHF27" s="18"/>
      <c r="AHG27" s="18"/>
      <c r="AHH27" s="18"/>
      <c r="AHI27" s="18"/>
      <c r="AHJ27" s="18"/>
      <c r="AHK27" s="18"/>
      <c r="AHL27" s="18"/>
      <c r="AHM27" s="18"/>
      <c r="AHN27" s="18"/>
      <c r="AHO27" s="18"/>
      <c r="AHP27" s="18"/>
      <c r="AHQ27" s="18"/>
      <c r="AHR27" s="18"/>
      <c r="AHS27" s="18"/>
      <c r="AHT27" s="18"/>
      <c r="AHU27" s="18"/>
      <c r="AHV27" s="18"/>
      <c r="AHW27" s="18"/>
      <c r="AHX27" s="18"/>
      <c r="AHY27" s="18"/>
      <c r="AHZ27" s="18"/>
      <c r="AIA27" s="18"/>
      <c r="AIB27" s="18"/>
      <c r="AIC27" s="18"/>
      <c r="AID27" s="18"/>
      <c r="AIE27" s="18"/>
      <c r="AIF27" s="18"/>
      <c r="AIG27" s="18"/>
      <c r="AIH27" s="18"/>
      <c r="AII27" s="18"/>
      <c r="AIJ27" s="18"/>
      <c r="AIK27" s="18"/>
      <c r="AIL27" s="18"/>
      <c r="AIM27" s="18"/>
      <c r="AIN27" s="18"/>
      <c r="AIO27" s="18"/>
      <c r="AIP27" s="18"/>
      <c r="AIQ27" s="18"/>
      <c r="AIR27" s="18"/>
      <c r="AIS27" s="18"/>
      <c r="AIT27" s="18"/>
      <c r="AIU27" s="18"/>
      <c r="AIV27" s="18"/>
      <c r="AIW27" s="18"/>
      <c r="AIX27" s="18"/>
      <c r="AIY27" s="18"/>
      <c r="AIZ27" s="18"/>
      <c r="AJA27" s="18"/>
      <c r="AJB27" s="18"/>
      <c r="AJC27" s="18"/>
      <c r="AJD27" s="18"/>
      <c r="AJE27" s="18"/>
      <c r="AJF27" s="18"/>
      <c r="AJG27" s="18"/>
      <c r="AJH27" s="18"/>
      <c r="AJI27" s="18"/>
      <c r="AJJ27" s="18"/>
      <c r="AJK27" s="18"/>
      <c r="AJL27" s="18"/>
      <c r="AJM27" s="18"/>
      <c r="AJN27" s="18"/>
      <c r="AJO27" s="18"/>
      <c r="AJP27" s="18"/>
      <c r="AJQ27" s="18"/>
      <c r="AJR27" s="18"/>
      <c r="AJS27" s="18"/>
      <c r="AJT27" s="18"/>
      <c r="AJU27" s="18"/>
      <c r="AJV27" s="18"/>
      <c r="AJW27" s="18"/>
      <c r="AJX27" s="18"/>
      <c r="AJY27" s="18"/>
      <c r="AJZ27" s="18"/>
      <c r="AKA27" s="18"/>
      <c r="AKB27" s="18"/>
      <c r="AKC27" s="18"/>
      <c r="AKD27" s="18"/>
      <c r="AKE27" s="18"/>
      <c r="AKF27" s="18"/>
      <c r="AKG27" s="18"/>
      <c r="AKH27" s="18"/>
      <c r="AKI27" s="18"/>
      <c r="AKJ27" s="18"/>
      <c r="AKK27" s="18"/>
      <c r="AKL27" s="18"/>
      <c r="AKM27" s="18"/>
      <c r="AKN27" s="18"/>
      <c r="AKO27" s="18"/>
      <c r="AKP27" s="18"/>
      <c r="AKQ27" s="18"/>
      <c r="AKR27" s="18"/>
      <c r="AKS27" s="18"/>
      <c r="AKT27" s="18"/>
      <c r="AKU27" s="18"/>
      <c r="AKV27" s="18"/>
      <c r="AKW27" s="18"/>
      <c r="AKX27" s="18"/>
      <c r="AKY27" s="18"/>
      <c r="AKZ27" s="18"/>
      <c r="ALA27" s="18"/>
      <c r="ALB27" s="18"/>
      <c r="ALC27" s="18"/>
      <c r="ALD27" s="18"/>
      <c r="ALE27" s="18"/>
      <c r="ALF27" s="18"/>
      <c r="ALG27" s="18"/>
      <c r="ALH27" s="18"/>
      <c r="ALI27" s="18"/>
      <c r="ALJ27" s="18"/>
      <c r="ALK27" s="18"/>
      <c r="ALL27" s="18"/>
      <c r="ALM27" s="18"/>
      <c r="ALN27" s="18"/>
      <c r="ALO27" s="18"/>
      <c r="ALP27" s="18"/>
      <c r="ALQ27" s="18"/>
      <c r="ALR27" s="18"/>
      <c r="ALS27" s="18"/>
      <c r="ALT27" s="18"/>
      <c r="ALU27" s="18"/>
      <c r="ALV27" s="18"/>
      <c r="ALW27" s="18"/>
      <c r="ALX27" s="18"/>
      <c r="ALY27" s="18"/>
      <c r="ALZ27" s="18"/>
      <c r="AMA27" s="18"/>
      <c r="AMB27" s="18"/>
      <c r="AMC27" s="18"/>
      <c r="AMD27" s="18"/>
      <c r="AME27" s="18"/>
      <c r="AMF27" s="18"/>
      <c r="AMG27" s="18"/>
      <c r="AMH27" s="18"/>
    </row>
    <row r="28" spans="1:1022" s="23" customFormat="1" x14ac:dyDescent="0.3">
      <c r="A28" s="33">
        <v>124</v>
      </c>
      <c r="B28" s="19"/>
      <c r="C28" s="19"/>
      <c r="D28" s="57" t="s">
        <v>298</v>
      </c>
      <c r="E28" s="34" t="s">
        <v>447</v>
      </c>
      <c r="F28" s="39"/>
      <c r="G28" s="19"/>
      <c r="H28" s="38" t="s">
        <v>281</v>
      </c>
      <c r="I28" s="40"/>
      <c r="J28" s="31"/>
      <c r="K28" s="31"/>
      <c r="L28" s="31"/>
      <c r="M28" s="32"/>
      <c r="N28" s="32"/>
      <c r="O28" s="18"/>
      <c r="P28" s="36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18"/>
      <c r="IB28" s="18"/>
      <c r="IC28" s="18"/>
      <c r="ID28" s="18"/>
      <c r="IE28" s="18"/>
      <c r="IF28" s="18"/>
      <c r="IG28" s="18"/>
      <c r="IH28" s="18"/>
      <c r="II28" s="18"/>
      <c r="IJ28" s="18"/>
      <c r="IK28" s="18"/>
      <c r="IL28" s="18"/>
      <c r="IM28" s="18"/>
      <c r="IN28" s="18"/>
      <c r="IO28" s="18"/>
      <c r="IP28" s="18"/>
      <c r="IQ28" s="18"/>
      <c r="IR28" s="18"/>
      <c r="IS28" s="18"/>
      <c r="IT28" s="18"/>
      <c r="IU28" s="18"/>
      <c r="IV28" s="18"/>
      <c r="IW28" s="18"/>
      <c r="IX28" s="18"/>
      <c r="IY28" s="18"/>
      <c r="IZ28" s="18"/>
      <c r="JA28" s="18"/>
      <c r="JB28" s="18"/>
      <c r="JC28" s="18"/>
      <c r="JD28" s="18"/>
      <c r="JE28" s="18"/>
      <c r="JF28" s="18"/>
      <c r="JG28" s="18"/>
      <c r="JH28" s="18"/>
      <c r="JI28" s="18"/>
      <c r="JJ28" s="18"/>
      <c r="JK28" s="18"/>
      <c r="JL28" s="18"/>
      <c r="JM28" s="18"/>
      <c r="JN28" s="18"/>
      <c r="JO28" s="18"/>
      <c r="JP28" s="18"/>
      <c r="JQ28" s="18"/>
      <c r="JR28" s="18"/>
      <c r="JS28" s="18"/>
      <c r="JT28" s="18"/>
      <c r="JU28" s="18"/>
      <c r="JV28" s="18"/>
      <c r="JW28" s="18"/>
      <c r="JX28" s="18"/>
      <c r="JY28" s="18"/>
      <c r="JZ28" s="18"/>
      <c r="KA28" s="18"/>
      <c r="KB28" s="18"/>
      <c r="KC28" s="18"/>
      <c r="KD28" s="18"/>
      <c r="KE28" s="18"/>
      <c r="KF28" s="18"/>
      <c r="KG28" s="18"/>
      <c r="KH28" s="18"/>
      <c r="KI28" s="18"/>
      <c r="KJ28" s="18"/>
      <c r="KK28" s="18"/>
      <c r="KL28" s="18"/>
      <c r="KM28" s="18"/>
      <c r="KN28" s="18"/>
      <c r="KO28" s="18"/>
      <c r="KP28" s="18"/>
      <c r="KQ28" s="18"/>
      <c r="KR28" s="18"/>
      <c r="KS28" s="18"/>
      <c r="KT28" s="18"/>
      <c r="KU28" s="18"/>
      <c r="KV28" s="18"/>
      <c r="KW28" s="18"/>
      <c r="KX28" s="18"/>
      <c r="KY28" s="18"/>
      <c r="KZ28" s="18"/>
      <c r="LA28" s="18"/>
      <c r="LB28" s="18"/>
      <c r="LC28" s="18"/>
      <c r="LD28" s="18"/>
      <c r="LE28" s="18"/>
      <c r="LF28" s="18"/>
      <c r="LG28" s="18"/>
      <c r="LH28" s="18"/>
      <c r="LI28" s="18"/>
      <c r="LJ28" s="18"/>
      <c r="LK28" s="18"/>
      <c r="LL28" s="18"/>
      <c r="LM28" s="18"/>
      <c r="LN28" s="18"/>
      <c r="LO28" s="18"/>
      <c r="LP28" s="18"/>
      <c r="LQ28" s="18"/>
      <c r="LR28" s="18"/>
      <c r="LS28" s="18"/>
      <c r="LT28" s="18"/>
      <c r="LU28" s="18"/>
      <c r="LV28" s="18"/>
      <c r="LW28" s="18"/>
      <c r="LX28" s="18"/>
      <c r="LY28" s="18"/>
      <c r="LZ28" s="18"/>
      <c r="MA28" s="18"/>
      <c r="MB28" s="18"/>
      <c r="MC28" s="18"/>
      <c r="MD28" s="18"/>
      <c r="ME28" s="18"/>
      <c r="MF28" s="18"/>
      <c r="MG28" s="18"/>
      <c r="MH28" s="18"/>
      <c r="MI28" s="18"/>
      <c r="MJ28" s="18"/>
      <c r="MK28" s="18"/>
      <c r="ML28" s="18"/>
      <c r="MM28" s="18"/>
      <c r="MN28" s="18"/>
      <c r="MO28" s="18"/>
      <c r="MP28" s="18"/>
      <c r="MQ28" s="18"/>
      <c r="MR28" s="18"/>
      <c r="MS28" s="18"/>
      <c r="MT28" s="18"/>
      <c r="MU28" s="18"/>
      <c r="MV28" s="18"/>
      <c r="MW28" s="18"/>
      <c r="MX28" s="18"/>
      <c r="MY28" s="18"/>
      <c r="MZ28" s="18"/>
      <c r="NA28" s="18"/>
      <c r="NB28" s="18"/>
      <c r="NC28" s="18"/>
      <c r="ND28" s="18"/>
      <c r="NE28" s="18"/>
      <c r="NF28" s="18"/>
      <c r="NG28" s="18"/>
      <c r="NH28" s="18"/>
      <c r="NI28" s="18"/>
      <c r="NJ28" s="18"/>
      <c r="NK28" s="18"/>
      <c r="NL28" s="18"/>
      <c r="NM28" s="18"/>
      <c r="NN28" s="18"/>
      <c r="NO28" s="18"/>
      <c r="NP28" s="18"/>
      <c r="NQ28" s="18"/>
      <c r="NR28" s="18"/>
      <c r="NS28" s="18"/>
      <c r="NT28" s="18"/>
      <c r="NU28" s="18"/>
      <c r="NV28" s="18"/>
      <c r="NW28" s="18"/>
      <c r="NX28" s="18"/>
      <c r="NY28" s="18"/>
      <c r="NZ28" s="18"/>
      <c r="OA28" s="18"/>
      <c r="OB28" s="18"/>
      <c r="OC28" s="18"/>
      <c r="OD28" s="18"/>
      <c r="OE28" s="18"/>
      <c r="OF28" s="18"/>
      <c r="OG28" s="18"/>
      <c r="OH28" s="18"/>
      <c r="OI28" s="18"/>
      <c r="OJ28" s="18"/>
      <c r="OK28" s="18"/>
      <c r="OL28" s="18"/>
      <c r="OM28" s="18"/>
      <c r="ON28" s="18"/>
      <c r="OO28" s="18"/>
      <c r="OP28" s="18"/>
      <c r="OQ28" s="18"/>
      <c r="OR28" s="18"/>
      <c r="OS28" s="18"/>
      <c r="OT28" s="18"/>
      <c r="OU28" s="18"/>
      <c r="OV28" s="18"/>
      <c r="OW28" s="18"/>
      <c r="OX28" s="18"/>
      <c r="OY28" s="18"/>
      <c r="OZ28" s="18"/>
      <c r="PA28" s="18"/>
      <c r="PB28" s="18"/>
      <c r="PC28" s="18"/>
      <c r="PD28" s="18"/>
      <c r="PE28" s="18"/>
      <c r="PF28" s="18"/>
      <c r="PG28" s="18"/>
      <c r="PH28" s="18"/>
      <c r="PI28" s="18"/>
      <c r="PJ28" s="18"/>
      <c r="PK28" s="18"/>
      <c r="PL28" s="18"/>
      <c r="PM28" s="18"/>
      <c r="PN28" s="18"/>
      <c r="PO28" s="18"/>
      <c r="PP28" s="18"/>
      <c r="PQ28" s="18"/>
      <c r="PR28" s="18"/>
      <c r="PS28" s="18"/>
      <c r="PT28" s="18"/>
      <c r="PU28" s="18"/>
      <c r="PV28" s="18"/>
      <c r="PW28" s="18"/>
      <c r="PX28" s="18"/>
      <c r="PY28" s="18"/>
      <c r="PZ28" s="18"/>
      <c r="QA28" s="18"/>
      <c r="QB28" s="18"/>
      <c r="QC28" s="18"/>
      <c r="QD28" s="18"/>
      <c r="QE28" s="18"/>
      <c r="QF28" s="18"/>
      <c r="QG28" s="18"/>
      <c r="QH28" s="18"/>
      <c r="QI28" s="18"/>
      <c r="QJ28" s="18"/>
      <c r="QK28" s="18"/>
      <c r="QL28" s="18"/>
      <c r="QM28" s="18"/>
      <c r="QN28" s="18"/>
      <c r="QO28" s="18"/>
      <c r="QP28" s="18"/>
      <c r="QQ28" s="18"/>
      <c r="QR28" s="18"/>
      <c r="QS28" s="18"/>
      <c r="QT28" s="18"/>
      <c r="QU28" s="18"/>
      <c r="QV28" s="18"/>
      <c r="QW28" s="18"/>
      <c r="QX28" s="18"/>
      <c r="QY28" s="18"/>
      <c r="QZ28" s="18"/>
      <c r="RA28" s="18"/>
      <c r="RB28" s="18"/>
      <c r="RC28" s="18"/>
      <c r="RD28" s="18"/>
      <c r="RE28" s="18"/>
      <c r="RF28" s="18"/>
      <c r="RG28" s="18"/>
      <c r="RH28" s="18"/>
      <c r="RI28" s="18"/>
      <c r="RJ28" s="18"/>
      <c r="RK28" s="18"/>
      <c r="RL28" s="18"/>
      <c r="RM28" s="18"/>
      <c r="RN28" s="18"/>
      <c r="RO28" s="18"/>
      <c r="RP28" s="18"/>
      <c r="RQ28" s="18"/>
      <c r="RR28" s="18"/>
      <c r="RS28" s="18"/>
      <c r="RT28" s="18"/>
      <c r="RU28" s="18"/>
      <c r="RV28" s="18"/>
      <c r="RW28" s="18"/>
      <c r="RX28" s="18"/>
      <c r="RY28" s="18"/>
      <c r="RZ28" s="18"/>
      <c r="SA28" s="18"/>
      <c r="SB28" s="18"/>
      <c r="SC28" s="18"/>
      <c r="SD28" s="18"/>
      <c r="SE28" s="18"/>
      <c r="SF28" s="18"/>
      <c r="SG28" s="18"/>
      <c r="SH28" s="18"/>
      <c r="SI28" s="18"/>
      <c r="SJ28" s="18"/>
      <c r="SK28" s="18"/>
      <c r="SL28" s="18"/>
      <c r="SM28" s="18"/>
      <c r="SN28" s="18"/>
      <c r="SO28" s="18"/>
      <c r="SP28" s="18"/>
      <c r="SQ28" s="18"/>
      <c r="SR28" s="18"/>
      <c r="SS28" s="18"/>
      <c r="ST28" s="18"/>
      <c r="SU28" s="18"/>
      <c r="SV28" s="18"/>
      <c r="SW28" s="18"/>
      <c r="SX28" s="18"/>
      <c r="SY28" s="18"/>
      <c r="SZ28" s="18"/>
      <c r="TA28" s="18"/>
      <c r="TB28" s="18"/>
      <c r="TC28" s="18"/>
      <c r="TD28" s="18"/>
      <c r="TE28" s="18"/>
      <c r="TF28" s="18"/>
      <c r="TG28" s="18"/>
      <c r="TH28" s="18"/>
      <c r="TI28" s="18"/>
      <c r="TJ28" s="18"/>
      <c r="TK28" s="18"/>
      <c r="TL28" s="18"/>
      <c r="TM28" s="18"/>
      <c r="TN28" s="18"/>
      <c r="TO28" s="18"/>
      <c r="TP28" s="18"/>
      <c r="TQ28" s="18"/>
      <c r="TR28" s="18"/>
      <c r="TS28" s="18"/>
      <c r="TT28" s="18"/>
      <c r="TU28" s="18"/>
      <c r="TV28" s="18"/>
      <c r="TW28" s="18"/>
      <c r="TX28" s="18"/>
      <c r="TY28" s="18"/>
      <c r="TZ28" s="18"/>
      <c r="UA28" s="18"/>
      <c r="UB28" s="18"/>
      <c r="UC28" s="18"/>
      <c r="UD28" s="18"/>
      <c r="UE28" s="18"/>
      <c r="UF28" s="18"/>
      <c r="UG28" s="18"/>
      <c r="UH28" s="18"/>
      <c r="UI28" s="18"/>
      <c r="UJ28" s="18"/>
      <c r="UK28" s="18"/>
      <c r="UL28" s="18"/>
      <c r="UM28" s="18"/>
      <c r="UN28" s="18"/>
      <c r="UO28" s="18"/>
      <c r="UP28" s="18"/>
      <c r="UQ28" s="18"/>
      <c r="UR28" s="18"/>
      <c r="US28" s="18"/>
      <c r="UT28" s="18"/>
      <c r="UU28" s="18"/>
      <c r="UV28" s="18"/>
      <c r="UW28" s="18"/>
      <c r="UX28" s="18"/>
      <c r="UY28" s="18"/>
      <c r="UZ28" s="18"/>
      <c r="VA28" s="18"/>
      <c r="VB28" s="18"/>
      <c r="VC28" s="18"/>
      <c r="VD28" s="18"/>
      <c r="VE28" s="18"/>
      <c r="VF28" s="18"/>
      <c r="VG28" s="18"/>
      <c r="VH28" s="18"/>
      <c r="VI28" s="18"/>
      <c r="VJ28" s="18"/>
      <c r="VK28" s="18"/>
      <c r="VL28" s="18"/>
      <c r="VM28" s="18"/>
      <c r="VN28" s="18"/>
      <c r="VO28" s="18"/>
      <c r="VP28" s="18"/>
      <c r="VQ28" s="18"/>
      <c r="VR28" s="18"/>
      <c r="VS28" s="18"/>
      <c r="VT28" s="18"/>
      <c r="VU28" s="18"/>
      <c r="VV28" s="18"/>
      <c r="VW28" s="18"/>
      <c r="VX28" s="18"/>
      <c r="VY28" s="18"/>
      <c r="VZ28" s="18"/>
      <c r="WA28" s="18"/>
      <c r="WB28" s="18"/>
      <c r="WC28" s="18"/>
      <c r="WD28" s="18"/>
      <c r="WE28" s="18"/>
      <c r="WF28" s="18"/>
      <c r="WG28" s="18"/>
      <c r="WH28" s="18"/>
      <c r="WI28" s="18"/>
      <c r="WJ28" s="18"/>
      <c r="WK28" s="18"/>
      <c r="WL28" s="18"/>
      <c r="WM28" s="18"/>
      <c r="WN28" s="18"/>
      <c r="WO28" s="18"/>
      <c r="WP28" s="18"/>
      <c r="WQ28" s="18"/>
      <c r="WR28" s="18"/>
      <c r="WS28" s="18"/>
      <c r="WT28" s="18"/>
      <c r="WU28" s="18"/>
      <c r="WV28" s="18"/>
      <c r="WW28" s="18"/>
      <c r="WX28" s="18"/>
      <c r="WY28" s="18"/>
      <c r="WZ28" s="18"/>
      <c r="XA28" s="18"/>
      <c r="XB28" s="18"/>
      <c r="XC28" s="18"/>
      <c r="XD28" s="18"/>
      <c r="XE28" s="18"/>
      <c r="XF28" s="18"/>
      <c r="XG28" s="18"/>
      <c r="XH28" s="18"/>
      <c r="XI28" s="18"/>
      <c r="XJ28" s="18"/>
      <c r="XK28" s="18"/>
      <c r="XL28" s="18"/>
      <c r="XM28" s="18"/>
      <c r="XN28" s="18"/>
      <c r="XO28" s="18"/>
      <c r="XP28" s="18"/>
      <c r="XQ28" s="18"/>
      <c r="XR28" s="18"/>
      <c r="XS28" s="18"/>
      <c r="XT28" s="18"/>
      <c r="XU28" s="18"/>
      <c r="XV28" s="18"/>
      <c r="XW28" s="18"/>
      <c r="XX28" s="18"/>
      <c r="XY28" s="18"/>
      <c r="XZ28" s="18"/>
      <c r="YA28" s="18"/>
      <c r="YB28" s="18"/>
      <c r="YC28" s="18"/>
      <c r="YD28" s="18"/>
      <c r="YE28" s="18"/>
      <c r="YF28" s="18"/>
      <c r="YG28" s="18"/>
      <c r="YH28" s="18"/>
      <c r="YI28" s="18"/>
      <c r="YJ28" s="18"/>
      <c r="YK28" s="18"/>
      <c r="YL28" s="18"/>
      <c r="YM28" s="18"/>
      <c r="YN28" s="18"/>
      <c r="YO28" s="18"/>
      <c r="YP28" s="18"/>
      <c r="YQ28" s="18"/>
      <c r="YR28" s="18"/>
      <c r="YS28" s="18"/>
      <c r="YT28" s="18"/>
      <c r="YU28" s="18"/>
      <c r="YV28" s="18"/>
      <c r="YW28" s="18"/>
      <c r="YX28" s="18"/>
      <c r="YY28" s="18"/>
      <c r="YZ28" s="18"/>
      <c r="ZA28" s="18"/>
      <c r="ZB28" s="18"/>
      <c r="ZC28" s="18"/>
      <c r="ZD28" s="18"/>
      <c r="ZE28" s="18"/>
      <c r="ZF28" s="18"/>
      <c r="ZG28" s="18"/>
      <c r="ZH28" s="18"/>
      <c r="ZI28" s="18"/>
      <c r="ZJ28" s="18"/>
      <c r="ZK28" s="18"/>
      <c r="ZL28" s="18"/>
      <c r="ZM28" s="18"/>
      <c r="ZN28" s="18"/>
      <c r="ZO28" s="18"/>
      <c r="ZP28" s="18"/>
      <c r="ZQ28" s="18"/>
      <c r="ZR28" s="18"/>
      <c r="ZS28" s="18"/>
      <c r="ZT28" s="18"/>
      <c r="ZU28" s="18"/>
      <c r="ZV28" s="18"/>
      <c r="ZW28" s="18"/>
      <c r="ZX28" s="18"/>
      <c r="ZY28" s="18"/>
      <c r="ZZ28" s="18"/>
      <c r="AAA28" s="18"/>
      <c r="AAB28" s="18"/>
      <c r="AAC28" s="18"/>
      <c r="AAD28" s="18"/>
      <c r="AAE28" s="18"/>
      <c r="AAF28" s="18"/>
      <c r="AAG28" s="18"/>
      <c r="AAH28" s="18"/>
      <c r="AAI28" s="18"/>
      <c r="AAJ28" s="18"/>
      <c r="AAK28" s="18"/>
      <c r="AAL28" s="18"/>
      <c r="AAM28" s="18"/>
      <c r="AAN28" s="18"/>
      <c r="AAO28" s="18"/>
      <c r="AAP28" s="18"/>
      <c r="AAQ28" s="18"/>
      <c r="AAR28" s="18"/>
      <c r="AAS28" s="18"/>
      <c r="AAT28" s="18"/>
      <c r="AAU28" s="18"/>
      <c r="AAV28" s="18"/>
      <c r="AAW28" s="18"/>
      <c r="AAX28" s="18"/>
      <c r="AAY28" s="18"/>
      <c r="AAZ28" s="18"/>
      <c r="ABA28" s="18"/>
      <c r="ABB28" s="18"/>
      <c r="ABC28" s="18"/>
      <c r="ABD28" s="18"/>
      <c r="ABE28" s="18"/>
      <c r="ABF28" s="18"/>
      <c r="ABG28" s="18"/>
      <c r="ABH28" s="18"/>
      <c r="ABI28" s="18"/>
      <c r="ABJ28" s="18"/>
      <c r="ABK28" s="18"/>
      <c r="ABL28" s="18"/>
      <c r="ABM28" s="18"/>
      <c r="ABN28" s="18"/>
      <c r="ABO28" s="18"/>
      <c r="ABP28" s="18"/>
      <c r="ABQ28" s="18"/>
      <c r="ABR28" s="18"/>
      <c r="ABS28" s="18"/>
      <c r="ABT28" s="18"/>
      <c r="ABU28" s="18"/>
      <c r="ABV28" s="18"/>
      <c r="ABW28" s="18"/>
      <c r="ABX28" s="18"/>
      <c r="ABY28" s="18"/>
      <c r="ABZ28" s="18"/>
      <c r="ACA28" s="18"/>
      <c r="ACB28" s="18"/>
      <c r="ACC28" s="18"/>
      <c r="ACD28" s="18"/>
      <c r="ACE28" s="18"/>
      <c r="ACF28" s="18"/>
      <c r="ACG28" s="18"/>
      <c r="ACH28" s="18"/>
      <c r="ACI28" s="18"/>
      <c r="ACJ28" s="18"/>
      <c r="ACK28" s="18"/>
      <c r="ACL28" s="18"/>
      <c r="ACM28" s="18"/>
      <c r="ACN28" s="18"/>
      <c r="ACO28" s="18"/>
      <c r="ACP28" s="18"/>
      <c r="ACQ28" s="18"/>
      <c r="ACR28" s="18"/>
      <c r="ACS28" s="18"/>
      <c r="ACT28" s="18"/>
      <c r="ACU28" s="18"/>
      <c r="ACV28" s="18"/>
      <c r="ACW28" s="18"/>
      <c r="ACX28" s="18"/>
      <c r="ACY28" s="18"/>
      <c r="ACZ28" s="18"/>
      <c r="ADA28" s="18"/>
      <c r="ADB28" s="18"/>
      <c r="ADC28" s="18"/>
      <c r="ADD28" s="18"/>
      <c r="ADE28" s="18"/>
      <c r="ADF28" s="18"/>
      <c r="ADG28" s="18"/>
      <c r="ADH28" s="18"/>
      <c r="ADI28" s="18"/>
      <c r="ADJ28" s="18"/>
      <c r="ADK28" s="18"/>
      <c r="ADL28" s="18"/>
      <c r="ADM28" s="18"/>
      <c r="ADN28" s="18"/>
      <c r="ADO28" s="18"/>
      <c r="ADP28" s="18"/>
      <c r="ADQ28" s="18"/>
      <c r="ADR28" s="18"/>
      <c r="ADS28" s="18"/>
      <c r="ADT28" s="18"/>
      <c r="ADU28" s="18"/>
      <c r="ADV28" s="18"/>
      <c r="ADW28" s="18"/>
      <c r="ADX28" s="18"/>
      <c r="ADY28" s="18"/>
      <c r="ADZ28" s="18"/>
      <c r="AEA28" s="18"/>
      <c r="AEB28" s="18"/>
      <c r="AEC28" s="18"/>
      <c r="AED28" s="18"/>
      <c r="AEE28" s="18"/>
      <c r="AEF28" s="18"/>
      <c r="AEG28" s="18"/>
      <c r="AEH28" s="18"/>
      <c r="AEI28" s="18"/>
      <c r="AEJ28" s="18"/>
      <c r="AEK28" s="18"/>
      <c r="AEL28" s="18"/>
      <c r="AEM28" s="18"/>
      <c r="AEN28" s="18"/>
      <c r="AEO28" s="18"/>
      <c r="AEP28" s="18"/>
      <c r="AEQ28" s="18"/>
      <c r="AER28" s="18"/>
      <c r="AES28" s="18"/>
      <c r="AET28" s="18"/>
      <c r="AEU28" s="18"/>
      <c r="AEV28" s="18"/>
      <c r="AEW28" s="18"/>
      <c r="AEX28" s="18"/>
      <c r="AEY28" s="18"/>
      <c r="AEZ28" s="18"/>
      <c r="AFA28" s="18"/>
      <c r="AFB28" s="18"/>
      <c r="AFC28" s="18"/>
      <c r="AFD28" s="18"/>
      <c r="AFE28" s="18"/>
      <c r="AFF28" s="18"/>
      <c r="AFG28" s="18"/>
      <c r="AFH28" s="18"/>
      <c r="AFI28" s="18"/>
      <c r="AFJ28" s="18"/>
      <c r="AFK28" s="18"/>
      <c r="AFL28" s="18"/>
      <c r="AFM28" s="18"/>
      <c r="AFN28" s="18"/>
      <c r="AFO28" s="18"/>
      <c r="AFP28" s="18"/>
      <c r="AFQ28" s="18"/>
      <c r="AFR28" s="18"/>
      <c r="AFS28" s="18"/>
      <c r="AFT28" s="18"/>
      <c r="AFU28" s="18"/>
      <c r="AFV28" s="18"/>
      <c r="AFW28" s="18"/>
      <c r="AFX28" s="18"/>
      <c r="AFY28" s="18"/>
      <c r="AFZ28" s="18"/>
      <c r="AGA28" s="18"/>
      <c r="AGB28" s="18"/>
      <c r="AGC28" s="18"/>
      <c r="AGD28" s="18"/>
      <c r="AGE28" s="18"/>
      <c r="AGF28" s="18"/>
      <c r="AGG28" s="18"/>
      <c r="AGH28" s="18"/>
      <c r="AGI28" s="18"/>
      <c r="AGJ28" s="18"/>
      <c r="AGK28" s="18"/>
      <c r="AGL28" s="18"/>
      <c r="AGM28" s="18"/>
      <c r="AGN28" s="18"/>
      <c r="AGO28" s="18"/>
      <c r="AGP28" s="18"/>
      <c r="AGQ28" s="18"/>
      <c r="AGR28" s="18"/>
      <c r="AGS28" s="18"/>
      <c r="AGT28" s="18"/>
      <c r="AGU28" s="18"/>
      <c r="AGV28" s="18"/>
      <c r="AGW28" s="18"/>
      <c r="AGX28" s="18"/>
      <c r="AGY28" s="18"/>
      <c r="AGZ28" s="18"/>
      <c r="AHA28" s="18"/>
      <c r="AHB28" s="18"/>
      <c r="AHC28" s="18"/>
      <c r="AHD28" s="18"/>
      <c r="AHE28" s="18"/>
      <c r="AHF28" s="18"/>
      <c r="AHG28" s="18"/>
      <c r="AHH28" s="18"/>
      <c r="AHI28" s="18"/>
      <c r="AHJ28" s="18"/>
      <c r="AHK28" s="18"/>
      <c r="AHL28" s="18"/>
      <c r="AHM28" s="18"/>
      <c r="AHN28" s="18"/>
      <c r="AHO28" s="18"/>
      <c r="AHP28" s="18"/>
      <c r="AHQ28" s="18"/>
      <c r="AHR28" s="18"/>
      <c r="AHS28" s="18"/>
      <c r="AHT28" s="18"/>
      <c r="AHU28" s="18"/>
      <c r="AHV28" s="18"/>
      <c r="AHW28" s="18"/>
      <c r="AHX28" s="18"/>
      <c r="AHY28" s="18"/>
      <c r="AHZ28" s="18"/>
      <c r="AIA28" s="18"/>
      <c r="AIB28" s="18"/>
      <c r="AIC28" s="18"/>
      <c r="AID28" s="18"/>
      <c r="AIE28" s="18"/>
      <c r="AIF28" s="18"/>
      <c r="AIG28" s="18"/>
      <c r="AIH28" s="18"/>
      <c r="AII28" s="18"/>
      <c r="AIJ28" s="18"/>
      <c r="AIK28" s="18"/>
      <c r="AIL28" s="18"/>
      <c r="AIM28" s="18"/>
      <c r="AIN28" s="18"/>
      <c r="AIO28" s="18"/>
      <c r="AIP28" s="18"/>
      <c r="AIQ28" s="18"/>
      <c r="AIR28" s="18"/>
      <c r="AIS28" s="18"/>
      <c r="AIT28" s="18"/>
      <c r="AIU28" s="18"/>
      <c r="AIV28" s="18"/>
      <c r="AIW28" s="18"/>
      <c r="AIX28" s="18"/>
      <c r="AIY28" s="18"/>
      <c r="AIZ28" s="18"/>
      <c r="AJA28" s="18"/>
      <c r="AJB28" s="18"/>
      <c r="AJC28" s="18"/>
      <c r="AJD28" s="18"/>
      <c r="AJE28" s="18"/>
      <c r="AJF28" s="18"/>
      <c r="AJG28" s="18"/>
      <c r="AJH28" s="18"/>
      <c r="AJI28" s="18"/>
      <c r="AJJ28" s="18"/>
      <c r="AJK28" s="18"/>
      <c r="AJL28" s="18"/>
      <c r="AJM28" s="18"/>
      <c r="AJN28" s="18"/>
      <c r="AJO28" s="18"/>
      <c r="AJP28" s="18"/>
      <c r="AJQ28" s="18"/>
      <c r="AJR28" s="18"/>
      <c r="AJS28" s="18"/>
      <c r="AJT28" s="18"/>
      <c r="AJU28" s="18"/>
      <c r="AJV28" s="18"/>
      <c r="AJW28" s="18"/>
      <c r="AJX28" s="18"/>
      <c r="AJY28" s="18"/>
      <c r="AJZ28" s="18"/>
      <c r="AKA28" s="18"/>
      <c r="AKB28" s="18"/>
      <c r="AKC28" s="18"/>
      <c r="AKD28" s="18"/>
      <c r="AKE28" s="18"/>
      <c r="AKF28" s="18"/>
      <c r="AKG28" s="18"/>
      <c r="AKH28" s="18"/>
      <c r="AKI28" s="18"/>
      <c r="AKJ28" s="18"/>
      <c r="AKK28" s="18"/>
      <c r="AKL28" s="18"/>
      <c r="AKM28" s="18"/>
      <c r="AKN28" s="18"/>
      <c r="AKO28" s="18"/>
      <c r="AKP28" s="18"/>
      <c r="AKQ28" s="18"/>
      <c r="AKR28" s="18"/>
      <c r="AKS28" s="18"/>
      <c r="AKT28" s="18"/>
      <c r="AKU28" s="18"/>
      <c r="AKV28" s="18"/>
      <c r="AKW28" s="18"/>
      <c r="AKX28" s="18"/>
      <c r="AKY28" s="18"/>
      <c r="AKZ28" s="18"/>
      <c r="ALA28" s="18"/>
      <c r="ALB28" s="18"/>
      <c r="ALC28" s="18"/>
      <c r="ALD28" s="18"/>
      <c r="ALE28" s="18"/>
      <c r="ALF28" s="18"/>
      <c r="ALG28" s="18"/>
      <c r="ALH28" s="18"/>
      <c r="ALI28" s="18"/>
      <c r="ALJ28" s="18"/>
      <c r="ALK28" s="18"/>
      <c r="ALL28" s="18"/>
      <c r="ALM28" s="18"/>
      <c r="ALN28" s="18"/>
      <c r="ALO28" s="18"/>
      <c r="ALP28" s="18"/>
      <c r="ALQ28" s="18"/>
      <c r="ALR28" s="18"/>
      <c r="ALS28" s="18"/>
      <c r="ALT28" s="18"/>
      <c r="ALU28" s="18"/>
      <c r="ALV28" s="18"/>
      <c r="ALW28" s="18"/>
      <c r="ALX28" s="18"/>
      <c r="ALY28" s="18"/>
      <c r="ALZ28" s="18"/>
      <c r="AMA28" s="18"/>
      <c r="AMB28" s="18"/>
      <c r="AMC28" s="18"/>
      <c r="AMD28" s="18"/>
      <c r="AME28" s="18"/>
      <c r="AMF28" s="18"/>
      <c r="AMG28" s="18"/>
      <c r="AMH28" s="18"/>
    </row>
    <row r="29" spans="1:1022" s="23" customFormat="1" x14ac:dyDescent="0.3">
      <c r="A29" s="33">
        <v>125</v>
      </c>
      <c r="B29" s="19"/>
      <c r="C29" s="19"/>
      <c r="D29" s="57" t="s">
        <v>299</v>
      </c>
      <c r="E29" s="34" t="s">
        <v>445</v>
      </c>
      <c r="F29" s="39"/>
      <c r="G29" s="19"/>
      <c r="H29" s="38" t="s">
        <v>281</v>
      </c>
      <c r="I29" s="40"/>
      <c r="J29" s="31"/>
      <c r="K29" s="31"/>
      <c r="L29" s="31"/>
      <c r="M29" s="32"/>
      <c r="N29" s="32"/>
      <c r="O29" s="18"/>
      <c r="P29" s="36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18"/>
      <c r="IB29" s="18"/>
      <c r="IC29" s="18"/>
      <c r="ID29" s="18"/>
      <c r="IE29" s="18"/>
      <c r="IF29" s="18"/>
      <c r="IG29" s="18"/>
      <c r="IH29" s="18"/>
      <c r="II29" s="18"/>
      <c r="IJ29" s="18"/>
      <c r="IK29" s="18"/>
      <c r="IL29" s="18"/>
      <c r="IM29" s="18"/>
      <c r="IN29" s="18"/>
      <c r="IO29" s="18"/>
      <c r="IP29" s="18"/>
      <c r="IQ29" s="18"/>
      <c r="IR29" s="18"/>
      <c r="IS29" s="18"/>
      <c r="IT29" s="18"/>
      <c r="IU29" s="18"/>
      <c r="IV29" s="18"/>
      <c r="IW29" s="18"/>
      <c r="IX29" s="18"/>
      <c r="IY29" s="18"/>
      <c r="IZ29" s="18"/>
      <c r="JA29" s="18"/>
      <c r="JB29" s="18"/>
      <c r="JC29" s="18"/>
      <c r="JD29" s="18"/>
      <c r="JE29" s="18"/>
      <c r="JF29" s="18"/>
      <c r="JG29" s="18"/>
      <c r="JH29" s="18"/>
      <c r="JI29" s="18"/>
      <c r="JJ29" s="18"/>
      <c r="JK29" s="18"/>
      <c r="JL29" s="18"/>
      <c r="JM29" s="18"/>
      <c r="JN29" s="18"/>
      <c r="JO29" s="18"/>
      <c r="JP29" s="18"/>
      <c r="JQ29" s="18"/>
      <c r="JR29" s="18"/>
      <c r="JS29" s="18"/>
      <c r="JT29" s="18"/>
      <c r="JU29" s="18"/>
      <c r="JV29" s="18"/>
      <c r="JW29" s="18"/>
      <c r="JX29" s="18"/>
      <c r="JY29" s="18"/>
      <c r="JZ29" s="18"/>
      <c r="KA29" s="18"/>
      <c r="KB29" s="18"/>
      <c r="KC29" s="18"/>
      <c r="KD29" s="18"/>
      <c r="KE29" s="18"/>
      <c r="KF29" s="18"/>
      <c r="KG29" s="18"/>
      <c r="KH29" s="18"/>
      <c r="KI29" s="18"/>
      <c r="KJ29" s="18"/>
      <c r="KK29" s="18"/>
      <c r="KL29" s="18"/>
      <c r="KM29" s="18"/>
      <c r="KN29" s="18"/>
      <c r="KO29" s="18"/>
      <c r="KP29" s="18"/>
      <c r="KQ29" s="18"/>
      <c r="KR29" s="18"/>
      <c r="KS29" s="18"/>
      <c r="KT29" s="18"/>
      <c r="KU29" s="18"/>
      <c r="KV29" s="18"/>
      <c r="KW29" s="18"/>
      <c r="KX29" s="18"/>
      <c r="KY29" s="18"/>
      <c r="KZ29" s="18"/>
      <c r="LA29" s="18"/>
      <c r="LB29" s="18"/>
      <c r="LC29" s="18"/>
      <c r="LD29" s="18"/>
      <c r="LE29" s="18"/>
      <c r="LF29" s="18"/>
      <c r="LG29" s="18"/>
      <c r="LH29" s="18"/>
      <c r="LI29" s="18"/>
      <c r="LJ29" s="18"/>
      <c r="LK29" s="18"/>
      <c r="LL29" s="18"/>
      <c r="LM29" s="18"/>
      <c r="LN29" s="18"/>
      <c r="LO29" s="18"/>
      <c r="LP29" s="18"/>
      <c r="LQ29" s="18"/>
      <c r="LR29" s="18"/>
      <c r="LS29" s="18"/>
      <c r="LT29" s="18"/>
      <c r="LU29" s="18"/>
      <c r="LV29" s="18"/>
      <c r="LW29" s="18"/>
      <c r="LX29" s="18"/>
      <c r="LY29" s="18"/>
      <c r="LZ29" s="18"/>
      <c r="MA29" s="18"/>
      <c r="MB29" s="18"/>
      <c r="MC29" s="18"/>
      <c r="MD29" s="18"/>
      <c r="ME29" s="18"/>
      <c r="MF29" s="18"/>
      <c r="MG29" s="18"/>
      <c r="MH29" s="18"/>
      <c r="MI29" s="18"/>
      <c r="MJ29" s="18"/>
      <c r="MK29" s="18"/>
      <c r="ML29" s="18"/>
      <c r="MM29" s="18"/>
      <c r="MN29" s="18"/>
      <c r="MO29" s="18"/>
      <c r="MP29" s="18"/>
      <c r="MQ29" s="18"/>
      <c r="MR29" s="18"/>
      <c r="MS29" s="18"/>
      <c r="MT29" s="18"/>
      <c r="MU29" s="18"/>
      <c r="MV29" s="18"/>
      <c r="MW29" s="18"/>
      <c r="MX29" s="18"/>
      <c r="MY29" s="18"/>
      <c r="MZ29" s="18"/>
      <c r="NA29" s="18"/>
      <c r="NB29" s="18"/>
      <c r="NC29" s="18"/>
      <c r="ND29" s="18"/>
      <c r="NE29" s="18"/>
      <c r="NF29" s="18"/>
      <c r="NG29" s="18"/>
      <c r="NH29" s="18"/>
      <c r="NI29" s="18"/>
      <c r="NJ29" s="18"/>
      <c r="NK29" s="18"/>
      <c r="NL29" s="18"/>
      <c r="NM29" s="18"/>
      <c r="NN29" s="18"/>
      <c r="NO29" s="18"/>
      <c r="NP29" s="18"/>
      <c r="NQ29" s="18"/>
      <c r="NR29" s="18"/>
      <c r="NS29" s="18"/>
      <c r="NT29" s="18"/>
      <c r="NU29" s="18"/>
      <c r="NV29" s="18"/>
      <c r="NW29" s="18"/>
      <c r="NX29" s="18"/>
      <c r="NY29" s="18"/>
      <c r="NZ29" s="18"/>
      <c r="OA29" s="18"/>
      <c r="OB29" s="18"/>
      <c r="OC29" s="18"/>
      <c r="OD29" s="18"/>
      <c r="OE29" s="18"/>
      <c r="OF29" s="18"/>
      <c r="OG29" s="18"/>
      <c r="OH29" s="18"/>
      <c r="OI29" s="18"/>
      <c r="OJ29" s="18"/>
      <c r="OK29" s="18"/>
      <c r="OL29" s="18"/>
      <c r="OM29" s="18"/>
      <c r="ON29" s="18"/>
      <c r="OO29" s="18"/>
      <c r="OP29" s="18"/>
      <c r="OQ29" s="18"/>
      <c r="OR29" s="18"/>
      <c r="OS29" s="18"/>
      <c r="OT29" s="18"/>
      <c r="OU29" s="18"/>
      <c r="OV29" s="18"/>
      <c r="OW29" s="18"/>
      <c r="OX29" s="18"/>
      <c r="OY29" s="18"/>
      <c r="OZ29" s="18"/>
      <c r="PA29" s="18"/>
      <c r="PB29" s="18"/>
      <c r="PC29" s="18"/>
      <c r="PD29" s="18"/>
      <c r="PE29" s="18"/>
      <c r="PF29" s="18"/>
      <c r="PG29" s="18"/>
      <c r="PH29" s="18"/>
      <c r="PI29" s="18"/>
      <c r="PJ29" s="18"/>
      <c r="PK29" s="18"/>
      <c r="PL29" s="18"/>
      <c r="PM29" s="18"/>
      <c r="PN29" s="18"/>
      <c r="PO29" s="18"/>
      <c r="PP29" s="18"/>
      <c r="PQ29" s="18"/>
      <c r="PR29" s="18"/>
      <c r="PS29" s="18"/>
      <c r="PT29" s="18"/>
      <c r="PU29" s="18"/>
      <c r="PV29" s="18"/>
      <c r="PW29" s="18"/>
      <c r="PX29" s="18"/>
      <c r="PY29" s="18"/>
      <c r="PZ29" s="18"/>
      <c r="QA29" s="18"/>
      <c r="QB29" s="18"/>
      <c r="QC29" s="18"/>
      <c r="QD29" s="18"/>
      <c r="QE29" s="18"/>
      <c r="QF29" s="18"/>
      <c r="QG29" s="18"/>
      <c r="QH29" s="18"/>
      <c r="QI29" s="18"/>
      <c r="QJ29" s="18"/>
      <c r="QK29" s="18"/>
      <c r="QL29" s="18"/>
      <c r="QM29" s="18"/>
      <c r="QN29" s="18"/>
      <c r="QO29" s="18"/>
      <c r="QP29" s="18"/>
      <c r="QQ29" s="18"/>
      <c r="QR29" s="18"/>
      <c r="QS29" s="18"/>
      <c r="QT29" s="18"/>
      <c r="QU29" s="18"/>
      <c r="QV29" s="18"/>
      <c r="QW29" s="18"/>
      <c r="QX29" s="18"/>
      <c r="QY29" s="18"/>
      <c r="QZ29" s="18"/>
      <c r="RA29" s="18"/>
      <c r="RB29" s="18"/>
      <c r="RC29" s="18"/>
      <c r="RD29" s="18"/>
      <c r="RE29" s="18"/>
      <c r="RF29" s="18"/>
      <c r="RG29" s="18"/>
      <c r="RH29" s="18"/>
      <c r="RI29" s="18"/>
      <c r="RJ29" s="18"/>
      <c r="RK29" s="18"/>
      <c r="RL29" s="18"/>
      <c r="RM29" s="18"/>
      <c r="RN29" s="18"/>
      <c r="RO29" s="18"/>
      <c r="RP29" s="18"/>
      <c r="RQ29" s="18"/>
      <c r="RR29" s="18"/>
      <c r="RS29" s="18"/>
      <c r="RT29" s="18"/>
      <c r="RU29" s="18"/>
      <c r="RV29" s="18"/>
      <c r="RW29" s="18"/>
      <c r="RX29" s="18"/>
      <c r="RY29" s="18"/>
      <c r="RZ29" s="18"/>
      <c r="SA29" s="18"/>
      <c r="SB29" s="18"/>
      <c r="SC29" s="18"/>
      <c r="SD29" s="18"/>
      <c r="SE29" s="18"/>
      <c r="SF29" s="18"/>
      <c r="SG29" s="18"/>
      <c r="SH29" s="18"/>
      <c r="SI29" s="18"/>
      <c r="SJ29" s="18"/>
      <c r="SK29" s="18"/>
      <c r="SL29" s="18"/>
      <c r="SM29" s="18"/>
      <c r="SN29" s="18"/>
      <c r="SO29" s="18"/>
      <c r="SP29" s="18"/>
      <c r="SQ29" s="18"/>
      <c r="SR29" s="18"/>
      <c r="SS29" s="18"/>
      <c r="ST29" s="18"/>
      <c r="SU29" s="18"/>
      <c r="SV29" s="18"/>
      <c r="SW29" s="18"/>
      <c r="SX29" s="18"/>
      <c r="SY29" s="18"/>
      <c r="SZ29" s="18"/>
      <c r="TA29" s="18"/>
      <c r="TB29" s="18"/>
      <c r="TC29" s="18"/>
      <c r="TD29" s="18"/>
      <c r="TE29" s="18"/>
      <c r="TF29" s="18"/>
      <c r="TG29" s="18"/>
      <c r="TH29" s="18"/>
      <c r="TI29" s="18"/>
      <c r="TJ29" s="18"/>
      <c r="TK29" s="18"/>
      <c r="TL29" s="18"/>
      <c r="TM29" s="18"/>
      <c r="TN29" s="18"/>
      <c r="TO29" s="18"/>
      <c r="TP29" s="18"/>
      <c r="TQ29" s="18"/>
      <c r="TR29" s="18"/>
      <c r="TS29" s="18"/>
      <c r="TT29" s="18"/>
      <c r="TU29" s="18"/>
      <c r="TV29" s="18"/>
      <c r="TW29" s="18"/>
      <c r="TX29" s="18"/>
      <c r="TY29" s="18"/>
      <c r="TZ29" s="18"/>
      <c r="UA29" s="18"/>
      <c r="UB29" s="18"/>
      <c r="UC29" s="18"/>
      <c r="UD29" s="18"/>
      <c r="UE29" s="18"/>
      <c r="UF29" s="18"/>
      <c r="UG29" s="18"/>
      <c r="UH29" s="18"/>
      <c r="UI29" s="18"/>
      <c r="UJ29" s="18"/>
      <c r="UK29" s="18"/>
      <c r="UL29" s="18"/>
      <c r="UM29" s="18"/>
      <c r="UN29" s="18"/>
      <c r="UO29" s="18"/>
      <c r="UP29" s="18"/>
      <c r="UQ29" s="18"/>
      <c r="UR29" s="18"/>
      <c r="US29" s="18"/>
      <c r="UT29" s="18"/>
      <c r="UU29" s="18"/>
      <c r="UV29" s="18"/>
      <c r="UW29" s="18"/>
      <c r="UX29" s="18"/>
      <c r="UY29" s="18"/>
      <c r="UZ29" s="18"/>
      <c r="VA29" s="18"/>
      <c r="VB29" s="18"/>
      <c r="VC29" s="18"/>
      <c r="VD29" s="18"/>
      <c r="VE29" s="18"/>
      <c r="VF29" s="18"/>
      <c r="VG29" s="18"/>
      <c r="VH29" s="18"/>
      <c r="VI29" s="18"/>
      <c r="VJ29" s="18"/>
      <c r="VK29" s="18"/>
      <c r="VL29" s="18"/>
      <c r="VM29" s="18"/>
      <c r="VN29" s="18"/>
      <c r="VO29" s="18"/>
      <c r="VP29" s="18"/>
      <c r="VQ29" s="18"/>
      <c r="VR29" s="18"/>
      <c r="VS29" s="18"/>
      <c r="VT29" s="18"/>
      <c r="VU29" s="18"/>
      <c r="VV29" s="18"/>
      <c r="VW29" s="18"/>
      <c r="VX29" s="18"/>
      <c r="VY29" s="18"/>
      <c r="VZ29" s="18"/>
      <c r="WA29" s="18"/>
      <c r="WB29" s="18"/>
      <c r="WC29" s="18"/>
      <c r="WD29" s="18"/>
      <c r="WE29" s="18"/>
      <c r="WF29" s="18"/>
      <c r="WG29" s="18"/>
      <c r="WH29" s="18"/>
      <c r="WI29" s="18"/>
      <c r="WJ29" s="18"/>
      <c r="WK29" s="18"/>
      <c r="WL29" s="18"/>
      <c r="WM29" s="18"/>
      <c r="WN29" s="18"/>
      <c r="WO29" s="18"/>
      <c r="WP29" s="18"/>
      <c r="WQ29" s="18"/>
      <c r="WR29" s="18"/>
      <c r="WS29" s="18"/>
      <c r="WT29" s="18"/>
      <c r="WU29" s="18"/>
      <c r="WV29" s="18"/>
      <c r="WW29" s="18"/>
      <c r="WX29" s="18"/>
      <c r="WY29" s="18"/>
      <c r="WZ29" s="18"/>
      <c r="XA29" s="18"/>
      <c r="XB29" s="18"/>
      <c r="XC29" s="18"/>
      <c r="XD29" s="18"/>
      <c r="XE29" s="18"/>
      <c r="XF29" s="18"/>
      <c r="XG29" s="18"/>
      <c r="XH29" s="18"/>
      <c r="XI29" s="18"/>
      <c r="XJ29" s="18"/>
      <c r="XK29" s="18"/>
      <c r="XL29" s="18"/>
      <c r="XM29" s="18"/>
      <c r="XN29" s="18"/>
      <c r="XO29" s="18"/>
      <c r="XP29" s="18"/>
      <c r="XQ29" s="18"/>
      <c r="XR29" s="18"/>
      <c r="XS29" s="18"/>
      <c r="XT29" s="18"/>
      <c r="XU29" s="18"/>
      <c r="XV29" s="18"/>
      <c r="XW29" s="18"/>
      <c r="XX29" s="18"/>
      <c r="XY29" s="18"/>
      <c r="XZ29" s="18"/>
      <c r="YA29" s="18"/>
      <c r="YB29" s="18"/>
      <c r="YC29" s="18"/>
      <c r="YD29" s="18"/>
      <c r="YE29" s="18"/>
      <c r="YF29" s="18"/>
      <c r="YG29" s="18"/>
      <c r="YH29" s="18"/>
      <c r="YI29" s="18"/>
      <c r="YJ29" s="18"/>
      <c r="YK29" s="18"/>
      <c r="YL29" s="18"/>
      <c r="YM29" s="18"/>
      <c r="YN29" s="18"/>
      <c r="YO29" s="18"/>
      <c r="YP29" s="18"/>
      <c r="YQ29" s="18"/>
      <c r="YR29" s="18"/>
      <c r="YS29" s="18"/>
      <c r="YT29" s="18"/>
      <c r="YU29" s="18"/>
      <c r="YV29" s="18"/>
      <c r="YW29" s="18"/>
      <c r="YX29" s="18"/>
      <c r="YY29" s="18"/>
      <c r="YZ29" s="18"/>
      <c r="ZA29" s="18"/>
      <c r="ZB29" s="18"/>
      <c r="ZC29" s="18"/>
      <c r="ZD29" s="18"/>
      <c r="ZE29" s="18"/>
      <c r="ZF29" s="18"/>
      <c r="ZG29" s="18"/>
      <c r="ZH29" s="18"/>
      <c r="ZI29" s="18"/>
      <c r="ZJ29" s="18"/>
      <c r="ZK29" s="18"/>
      <c r="ZL29" s="18"/>
      <c r="ZM29" s="18"/>
      <c r="ZN29" s="18"/>
      <c r="ZO29" s="18"/>
      <c r="ZP29" s="18"/>
      <c r="ZQ29" s="18"/>
      <c r="ZR29" s="18"/>
      <c r="ZS29" s="18"/>
      <c r="ZT29" s="18"/>
      <c r="ZU29" s="18"/>
      <c r="ZV29" s="18"/>
      <c r="ZW29" s="18"/>
      <c r="ZX29" s="18"/>
      <c r="ZY29" s="18"/>
      <c r="ZZ29" s="18"/>
      <c r="AAA29" s="18"/>
      <c r="AAB29" s="18"/>
      <c r="AAC29" s="18"/>
      <c r="AAD29" s="18"/>
      <c r="AAE29" s="18"/>
      <c r="AAF29" s="18"/>
      <c r="AAG29" s="18"/>
      <c r="AAH29" s="18"/>
      <c r="AAI29" s="18"/>
      <c r="AAJ29" s="18"/>
      <c r="AAK29" s="18"/>
      <c r="AAL29" s="18"/>
      <c r="AAM29" s="18"/>
      <c r="AAN29" s="18"/>
      <c r="AAO29" s="18"/>
      <c r="AAP29" s="18"/>
      <c r="AAQ29" s="18"/>
      <c r="AAR29" s="18"/>
      <c r="AAS29" s="18"/>
      <c r="AAT29" s="18"/>
      <c r="AAU29" s="18"/>
      <c r="AAV29" s="18"/>
      <c r="AAW29" s="18"/>
      <c r="AAX29" s="18"/>
      <c r="AAY29" s="18"/>
      <c r="AAZ29" s="18"/>
      <c r="ABA29" s="18"/>
      <c r="ABB29" s="18"/>
      <c r="ABC29" s="18"/>
      <c r="ABD29" s="18"/>
      <c r="ABE29" s="18"/>
      <c r="ABF29" s="18"/>
      <c r="ABG29" s="18"/>
      <c r="ABH29" s="18"/>
      <c r="ABI29" s="18"/>
      <c r="ABJ29" s="18"/>
      <c r="ABK29" s="18"/>
      <c r="ABL29" s="18"/>
      <c r="ABM29" s="18"/>
      <c r="ABN29" s="18"/>
      <c r="ABO29" s="18"/>
      <c r="ABP29" s="18"/>
      <c r="ABQ29" s="18"/>
      <c r="ABR29" s="18"/>
      <c r="ABS29" s="18"/>
      <c r="ABT29" s="18"/>
      <c r="ABU29" s="18"/>
      <c r="ABV29" s="18"/>
      <c r="ABW29" s="18"/>
      <c r="ABX29" s="18"/>
      <c r="ABY29" s="18"/>
      <c r="ABZ29" s="18"/>
      <c r="ACA29" s="18"/>
      <c r="ACB29" s="18"/>
      <c r="ACC29" s="18"/>
      <c r="ACD29" s="18"/>
      <c r="ACE29" s="18"/>
      <c r="ACF29" s="18"/>
      <c r="ACG29" s="18"/>
      <c r="ACH29" s="18"/>
      <c r="ACI29" s="18"/>
      <c r="ACJ29" s="18"/>
      <c r="ACK29" s="18"/>
      <c r="ACL29" s="18"/>
      <c r="ACM29" s="18"/>
      <c r="ACN29" s="18"/>
      <c r="ACO29" s="18"/>
      <c r="ACP29" s="18"/>
      <c r="ACQ29" s="18"/>
      <c r="ACR29" s="18"/>
      <c r="ACS29" s="18"/>
      <c r="ACT29" s="18"/>
      <c r="ACU29" s="18"/>
      <c r="ACV29" s="18"/>
      <c r="ACW29" s="18"/>
      <c r="ACX29" s="18"/>
      <c r="ACY29" s="18"/>
      <c r="ACZ29" s="18"/>
      <c r="ADA29" s="18"/>
      <c r="ADB29" s="18"/>
      <c r="ADC29" s="18"/>
      <c r="ADD29" s="18"/>
      <c r="ADE29" s="18"/>
      <c r="ADF29" s="18"/>
      <c r="ADG29" s="18"/>
      <c r="ADH29" s="18"/>
      <c r="ADI29" s="18"/>
      <c r="ADJ29" s="18"/>
      <c r="ADK29" s="18"/>
      <c r="ADL29" s="18"/>
      <c r="ADM29" s="18"/>
      <c r="ADN29" s="18"/>
      <c r="ADO29" s="18"/>
      <c r="ADP29" s="18"/>
      <c r="ADQ29" s="18"/>
      <c r="ADR29" s="18"/>
      <c r="ADS29" s="18"/>
      <c r="ADT29" s="18"/>
      <c r="ADU29" s="18"/>
      <c r="ADV29" s="18"/>
      <c r="ADW29" s="18"/>
      <c r="ADX29" s="18"/>
      <c r="ADY29" s="18"/>
      <c r="ADZ29" s="18"/>
      <c r="AEA29" s="18"/>
      <c r="AEB29" s="18"/>
      <c r="AEC29" s="18"/>
      <c r="AED29" s="18"/>
      <c r="AEE29" s="18"/>
      <c r="AEF29" s="18"/>
      <c r="AEG29" s="18"/>
      <c r="AEH29" s="18"/>
      <c r="AEI29" s="18"/>
      <c r="AEJ29" s="18"/>
      <c r="AEK29" s="18"/>
      <c r="AEL29" s="18"/>
      <c r="AEM29" s="18"/>
      <c r="AEN29" s="18"/>
      <c r="AEO29" s="18"/>
      <c r="AEP29" s="18"/>
      <c r="AEQ29" s="18"/>
      <c r="AER29" s="18"/>
      <c r="AES29" s="18"/>
      <c r="AET29" s="18"/>
      <c r="AEU29" s="18"/>
      <c r="AEV29" s="18"/>
      <c r="AEW29" s="18"/>
      <c r="AEX29" s="18"/>
      <c r="AEY29" s="18"/>
      <c r="AEZ29" s="18"/>
      <c r="AFA29" s="18"/>
      <c r="AFB29" s="18"/>
      <c r="AFC29" s="18"/>
      <c r="AFD29" s="18"/>
      <c r="AFE29" s="18"/>
      <c r="AFF29" s="18"/>
      <c r="AFG29" s="18"/>
      <c r="AFH29" s="18"/>
      <c r="AFI29" s="18"/>
      <c r="AFJ29" s="18"/>
      <c r="AFK29" s="18"/>
      <c r="AFL29" s="18"/>
      <c r="AFM29" s="18"/>
      <c r="AFN29" s="18"/>
      <c r="AFO29" s="18"/>
      <c r="AFP29" s="18"/>
      <c r="AFQ29" s="18"/>
      <c r="AFR29" s="18"/>
      <c r="AFS29" s="18"/>
      <c r="AFT29" s="18"/>
      <c r="AFU29" s="18"/>
      <c r="AFV29" s="18"/>
      <c r="AFW29" s="18"/>
      <c r="AFX29" s="18"/>
      <c r="AFY29" s="18"/>
      <c r="AFZ29" s="18"/>
      <c r="AGA29" s="18"/>
      <c r="AGB29" s="18"/>
      <c r="AGC29" s="18"/>
      <c r="AGD29" s="18"/>
      <c r="AGE29" s="18"/>
      <c r="AGF29" s="18"/>
      <c r="AGG29" s="18"/>
      <c r="AGH29" s="18"/>
      <c r="AGI29" s="18"/>
      <c r="AGJ29" s="18"/>
      <c r="AGK29" s="18"/>
      <c r="AGL29" s="18"/>
      <c r="AGM29" s="18"/>
      <c r="AGN29" s="18"/>
      <c r="AGO29" s="18"/>
      <c r="AGP29" s="18"/>
      <c r="AGQ29" s="18"/>
      <c r="AGR29" s="18"/>
      <c r="AGS29" s="18"/>
      <c r="AGT29" s="18"/>
      <c r="AGU29" s="18"/>
      <c r="AGV29" s="18"/>
      <c r="AGW29" s="18"/>
      <c r="AGX29" s="18"/>
      <c r="AGY29" s="18"/>
      <c r="AGZ29" s="18"/>
      <c r="AHA29" s="18"/>
      <c r="AHB29" s="18"/>
      <c r="AHC29" s="18"/>
      <c r="AHD29" s="18"/>
      <c r="AHE29" s="18"/>
      <c r="AHF29" s="18"/>
      <c r="AHG29" s="18"/>
      <c r="AHH29" s="18"/>
      <c r="AHI29" s="18"/>
      <c r="AHJ29" s="18"/>
      <c r="AHK29" s="18"/>
      <c r="AHL29" s="18"/>
      <c r="AHM29" s="18"/>
      <c r="AHN29" s="18"/>
      <c r="AHO29" s="18"/>
      <c r="AHP29" s="18"/>
      <c r="AHQ29" s="18"/>
      <c r="AHR29" s="18"/>
      <c r="AHS29" s="18"/>
      <c r="AHT29" s="18"/>
      <c r="AHU29" s="18"/>
      <c r="AHV29" s="18"/>
      <c r="AHW29" s="18"/>
      <c r="AHX29" s="18"/>
      <c r="AHY29" s="18"/>
      <c r="AHZ29" s="18"/>
      <c r="AIA29" s="18"/>
      <c r="AIB29" s="18"/>
      <c r="AIC29" s="18"/>
      <c r="AID29" s="18"/>
      <c r="AIE29" s="18"/>
      <c r="AIF29" s="18"/>
      <c r="AIG29" s="18"/>
      <c r="AIH29" s="18"/>
      <c r="AII29" s="18"/>
      <c r="AIJ29" s="18"/>
      <c r="AIK29" s="18"/>
      <c r="AIL29" s="18"/>
      <c r="AIM29" s="18"/>
      <c r="AIN29" s="18"/>
      <c r="AIO29" s="18"/>
      <c r="AIP29" s="18"/>
      <c r="AIQ29" s="18"/>
      <c r="AIR29" s="18"/>
      <c r="AIS29" s="18"/>
      <c r="AIT29" s="18"/>
      <c r="AIU29" s="18"/>
      <c r="AIV29" s="18"/>
      <c r="AIW29" s="18"/>
      <c r="AIX29" s="18"/>
      <c r="AIY29" s="18"/>
      <c r="AIZ29" s="18"/>
      <c r="AJA29" s="18"/>
      <c r="AJB29" s="18"/>
      <c r="AJC29" s="18"/>
      <c r="AJD29" s="18"/>
      <c r="AJE29" s="18"/>
      <c r="AJF29" s="18"/>
      <c r="AJG29" s="18"/>
      <c r="AJH29" s="18"/>
      <c r="AJI29" s="18"/>
      <c r="AJJ29" s="18"/>
      <c r="AJK29" s="18"/>
      <c r="AJL29" s="18"/>
      <c r="AJM29" s="18"/>
      <c r="AJN29" s="18"/>
      <c r="AJO29" s="18"/>
      <c r="AJP29" s="18"/>
      <c r="AJQ29" s="18"/>
      <c r="AJR29" s="18"/>
      <c r="AJS29" s="18"/>
      <c r="AJT29" s="18"/>
      <c r="AJU29" s="18"/>
      <c r="AJV29" s="18"/>
      <c r="AJW29" s="18"/>
      <c r="AJX29" s="18"/>
      <c r="AJY29" s="18"/>
      <c r="AJZ29" s="18"/>
      <c r="AKA29" s="18"/>
      <c r="AKB29" s="18"/>
      <c r="AKC29" s="18"/>
      <c r="AKD29" s="18"/>
      <c r="AKE29" s="18"/>
      <c r="AKF29" s="18"/>
      <c r="AKG29" s="18"/>
      <c r="AKH29" s="18"/>
      <c r="AKI29" s="18"/>
      <c r="AKJ29" s="18"/>
      <c r="AKK29" s="18"/>
      <c r="AKL29" s="18"/>
      <c r="AKM29" s="18"/>
      <c r="AKN29" s="18"/>
      <c r="AKO29" s="18"/>
      <c r="AKP29" s="18"/>
      <c r="AKQ29" s="18"/>
      <c r="AKR29" s="18"/>
      <c r="AKS29" s="18"/>
      <c r="AKT29" s="18"/>
      <c r="AKU29" s="18"/>
      <c r="AKV29" s="18"/>
      <c r="AKW29" s="18"/>
      <c r="AKX29" s="18"/>
      <c r="AKY29" s="18"/>
      <c r="AKZ29" s="18"/>
      <c r="ALA29" s="18"/>
      <c r="ALB29" s="18"/>
      <c r="ALC29" s="18"/>
      <c r="ALD29" s="18"/>
      <c r="ALE29" s="18"/>
      <c r="ALF29" s="18"/>
      <c r="ALG29" s="18"/>
      <c r="ALH29" s="18"/>
      <c r="ALI29" s="18"/>
      <c r="ALJ29" s="18"/>
      <c r="ALK29" s="18"/>
      <c r="ALL29" s="18"/>
      <c r="ALM29" s="18"/>
      <c r="ALN29" s="18"/>
      <c r="ALO29" s="18"/>
      <c r="ALP29" s="18"/>
      <c r="ALQ29" s="18"/>
      <c r="ALR29" s="18"/>
      <c r="ALS29" s="18"/>
      <c r="ALT29" s="18"/>
      <c r="ALU29" s="18"/>
      <c r="ALV29" s="18"/>
      <c r="ALW29" s="18"/>
      <c r="ALX29" s="18"/>
      <c r="ALY29" s="18"/>
      <c r="ALZ29" s="18"/>
      <c r="AMA29" s="18"/>
      <c r="AMB29" s="18"/>
      <c r="AMC29" s="18"/>
      <c r="AMD29" s="18"/>
      <c r="AME29" s="18"/>
      <c r="AMF29" s="18"/>
      <c r="AMG29" s="18"/>
      <c r="AMH29" s="18"/>
    </row>
    <row r="30" spans="1:1022" s="23" customFormat="1" x14ac:dyDescent="0.3">
      <c r="A30" s="33">
        <v>126</v>
      </c>
      <c r="B30" s="19"/>
      <c r="C30" s="19"/>
      <c r="D30" s="57" t="s">
        <v>289</v>
      </c>
      <c r="E30" s="34" t="s">
        <v>439</v>
      </c>
      <c r="F30" s="39"/>
      <c r="G30" s="19"/>
      <c r="H30" s="38" t="s">
        <v>281</v>
      </c>
      <c r="I30" s="40"/>
      <c r="J30" s="31"/>
      <c r="K30" s="31"/>
      <c r="L30" s="31"/>
      <c r="M30" s="32"/>
      <c r="N30" s="32"/>
      <c r="O30" s="18"/>
      <c r="P30" s="36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18"/>
      <c r="IB30" s="18"/>
      <c r="IC30" s="18"/>
      <c r="ID30" s="18"/>
      <c r="IE30" s="18"/>
      <c r="IF30" s="18"/>
      <c r="IG30" s="18"/>
      <c r="IH30" s="18"/>
      <c r="II30" s="18"/>
      <c r="IJ30" s="18"/>
      <c r="IK30" s="18"/>
      <c r="IL30" s="18"/>
      <c r="IM30" s="18"/>
      <c r="IN30" s="18"/>
      <c r="IO30" s="18"/>
      <c r="IP30" s="18"/>
      <c r="IQ30" s="18"/>
      <c r="IR30" s="18"/>
      <c r="IS30" s="18"/>
      <c r="IT30" s="18"/>
      <c r="IU30" s="18"/>
      <c r="IV30" s="18"/>
      <c r="IW30" s="18"/>
      <c r="IX30" s="18"/>
      <c r="IY30" s="18"/>
      <c r="IZ30" s="18"/>
      <c r="JA30" s="18"/>
      <c r="JB30" s="18"/>
      <c r="JC30" s="18"/>
      <c r="JD30" s="18"/>
      <c r="JE30" s="18"/>
      <c r="JF30" s="18"/>
      <c r="JG30" s="18"/>
      <c r="JH30" s="18"/>
      <c r="JI30" s="18"/>
      <c r="JJ30" s="18"/>
      <c r="JK30" s="18"/>
      <c r="JL30" s="18"/>
      <c r="JM30" s="18"/>
      <c r="JN30" s="18"/>
      <c r="JO30" s="18"/>
      <c r="JP30" s="18"/>
      <c r="JQ30" s="18"/>
      <c r="JR30" s="18"/>
      <c r="JS30" s="18"/>
      <c r="JT30" s="18"/>
      <c r="JU30" s="18"/>
      <c r="JV30" s="18"/>
      <c r="JW30" s="18"/>
      <c r="JX30" s="18"/>
      <c r="JY30" s="18"/>
      <c r="JZ30" s="18"/>
      <c r="KA30" s="18"/>
      <c r="KB30" s="18"/>
      <c r="KC30" s="18"/>
      <c r="KD30" s="18"/>
      <c r="KE30" s="18"/>
      <c r="KF30" s="18"/>
      <c r="KG30" s="18"/>
      <c r="KH30" s="18"/>
      <c r="KI30" s="18"/>
      <c r="KJ30" s="18"/>
      <c r="KK30" s="18"/>
      <c r="KL30" s="18"/>
      <c r="KM30" s="18"/>
      <c r="KN30" s="18"/>
      <c r="KO30" s="18"/>
      <c r="KP30" s="18"/>
      <c r="KQ30" s="18"/>
      <c r="KR30" s="18"/>
      <c r="KS30" s="18"/>
      <c r="KT30" s="18"/>
      <c r="KU30" s="18"/>
      <c r="KV30" s="18"/>
      <c r="KW30" s="18"/>
      <c r="KX30" s="18"/>
      <c r="KY30" s="18"/>
      <c r="KZ30" s="18"/>
      <c r="LA30" s="18"/>
      <c r="LB30" s="18"/>
      <c r="LC30" s="18"/>
      <c r="LD30" s="18"/>
      <c r="LE30" s="18"/>
      <c r="LF30" s="18"/>
      <c r="LG30" s="18"/>
      <c r="LH30" s="18"/>
      <c r="LI30" s="18"/>
      <c r="LJ30" s="18"/>
      <c r="LK30" s="18"/>
      <c r="LL30" s="18"/>
      <c r="LM30" s="18"/>
      <c r="LN30" s="18"/>
      <c r="LO30" s="18"/>
      <c r="LP30" s="18"/>
      <c r="LQ30" s="18"/>
      <c r="LR30" s="18"/>
      <c r="LS30" s="18"/>
      <c r="LT30" s="18"/>
      <c r="LU30" s="18"/>
      <c r="LV30" s="18"/>
      <c r="LW30" s="18"/>
      <c r="LX30" s="18"/>
      <c r="LY30" s="18"/>
      <c r="LZ30" s="18"/>
      <c r="MA30" s="18"/>
      <c r="MB30" s="18"/>
      <c r="MC30" s="18"/>
      <c r="MD30" s="18"/>
      <c r="ME30" s="18"/>
      <c r="MF30" s="18"/>
      <c r="MG30" s="18"/>
      <c r="MH30" s="18"/>
      <c r="MI30" s="18"/>
      <c r="MJ30" s="18"/>
      <c r="MK30" s="18"/>
      <c r="ML30" s="18"/>
      <c r="MM30" s="18"/>
      <c r="MN30" s="18"/>
      <c r="MO30" s="18"/>
      <c r="MP30" s="18"/>
      <c r="MQ30" s="18"/>
      <c r="MR30" s="18"/>
      <c r="MS30" s="18"/>
      <c r="MT30" s="18"/>
      <c r="MU30" s="18"/>
      <c r="MV30" s="18"/>
      <c r="MW30" s="18"/>
      <c r="MX30" s="18"/>
      <c r="MY30" s="18"/>
      <c r="MZ30" s="18"/>
      <c r="NA30" s="18"/>
      <c r="NB30" s="18"/>
      <c r="NC30" s="18"/>
      <c r="ND30" s="18"/>
      <c r="NE30" s="18"/>
      <c r="NF30" s="18"/>
      <c r="NG30" s="18"/>
      <c r="NH30" s="18"/>
      <c r="NI30" s="18"/>
      <c r="NJ30" s="18"/>
      <c r="NK30" s="18"/>
      <c r="NL30" s="18"/>
      <c r="NM30" s="18"/>
      <c r="NN30" s="18"/>
      <c r="NO30" s="18"/>
      <c r="NP30" s="18"/>
      <c r="NQ30" s="18"/>
      <c r="NR30" s="18"/>
      <c r="NS30" s="18"/>
      <c r="NT30" s="18"/>
      <c r="NU30" s="18"/>
      <c r="NV30" s="18"/>
      <c r="NW30" s="18"/>
      <c r="NX30" s="18"/>
      <c r="NY30" s="18"/>
      <c r="NZ30" s="18"/>
      <c r="OA30" s="18"/>
      <c r="OB30" s="18"/>
      <c r="OC30" s="18"/>
      <c r="OD30" s="18"/>
      <c r="OE30" s="18"/>
      <c r="OF30" s="18"/>
      <c r="OG30" s="18"/>
      <c r="OH30" s="18"/>
      <c r="OI30" s="18"/>
      <c r="OJ30" s="18"/>
      <c r="OK30" s="18"/>
      <c r="OL30" s="18"/>
      <c r="OM30" s="18"/>
      <c r="ON30" s="18"/>
      <c r="OO30" s="18"/>
      <c r="OP30" s="18"/>
      <c r="OQ30" s="18"/>
      <c r="OR30" s="18"/>
      <c r="OS30" s="18"/>
      <c r="OT30" s="18"/>
      <c r="OU30" s="18"/>
      <c r="OV30" s="18"/>
      <c r="OW30" s="18"/>
      <c r="OX30" s="18"/>
      <c r="OY30" s="18"/>
      <c r="OZ30" s="18"/>
      <c r="PA30" s="18"/>
      <c r="PB30" s="18"/>
      <c r="PC30" s="18"/>
      <c r="PD30" s="18"/>
      <c r="PE30" s="18"/>
      <c r="PF30" s="18"/>
      <c r="PG30" s="18"/>
      <c r="PH30" s="18"/>
      <c r="PI30" s="18"/>
      <c r="PJ30" s="18"/>
      <c r="PK30" s="18"/>
      <c r="PL30" s="18"/>
      <c r="PM30" s="18"/>
      <c r="PN30" s="18"/>
      <c r="PO30" s="18"/>
      <c r="PP30" s="18"/>
      <c r="PQ30" s="18"/>
      <c r="PR30" s="18"/>
      <c r="PS30" s="18"/>
      <c r="PT30" s="18"/>
      <c r="PU30" s="18"/>
      <c r="PV30" s="18"/>
      <c r="PW30" s="18"/>
      <c r="PX30" s="18"/>
      <c r="PY30" s="18"/>
      <c r="PZ30" s="18"/>
      <c r="QA30" s="18"/>
      <c r="QB30" s="18"/>
      <c r="QC30" s="18"/>
      <c r="QD30" s="18"/>
      <c r="QE30" s="18"/>
      <c r="QF30" s="18"/>
      <c r="QG30" s="18"/>
      <c r="QH30" s="18"/>
      <c r="QI30" s="18"/>
      <c r="QJ30" s="18"/>
      <c r="QK30" s="18"/>
      <c r="QL30" s="18"/>
      <c r="QM30" s="18"/>
      <c r="QN30" s="18"/>
      <c r="QO30" s="18"/>
      <c r="QP30" s="18"/>
      <c r="QQ30" s="18"/>
      <c r="QR30" s="18"/>
      <c r="QS30" s="18"/>
      <c r="QT30" s="18"/>
      <c r="QU30" s="18"/>
      <c r="QV30" s="18"/>
      <c r="QW30" s="18"/>
      <c r="QX30" s="18"/>
      <c r="QY30" s="18"/>
      <c r="QZ30" s="18"/>
      <c r="RA30" s="18"/>
      <c r="RB30" s="18"/>
      <c r="RC30" s="18"/>
      <c r="RD30" s="18"/>
      <c r="RE30" s="18"/>
      <c r="RF30" s="18"/>
      <c r="RG30" s="18"/>
      <c r="RH30" s="18"/>
      <c r="RI30" s="18"/>
      <c r="RJ30" s="18"/>
      <c r="RK30" s="18"/>
      <c r="RL30" s="18"/>
      <c r="RM30" s="18"/>
      <c r="RN30" s="18"/>
      <c r="RO30" s="18"/>
      <c r="RP30" s="18"/>
      <c r="RQ30" s="18"/>
      <c r="RR30" s="18"/>
      <c r="RS30" s="18"/>
      <c r="RT30" s="18"/>
      <c r="RU30" s="18"/>
      <c r="RV30" s="18"/>
      <c r="RW30" s="18"/>
      <c r="RX30" s="18"/>
      <c r="RY30" s="18"/>
      <c r="RZ30" s="18"/>
      <c r="SA30" s="18"/>
      <c r="SB30" s="18"/>
      <c r="SC30" s="18"/>
      <c r="SD30" s="18"/>
      <c r="SE30" s="18"/>
      <c r="SF30" s="18"/>
      <c r="SG30" s="18"/>
      <c r="SH30" s="18"/>
      <c r="SI30" s="18"/>
      <c r="SJ30" s="18"/>
      <c r="SK30" s="18"/>
      <c r="SL30" s="18"/>
      <c r="SM30" s="18"/>
      <c r="SN30" s="18"/>
      <c r="SO30" s="18"/>
      <c r="SP30" s="18"/>
      <c r="SQ30" s="18"/>
      <c r="SR30" s="18"/>
      <c r="SS30" s="18"/>
      <c r="ST30" s="18"/>
      <c r="SU30" s="18"/>
      <c r="SV30" s="18"/>
      <c r="SW30" s="18"/>
      <c r="SX30" s="18"/>
      <c r="SY30" s="18"/>
      <c r="SZ30" s="18"/>
      <c r="TA30" s="18"/>
      <c r="TB30" s="18"/>
      <c r="TC30" s="18"/>
      <c r="TD30" s="18"/>
      <c r="TE30" s="18"/>
      <c r="TF30" s="18"/>
      <c r="TG30" s="18"/>
      <c r="TH30" s="18"/>
      <c r="TI30" s="18"/>
      <c r="TJ30" s="18"/>
      <c r="TK30" s="18"/>
      <c r="TL30" s="18"/>
      <c r="TM30" s="18"/>
      <c r="TN30" s="18"/>
      <c r="TO30" s="18"/>
      <c r="TP30" s="18"/>
      <c r="TQ30" s="18"/>
      <c r="TR30" s="18"/>
      <c r="TS30" s="18"/>
      <c r="TT30" s="18"/>
      <c r="TU30" s="18"/>
      <c r="TV30" s="18"/>
      <c r="TW30" s="18"/>
      <c r="TX30" s="18"/>
      <c r="TY30" s="18"/>
      <c r="TZ30" s="18"/>
      <c r="UA30" s="18"/>
      <c r="UB30" s="18"/>
      <c r="UC30" s="18"/>
      <c r="UD30" s="18"/>
      <c r="UE30" s="18"/>
      <c r="UF30" s="18"/>
      <c r="UG30" s="18"/>
      <c r="UH30" s="18"/>
      <c r="UI30" s="18"/>
      <c r="UJ30" s="18"/>
      <c r="UK30" s="18"/>
      <c r="UL30" s="18"/>
      <c r="UM30" s="18"/>
      <c r="UN30" s="18"/>
      <c r="UO30" s="18"/>
      <c r="UP30" s="18"/>
      <c r="UQ30" s="18"/>
      <c r="UR30" s="18"/>
      <c r="US30" s="18"/>
      <c r="UT30" s="18"/>
      <c r="UU30" s="18"/>
      <c r="UV30" s="18"/>
      <c r="UW30" s="18"/>
      <c r="UX30" s="18"/>
      <c r="UY30" s="18"/>
      <c r="UZ30" s="18"/>
      <c r="VA30" s="18"/>
      <c r="VB30" s="18"/>
      <c r="VC30" s="18"/>
      <c r="VD30" s="18"/>
      <c r="VE30" s="18"/>
      <c r="VF30" s="18"/>
      <c r="VG30" s="18"/>
      <c r="VH30" s="18"/>
      <c r="VI30" s="18"/>
      <c r="VJ30" s="18"/>
      <c r="VK30" s="18"/>
      <c r="VL30" s="18"/>
      <c r="VM30" s="18"/>
      <c r="VN30" s="18"/>
      <c r="VO30" s="18"/>
      <c r="VP30" s="18"/>
      <c r="VQ30" s="18"/>
      <c r="VR30" s="18"/>
      <c r="VS30" s="18"/>
      <c r="VT30" s="18"/>
      <c r="VU30" s="18"/>
      <c r="VV30" s="18"/>
      <c r="VW30" s="18"/>
      <c r="VX30" s="18"/>
      <c r="VY30" s="18"/>
      <c r="VZ30" s="18"/>
      <c r="WA30" s="18"/>
      <c r="WB30" s="18"/>
      <c r="WC30" s="18"/>
      <c r="WD30" s="18"/>
      <c r="WE30" s="18"/>
      <c r="WF30" s="18"/>
      <c r="WG30" s="18"/>
      <c r="WH30" s="18"/>
      <c r="WI30" s="18"/>
      <c r="WJ30" s="18"/>
      <c r="WK30" s="18"/>
      <c r="WL30" s="18"/>
      <c r="WM30" s="18"/>
      <c r="WN30" s="18"/>
      <c r="WO30" s="18"/>
      <c r="WP30" s="18"/>
      <c r="WQ30" s="18"/>
      <c r="WR30" s="18"/>
      <c r="WS30" s="18"/>
      <c r="WT30" s="18"/>
      <c r="WU30" s="18"/>
      <c r="WV30" s="18"/>
      <c r="WW30" s="18"/>
      <c r="WX30" s="18"/>
      <c r="WY30" s="18"/>
      <c r="WZ30" s="18"/>
      <c r="XA30" s="18"/>
      <c r="XB30" s="18"/>
      <c r="XC30" s="18"/>
      <c r="XD30" s="18"/>
      <c r="XE30" s="18"/>
      <c r="XF30" s="18"/>
      <c r="XG30" s="18"/>
      <c r="XH30" s="18"/>
      <c r="XI30" s="18"/>
      <c r="XJ30" s="18"/>
      <c r="XK30" s="18"/>
      <c r="XL30" s="18"/>
      <c r="XM30" s="18"/>
      <c r="XN30" s="18"/>
      <c r="XO30" s="18"/>
      <c r="XP30" s="18"/>
      <c r="XQ30" s="18"/>
      <c r="XR30" s="18"/>
      <c r="XS30" s="18"/>
      <c r="XT30" s="18"/>
      <c r="XU30" s="18"/>
      <c r="XV30" s="18"/>
      <c r="XW30" s="18"/>
      <c r="XX30" s="18"/>
      <c r="XY30" s="18"/>
      <c r="XZ30" s="18"/>
      <c r="YA30" s="18"/>
      <c r="YB30" s="18"/>
      <c r="YC30" s="18"/>
      <c r="YD30" s="18"/>
      <c r="YE30" s="18"/>
      <c r="YF30" s="18"/>
      <c r="YG30" s="18"/>
      <c r="YH30" s="18"/>
      <c r="YI30" s="18"/>
      <c r="YJ30" s="18"/>
      <c r="YK30" s="18"/>
      <c r="YL30" s="18"/>
      <c r="YM30" s="18"/>
      <c r="YN30" s="18"/>
      <c r="YO30" s="18"/>
      <c r="YP30" s="18"/>
      <c r="YQ30" s="18"/>
      <c r="YR30" s="18"/>
      <c r="YS30" s="18"/>
      <c r="YT30" s="18"/>
      <c r="YU30" s="18"/>
      <c r="YV30" s="18"/>
      <c r="YW30" s="18"/>
      <c r="YX30" s="18"/>
      <c r="YY30" s="18"/>
      <c r="YZ30" s="18"/>
      <c r="ZA30" s="18"/>
      <c r="ZB30" s="18"/>
      <c r="ZC30" s="18"/>
      <c r="ZD30" s="18"/>
      <c r="ZE30" s="18"/>
      <c r="ZF30" s="18"/>
      <c r="ZG30" s="18"/>
      <c r="ZH30" s="18"/>
      <c r="ZI30" s="18"/>
      <c r="ZJ30" s="18"/>
      <c r="ZK30" s="18"/>
      <c r="ZL30" s="18"/>
      <c r="ZM30" s="18"/>
      <c r="ZN30" s="18"/>
      <c r="ZO30" s="18"/>
      <c r="ZP30" s="18"/>
      <c r="ZQ30" s="18"/>
      <c r="ZR30" s="18"/>
      <c r="ZS30" s="18"/>
      <c r="ZT30" s="18"/>
      <c r="ZU30" s="18"/>
      <c r="ZV30" s="18"/>
      <c r="ZW30" s="18"/>
      <c r="ZX30" s="18"/>
      <c r="ZY30" s="18"/>
      <c r="ZZ30" s="18"/>
      <c r="AAA30" s="18"/>
      <c r="AAB30" s="18"/>
      <c r="AAC30" s="18"/>
      <c r="AAD30" s="18"/>
      <c r="AAE30" s="18"/>
      <c r="AAF30" s="18"/>
      <c r="AAG30" s="18"/>
      <c r="AAH30" s="18"/>
      <c r="AAI30" s="18"/>
      <c r="AAJ30" s="18"/>
      <c r="AAK30" s="18"/>
      <c r="AAL30" s="18"/>
      <c r="AAM30" s="18"/>
      <c r="AAN30" s="18"/>
      <c r="AAO30" s="18"/>
      <c r="AAP30" s="18"/>
      <c r="AAQ30" s="18"/>
      <c r="AAR30" s="18"/>
      <c r="AAS30" s="18"/>
      <c r="AAT30" s="18"/>
      <c r="AAU30" s="18"/>
      <c r="AAV30" s="18"/>
      <c r="AAW30" s="18"/>
      <c r="AAX30" s="18"/>
      <c r="AAY30" s="18"/>
      <c r="AAZ30" s="18"/>
      <c r="ABA30" s="18"/>
      <c r="ABB30" s="18"/>
      <c r="ABC30" s="18"/>
      <c r="ABD30" s="18"/>
      <c r="ABE30" s="18"/>
      <c r="ABF30" s="18"/>
      <c r="ABG30" s="18"/>
      <c r="ABH30" s="18"/>
      <c r="ABI30" s="18"/>
      <c r="ABJ30" s="18"/>
      <c r="ABK30" s="18"/>
      <c r="ABL30" s="18"/>
      <c r="ABM30" s="18"/>
      <c r="ABN30" s="18"/>
      <c r="ABO30" s="18"/>
      <c r="ABP30" s="18"/>
      <c r="ABQ30" s="18"/>
      <c r="ABR30" s="18"/>
      <c r="ABS30" s="18"/>
      <c r="ABT30" s="18"/>
      <c r="ABU30" s="18"/>
      <c r="ABV30" s="18"/>
      <c r="ABW30" s="18"/>
      <c r="ABX30" s="18"/>
      <c r="ABY30" s="18"/>
      <c r="ABZ30" s="18"/>
      <c r="ACA30" s="18"/>
      <c r="ACB30" s="18"/>
      <c r="ACC30" s="18"/>
      <c r="ACD30" s="18"/>
      <c r="ACE30" s="18"/>
      <c r="ACF30" s="18"/>
      <c r="ACG30" s="18"/>
      <c r="ACH30" s="18"/>
      <c r="ACI30" s="18"/>
      <c r="ACJ30" s="18"/>
      <c r="ACK30" s="18"/>
      <c r="ACL30" s="18"/>
      <c r="ACM30" s="18"/>
      <c r="ACN30" s="18"/>
      <c r="ACO30" s="18"/>
      <c r="ACP30" s="18"/>
      <c r="ACQ30" s="18"/>
      <c r="ACR30" s="18"/>
      <c r="ACS30" s="18"/>
      <c r="ACT30" s="18"/>
      <c r="ACU30" s="18"/>
      <c r="ACV30" s="18"/>
      <c r="ACW30" s="18"/>
      <c r="ACX30" s="18"/>
      <c r="ACY30" s="18"/>
      <c r="ACZ30" s="18"/>
      <c r="ADA30" s="18"/>
      <c r="ADB30" s="18"/>
      <c r="ADC30" s="18"/>
      <c r="ADD30" s="18"/>
      <c r="ADE30" s="18"/>
      <c r="ADF30" s="18"/>
      <c r="ADG30" s="18"/>
      <c r="ADH30" s="18"/>
      <c r="ADI30" s="18"/>
      <c r="ADJ30" s="18"/>
      <c r="ADK30" s="18"/>
      <c r="ADL30" s="18"/>
      <c r="ADM30" s="18"/>
      <c r="ADN30" s="18"/>
      <c r="ADO30" s="18"/>
      <c r="ADP30" s="18"/>
      <c r="ADQ30" s="18"/>
      <c r="ADR30" s="18"/>
      <c r="ADS30" s="18"/>
      <c r="ADT30" s="18"/>
      <c r="ADU30" s="18"/>
      <c r="ADV30" s="18"/>
      <c r="ADW30" s="18"/>
      <c r="ADX30" s="18"/>
      <c r="ADY30" s="18"/>
      <c r="ADZ30" s="18"/>
      <c r="AEA30" s="18"/>
      <c r="AEB30" s="18"/>
      <c r="AEC30" s="18"/>
      <c r="AED30" s="18"/>
      <c r="AEE30" s="18"/>
      <c r="AEF30" s="18"/>
      <c r="AEG30" s="18"/>
      <c r="AEH30" s="18"/>
      <c r="AEI30" s="18"/>
      <c r="AEJ30" s="18"/>
      <c r="AEK30" s="18"/>
      <c r="AEL30" s="18"/>
      <c r="AEM30" s="18"/>
      <c r="AEN30" s="18"/>
      <c r="AEO30" s="18"/>
      <c r="AEP30" s="18"/>
      <c r="AEQ30" s="18"/>
      <c r="AER30" s="18"/>
      <c r="AES30" s="18"/>
      <c r="AET30" s="18"/>
      <c r="AEU30" s="18"/>
      <c r="AEV30" s="18"/>
      <c r="AEW30" s="18"/>
      <c r="AEX30" s="18"/>
      <c r="AEY30" s="18"/>
      <c r="AEZ30" s="18"/>
      <c r="AFA30" s="18"/>
      <c r="AFB30" s="18"/>
      <c r="AFC30" s="18"/>
      <c r="AFD30" s="18"/>
      <c r="AFE30" s="18"/>
      <c r="AFF30" s="18"/>
      <c r="AFG30" s="18"/>
      <c r="AFH30" s="18"/>
      <c r="AFI30" s="18"/>
      <c r="AFJ30" s="18"/>
      <c r="AFK30" s="18"/>
      <c r="AFL30" s="18"/>
      <c r="AFM30" s="18"/>
      <c r="AFN30" s="18"/>
      <c r="AFO30" s="18"/>
      <c r="AFP30" s="18"/>
      <c r="AFQ30" s="18"/>
      <c r="AFR30" s="18"/>
      <c r="AFS30" s="18"/>
      <c r="AFT30" s="18"/>
      <c r="AFU30" s="18"/>
      <c r="AFV30" s="18"/>
      <c r="AFW30" s="18"/>
      <c r="AFX30" s="18"/>
      <c r="AFY30" s="18"/>
      <c r="AFZ30" s="18"/>
      <c r="AGA30" s="18"/>
      <c r="AGB30" s="18"/>
      <c r="AGC30" s="18"/>
      <c r="AGD30" s="18"/>
      <c r="AGE30" s="18"/>
      <c r="AGF30" s="18"/>
      <c r="AGG30" s="18"/>
      <c r="AGH30" s="18"/>
      <c r="AGI30" s="18"/>
      <c r="AGJ30" s="18"/>
      <c r="AGK30" s="18"/>
      <c r="AGL30" s="18"/>
      <c r="AGM30" s="18"/>
      <c r="AGN30" s="18"/>
      <c r="AGO30" s="18"/>
      <c r="AGP30" s="18"/>
      <c r="AGQ30" s="18"/>
      <c r="AGR30" s="18"/>
      <c r="AGS30" s="18"/>
      <c r="AGT30" s="18"/>
      <c r="AGU30" s="18"/>
      <c r="AGV30" s="18"/>
      <c r="AGW30" s="18"/>
      <c r="AGX30" s="18"/>
      <c r="AGY30" s="18"/>
      <c r="AGZ30" s="18"/>
      <c r="AHA30" s="18"/>
      <c r="AHB30" s="18"/>
      <c r="AHC30" s="18"/>
      <c r="AHD30" s="18"/>
      <c r="AHE30" s="18"/>
      <c r="AHF30" s="18"/>
      <c r="AHG30" s="18"/>
      <c r="AHH30" s="18"/>
      <c r="AHI30" s="18"/>
      <c r="AHJ30" s="18"/>
      <c r="AHK30" s="18"/>
      <c r="AHL30" s="18"/>
      <c r="AHM30" s="18"/>
      <c r="AHN30" s="18"/>
      <c r="AHO30" s="18"/>
      <c r="AHP30" s="18"/>
      <c r="AHQ30" s="18"/>
      <c r="AHR30" s="18"/>
      <c r="AHS30" s="18"/>
      <c r="AHT30" s="18"/>
      <c r="AHU30" s="18"/>
      <c r="AHV30" s="18"/>
      <c r="AHW30" s="18"/>
      <c r="AHX30" s="18"/>
      <c r="AHY30" s="18"/>
      <c r="AHZ30" s="18"/>
      <c r="AIA30" s="18"/>
      <c r="AIB30" s="18"/>
      <c r="AIC30" s="18"/>
      <c r="AID30" s="18"/>
      <c r="AIE30" s="18"/>
      <c r="AIF30" s="18"/>
      <c r="AIG30" s="18"/>
      <c r="AIH30" s="18"/>
      <c r="AII30" s="18"/>
      <c r="AIJ30" s="18"/>
      <c r="AIK30" s="18"/>
      <c r="AIL30" s="18"/>
      <c r="AIM30" s="18"/>
      <c r="AIN30" s="18"/>
      <c r="AIO30" s="18"/>
      <c r="AIP30" s="18"/>
      <c r="AIQ30" s="18"/>
      <c r="AIR30" s="18"/>
      <c r="AIS30" s="18"/>
      <c r="AIT30" s="18"/>
      <c r="AIU30" s="18"/>
      <c r="AIV30" s="18"/>
      <c r="AIW30" s="18"/>
      <c r="AIX30" s="18"/>
      <c r="AIY30" s="18"/>
      <c r="AIZ30" s="18"/>
      <c r="AJA30" s="18"/>
      <c r="AJB30" s="18"/>
      <c r="AJC30" s="18"/>
      <c r="AJD30" s="18"/>
      <c r="AJE30" s="18"/>
      <c r="AJF30" s="18"/>
      <c r="AJG30" s="18"/>
      <c r="AJH30" s="18"/>
      <c r="AJI30" s="18"/>
      <c r="AJJ30" s="18"/>
      <c r="AJK30" s="18"/>
      <c r="AJL30" s="18"/>
      <c r="AJM30" s="18"/>
      <c r="AJN30" s="18"/>
      <c r="AJO30" s="18"/>
      <c r="AJP30" s="18"/>
      <c r="AJQ30" s="18"/>
      <c r="AJR30" s="18"/>
      <c r="AJS30" s="18"/>
      <c r="AJT30" s="18"/>
      <c r="AJU30" s="18"/>
      <c r="AJV30" s="18"/>
      <c r="AJW30" s="18"/>
      <c r="AJX30" s="18"/>
      <c r="AJY30" s="18"/>
      <c r="AJZ30" s="18"/>
      <c r="AKA30" s="18"/>
      <c r="AKB30" s="18"/>
      <c r="AKC30" s="18"/>
      <c r="AKD30" s="18"/>
      <c r="AKE30" s="18"/>
      <c r="AKF30" s="18"/>
      <c r="AKG30" s="18"/>
      <c r="AKH30" s="18"/>
      <c r="AKI30" s="18"/>
      <c r="AKJ30" s="18"/>
      <c r="AKK30" s="18"/>
      <c r="AKL30" s="18"/>
      <c r="AKM30" s="18"/>
      <c r="AKN30" s="18"/>
      <c r="AKO30" s="18"/>
      <c r="AKP30" s="18"/>
      <c r="AKQ30" s="18"/>
      <c r="AKR30" s="18"/>
      <c r="AKS30" s="18"/>
      <c r="AKT30" s="18"/>
      <c r="AKU30" s="18"/>
      <c r="AKV30" s="18"/>
      <c r="AKW30" s="18"/>
      <c r="AKX30" s="18"/>
      <c r="AKY30" s="18"/>
      <c r="AKZ30" s="18"/>
      <c r="ALA30" s="18"/>
      <c r="ALB30" s="18"/>
      <c r="ALC30" s="18"/>
      <c r="ALD30" s="18"/>
      <c r="ALE30" s="18"/>
      <c r="ALF30" s="18"/>
      <c r="ALG30" s="18"/>
      <c r="ALH30" s="18"/>
      <c r="ALI30" s="18"/>
      <c r="ALJ30" s="18"/>
      <c r="ALK30" s="18"/>
      <c r="ALL30" s="18"/>
      <c r="ALM30" s="18"/>
      <c r="ALN30" s="18"/>
      <c r="ALO30" s="18"/>
      <c r="ALP30" s="18"/>
      <c r="ALQ30" s="18"/>
      <c r="ALR30" s="18"/>
      <c r="ALS30" s="18"/>
      <c r="ALT30" s="18"/>
      <c r="ALU30" s="18"/>
      <c r="ALV30" s="18"/>
      <c r="ALW30" s="18"/>
      <c r="ALX30" s="18"/>
      <c r="ALY30" s="18"/>
      <c r="ALZ30" s="18"/>
      <c r="AMA30" s="18"/>
      <c r="AMB30" s="18"/>
      <c r="AMC30" s="18"/>
      <c r="AMD30" s="18"/>
      <c r="AME30" s="18"/>
      <c r="AMF30" s="18"/>
      <c r="AMG30" s="18"/>
      <c r="AMH30" s="18"/>
    </row>
    <row r="31" spans="1:1022" s="23" customFormat="1" x14ac:dyDescent="0.3">
      <c r="A31" s="33">
        <v>127</v>
      </c>
      <c r="B31" s="19"/>
      <c r="C31" s="19"/>
      <c r="D31" s="34" t="s">
        <v>302</v>
      </c>
      <c r="E31" s="34" t="s">
        <v>453</v>
      </c>
      <c r="F31" s="39"/>
      <c r="G31" s="19"/>
      <c r="H31" s="38" t="s">
        <v>281</v>
      </c>
      <c r="I31" s="40"/>
      <c r="J31" s="31"/>
      <c r="K31" s="31"/>
      <c r="L31" s="31"/>
      <c r="M31" s="32"/>
      <c r="N31" s="32"/>
      <c r="O31" s="18"/>
      <c r="P31" s="36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  <c r="HF31" s="18"/>
      <c r="HG31" s="18"/>
      <c r="HH31" s="18"/>
      <c r="HI31" s="18"/>
      <c r="HJ31" s="18"/>
      <c r="HK31" s="18"/>
      <c r="HL31" s="18"/>
      <c r="HM31" s="18"/>
      <c r="HN31" s="18"/>
      <c r="HO31" s="18"/>
      <c r="HP31" s="18"/>
      <c r="HQ31" s="18"/>
      <c r="HR31" s="18"/>
      <c r="HS31" s="18"/>
      <c r="HT31" s="18"/>
      <c r="HU31" s="18"/>
      <c r="HV31" s="18"/>
      <c r="HW31" s="18"/>
      <c r="HX31" s="18"/>
      <c r="HY31" s="18"/>
      <c r="HZ31" s="18"/>
      <c r="IA31" s="18"/>
      <c r="IB31" s="18"/>
      <c r="IC31" s="18"/>
      <c r="ID31" s="18"/>
      <c r="IE31" s="18"/>
      <c r="IF31" s="18"/>
      <c r="IG31" s="18"/>
      <c r="IH31" s="18"/>
      <c r="II31" s="18"/>
      <c r="IJ31" s="18"/>
      <c r="IK31" s="18"/>
      <c r="IL31" s="18"/>
      <c r="IM31" s="18"/>
      <c r="IN31" s="18"/>
      <c r="IO31" s="18"/>
      <c r="IP31" s="18"/>
      <c r="IQ31" s="18"/>
      <c r="IR31" s="18"/>
      <c r="IS31" s="18"/>
      <c r="IT31" s="18"/>
      <c r="IU31" s="18"/>
      <c r="IV31" s="18"/>
      <c r="IW31" s="18"/>
      <c r="IX31" s="18"/>
      <c r="IY31" s="18"/>
      <c r="IZ31" s="18"/>
      <c r="JA31" s="18"/>
      <c r="JB31" s="18"/>
      <c r="JC31" s="18"/>
      <c r="JD31" s="18"/>
      <c r="JE31" s="18"/>
      <c r="JF31" s="18"/>
      <c r="JG31" s="18"/>
      <c r="JH31" s="18"/>
      <c r="JI31" s="18"/>
      <c r="JJ31" s="18"/>
      <c r="JK31" s="18"/>
      <c r="JL31" s="18"/>
      <c r="JM31" s="18"/>
      <c r="JN31" s="18"/>
      <c r="JO31" s="18"/>
      <c r="JP31" s="18"/>
      <c r="JQ31" s="18"/>
      <c r="JR31" s="18"/>
      <c r="JS31" s="18"/>
      <c r="JT31" s="18"/>
      <c r="JU31" s="18"/>
      <c r="JV31" s="18"/>
      <c r="JW31" s="18"/>
      <c r="JX31" s="18"/>
      <c r="JY31" s="18"/>
      <c r="JZ31" s="18"/>
      <c r="KA31" s="18"/>
      <c r="KB31" s="18"/>
      <c r="KC31" s="18"/>
      <c r="KD31" s="18"/>
      <c r="KE31" s="18"/>
      <c r="KF31" s="18"/>
      <c r="KG31" s="18"/>
      <c r="KH31" s="18"/>
      <c r="KI31" s="18"/>
      <c r="KJ31" s="18"/>
      <c r="KK31" s="18"/>
      <c r="KL31" s="18"/>
      <c r="KM31" s="18"/>
      <c r="KN31" s="18"/>
      <c r="KO31" s="18"/>
      <c r="KP31" s="18"/>
      <c r="KQ31" s="18"/>
      <c r="KR31" s="18"/>
      <c r="KS31" s="18"/>
      <c r="KT31" s="18"/>
      <c r="KU31" s="18"/>
      <c r="KV31" s="18"/>
      <c r="KW31" s="18"/>
      <c r="KX31" s="18"/>
      <c r="KY31" s="18"/>
      <c r="KZ31" s="18"/>
      <c r="LA31" s="18"/>
      <c r="LB31" s="18"/>
      <c r="LC31" s="18"/>
      <c r="LD31" s="18"/>
      <c r="LE31" s="18"/>
      <c r="LF31" s="18"/>
      <c r="LG31" s="18"/>
      <c r="LH31" s="18"/>
      <c r="LI31" s="18"/>
      <c r="LJ31" s="18"/>
      <c r="LK31" s="18"/>
      <c r="LL31" s="18"/>
      <c r="LM31" s="18"/>
      <c r="LN31" s="18"/>
      <c r="LO31" s="18"/>
      <c r="LP31" s="18"/>
      <c r="LQ31" s="18"/>
      <c r="LR31" s="18"/>
      <c r="LS31" s="18"/>
      <c r="LT31" s="18"/>
      <c r="LU31" s="18"/>
      <c r="LV31" s="18"/>
      <c r="LW31" s="18"/>
      <c r="LX31" s="18"/>
      <c r="LY31" s="18"/>
      <c r="LZ31" s="18"/>
      <c r="MA31" s="18"/>
      <c r="MB31" s="18"/>
      <c r="MC31" s="18"/>
      <c r="MD31" s="18"/>
      <c r="ME31" s="18"/>
      <c r="MF31" s="18"/>
      <c r="MG31" s="18"/>
      <c r="MH31" s="18"/>
      <c r="MI31" s="18"/>
      <c r="MJ31" s="18"/>
      <c r="MK31" s="18"/>
      <c r="ML31" s="18"/>
      <c r="MM31" s="18"/>
      <c r="MN31" s="18"/>
      <c r="MO31" s="18"/>
      <c r="MP31" s="18"/>
      <c r="MQ31" s="18"/>
      <c r="MR31" s="18"/>
      <c r="MS31" s="18"/>
      <c r="MT31" s="18"/>
      <c r="MU31" s="18"/>
      <c r="MV31" s="18"/>
      <c r="MW31" s="18"/>
      <c r="MX31" s="18"/>
      <c r="MY31" s="18"/>
      <c r="MZ31" s="18"/>
      <c r="NA31" s="18"/>
      <c r="NB31" s="18"/>
      <c r="NC31" s="18"/>
      <c r="ND31" s="18"/>
      <c r="NE31" s="18"/>
      <c r="NF31" s="18"/>
      <c r="NG31" s="18"/>
      <c r="NH31" s="18"/>
      <c r="NI31" s="18"/>
      <c r="NJ31" s="18"/>
      <c r="NK31" s="18"/>
      <c r="NL31" s="18"/>
      <c r="NM31" s="18"/>
      <c r="NN31" s="18"/>
      <c r="NO31" s="18"/>
      <c r="NP31" s="18"/>
      <c r="NQ31" s="18"/>
      <c r="NR31" s="18"/>
      <c r="NS31" s="18"/>
      <c r="NT31" s="18"/>
      <c r="NU31" s="18"/>
      <c r="NV31" s="18"/>
      <c r="NW31" s="18"/>
      <c r="NX31" s="18"/>
      <c r="NY31" s="18"/>
      <c r="NZ31" s="18"/>
      <c r="OA31" s="18"/>
      <c r="OB31" s="18"/>
      <c r="OC31" s="18"/>
      <c r="OD31" s="18"/>
      <c r="OE31" s="18"/>
      <c r="OF31" s="18"/>
      <c r="OG31" s="18"/>
      <c r="OH31" s="18"/>
      <c r="OI31" s="18"/>
      <c r="OJ31" s="18"/>
      <c r="OK31" s="18"/>
      <c r="OL31" s="18"/>
      <c r="OM31" s="18"/>
      <c r="ON31" s="18"/>
      <c r="OO31" s="18"/>
      <c r="OP31" s="18"/>
      <c r="OQ31" s="18"/>
      <c r="OR31" s="18"/>
      <c r="OS31" s="18"/>
      <c r="OT31" s="18"/>
      <c r="OU31" s="18"/>
      <c r="OV31" s="18"/>
      <c r="OW31" s="18"/>
      <c r="OX31" s="18"/>
      <c r="OY31" s="18"/>
      <c r="OZ31" s="18"/>
      <c r="PA31" s="18"/>
      <c r="PB31" s="18"/>
      <c r="PC31" s="18"/>
      <c r="PD31" s="18"/>
      <c r="PE31" s="18"/>
      <c r="PF31" s="18"/>
      <c r="PG31" s="18"/>
      <c r="PH31" s="18"/>
      <c r="PI31" s="18"/>
      <c r="PJ31" s="18"/>
      <c r="PK31" s="18"/>
      <c r="PL31" s="18"/>
      <c r="PM31" s="18"/>
      <c r="PN31" s="18"/>
      <c r="PO31" s="18"/>
      <c r="PP31" s="18"/>
      <c r="PQ31" s="18"/>
      <c r="PR31" s="18"/>
      <c r="PS31" s="18"/>
      <c r="PT31" s="18"/>
      <c r="PU31" s="18"/>
      <c r="PV31" s="18"/>
      <c r="PW31" s="18"/>
      <c r="PX31" s="18"/>
      <c r="PY31" s="18"/>
      <c r="PZ31" s="18"/>
      <c r="QA31" s="18"/>
      <c r="QB31" s="18"/>
      <c r="QC31" s="18"/>
      <c r="QD31" s="18"/>
      <c r="QE31" s="18"/>
      <c r="QF31" s="18"/>
      <c r="QG31" s="18"/>
      <c r="QH31" s="18"/>
      <c r="QI31" s="18"/>
      <c r="QJ31" s="18"/>
      <c r="QK31" s="18"/>
      <c r="QL31" s="18"/>
      <c r="QM31" s="18"/>
      <c r="QN31" s="18"/>
      <c r="QO31" s="18"/>
      <c r="QP31" s="18"/>
      <c r="QQ31" s="18"/>
      <c r="QR31" s="18"/>
      <c r="QS31" s="18"/>
      <c r="QT31" s="18"/>
      <c r="QU31" s="18"/>
      <c r="QV31" s="18"/>
      <c r="QW31" s="18"/>
      <c r="QX31" s="18"/>
      <c r="QY31" s="18"/>
      <c r="QZ31" s="18"/>
      <c r="RA31" s="18"/>
      <c r="RB31" s="18"/>
      <c r="RC31" s="18"/>
      <c r="RD31" s="18"/>
      <c r="RE31" s="18"/>
      <c r="RF31" s="18"/>
      <c r="RG31" s="18"/>
      <c r="RH31" s="18"/>
      <c r="RI31" s="18"/>
      <c r="RJ31" s="18"/>
      <c r="RK31" s="18"/>
      <c r="RL31" s="18"/>
      <c r="RM31" s="18"/>
      <c r="RN31" s="18"/>
      <c r="RO31" s="18"/>
      <c r="RP31" s="18"/>
      <c r="RQ31" s="18"/>
      <c r="RR31" s="18"/>
      <c r="RS31" s="18"/>
      <c r="RT31" s="18"/>
      <c r="RU31" s="18"/>
      <c r="RV31" s="18"/>
      <c r="RW31" s="18"/>
      <c r="RX31" s="18"/>
      <c r="RY31" s="18"/>
      <c r="RZ31" s="18"/>
      <c r="SA31" s="18"/>
      <c r="SB31" s="18"/>
      <c r="SC31" s="18"/>
      <c r="SD31" s="18"/>
      <c r="SE31" s="18"/>
      <c r="SF31" s="18"/>
      <c r="SG31" s="18"/>
      <c r="SH31" s="18"/>
      <c r="SI31" s="18"/>
      <c r="SJ31" s="18"/>
      <c r="SK31" s="18"/>
      <c r="SL31" s="18"/>
      <c r="SM31" s="18"/>
      <c r="SN31" s="18"/>
      <c r="SO31" s="18"/>
      <c r="SP31" s="18"/>
      <c r="SQ31" s="18"/>
      <c r="SR31" s="18"/>
      <c r="SS31" s="18"/>
      <c r="ST31" s="18"/>
      <c r="SU31" s="18"/>
      <c r="SV31" s="18"/>
      <c r="SW31" s="18"/>
      <c r="SX31" s="18"/>
      <c r="SY31" s="18"/>
      <c r="SZ31" s="18"/>
      <c r="TA31" s="18"/>
      <c r="TB31" s="18"/>
      <c r="TC31" s="18"/>
      <c r="TD31" s="18"/>
      <c r="TE31" s="18"/>
      <c r="TF31" s="18"/>
      <c r="TG31" s="18"/>
      <c r="TH31" s="18"/>
      <c r="TI31" s="18"/>
      <c r="TJ31" s="18"/>
      <c r="TK31" s="18"/>
      <c r="TL31" s="18"/>
      <c r="TM31" s="18"/>
      <c r="TN31" s="18"/>
      <c r="TO31" s="18"/>
      <c r="TP31" s="18"/>
      <c r="TQ31" s="18"/>
      <c r="TR31" s="18"/>
      <c r="TS31" s="18"/>
      <c r="TT31" s="18"/>
      <c r="TU31" s="18"/>
      <c r="TV31" s="18"/>
      <c r="TW31" s="18"/>
      <c r="TX31" s="18"/>
      <c r="TY31" s="18"/>
      <c r="TZ31" s="18"/>
      <c r="UA31" s="18"/>
      <c r="UB31" s="18"/>
      <c r="UC31" s="18"/>
      <c r="UD31" s="18"/>
      <c r="UE31" s="18"/>
      <c r="UF31" s="18"/>
      <c r="UG31" s="18"/>
      <c r="UH31" s="18"/>
      <c r="UI31" s="18"/>
      <c r="UJ31" s="18"/>
      <c r="UK31" s="18"/>
      <c r="UL31" s="18"/>
      <c r="UM31" s="18"/>
      <c r="UN31" s="18"/>
      <c r="UO31" s="18"/>
      <c r="UP31" s="18"/>
      <c r="UQ31" s="18"/>
      <c r="UR31" s="18"/>
      <c r="US31" s="18"/>
      <c r="UT31" s="18"/>
      <c r="UU31" s="18"/>
      <c r="UV31" s="18"/>
      <c r="UW31" s="18"/>
      <c r="UX31" s="18"/>
      <c r="UY31" s="18"/>
      <c r="UZ31" s="18"/>
      <c r="VA31" s="18"/>
      <c r="VB31" s="18"/>
      <c r="VC31" s="18"/>
      <c r="VD31" s="18"/>
      <c r="VE31" s="18"/>
      <c r="VF31" s="18"/>
      <c r="VG31" s="18"/>
      <c r="VH31" s="18"/>
      <c r="VI31" s="18"/>
      <c r="VJ31" s="18"/>
      <c r="VK31" s="18"/>
      <c r="VL31" s="18"/>
      <c r="VM31" s="18"/>
      <c r="VN31" s="18"/>
      <c r="VO31" s="18"/>
      <c r="VP31" s="18"/>
      <c r="VQ31" s="18"/>
      <c r="VR31" s="18"/>
      <c r="VS31" s="18"/>
      <c r="VT31" s="18"/>
      <c r="VU31" s="18"/>
      <c r="VV31" s="18"/>
      <c r="VW31" s="18"/>
      <c r="VX31" s="18"/>
      <c r="VY31" s="18"/>
      <c r="VZ31" s="18"/>
      <c r="WA31" s="18"/>
      <c r="WB31" s="18"/>
      <c r="WC31" s="18"/>
      <c r="WD31" s="18"/>
      <c r="WE31" s="18"/>
      <c r="WF31" s="18"/>
      <c r="WG31" s="18"/>
      <c r="WH31" s="18"/>
      <c r="WI31" s="18"/>
      <c r="WJ31" s="18"/>
      <c r="WK31" s="18"/>
      <c r="WL31" s="18"/>
      <c r="WM31" s="18"/>
      <c r="WN31" s="18"/>
      <c r="WO31" s="18"/>
      <c r="WP31" s="18"/>
      <c r="WQ31" s="18"/>
      <c r="WR31" s="18"/>
      <c r="WS31" s="18"/>
      <c r="WT31" s="18"/>
      <c r="WU31" s="18"/>
      <c r="WV31" s="18"/>
      <c r="WW31" s="18"/>
      <c r="WX31" s="18"/>
      <c r="WY31" s="18"/>
      <c r="WZ31" s="18"/>
      <c r="XA31" s="18"/>
      <c r="XB31" s="18"/>
      <c r="XC31" s="18"/>
      <c r="XD31" s="18"/>
      <c r="XE31" s="18"/>
      <c r="XF31" s="18"/>
      <c r="XG31" s="18"/>
      <c r="XH31" s="18"/>
      <c r="XI31" s="18"/>
      <c r="XJ31" s="18"/>
      <c r="XK31" s="18"/>
      <c r="XL31" s="18"/>
      <c r="XM31" s="18"/>
      <c r="XN31" s="18"/>
      <c r="XO31" s="18"/>
      <c r="XP31" s="18"/>
      <c r="XQ31" s="18"/>
      <c r="XR31" s="18"/>
      <c r="XS31" s="18"/>
      <c r="XT31" s="18"/>
      <c r="XU31" s="18"/>
      <c r="XV31" s="18"/>
      <c r="XW31" s="18"/>
      <c r="XX31" s="18"/>
      <c r="XY31" s="18"/>
      <c r="XZ31" s="18"/>
      <c r="YA31" s="18"/>
      <c r="YB31" s="18"/>
      <c r="YC31" s="18"/>
      <c r="YD31" s="18"/>
      <c r="YE31" s="18"/>
      <c r="YF31" s="18"/>
      <c r="YG31" s="18"/>
      <c r="YH31" s="18"/>
      <c r="YI31" s="18"/>
      <c r="YJ31" s="18"/>
      <c r="YK31" s="18"/>
      <c r="YL31" s="18"/>
      <c r="YM31" s="18"/>
      <c r="YN31" s="18"/>
      <c r="YO31" s="18"/>
      <c r="YP31" s="18"/>
      <c r="YQ31" s="18"/>
      <c r="YR31" s="18"/>
      <c r="YS31" s="18"/>
      <c r="YT31" s="18"/>
      <c r="YU31" s="18"/>
      <c r="YV31" s="18"/>
      <c r="YW31" s="18"/>
      <c r="YX31" s="18"/>
      <c r="YY31" s="18"/>
      <c r="YZ31" s="18"/>
      <c r="ZA31" s="18"/>
      <c r="ZB31" s="18"/>
      <c r="ZC31" s="18"/>
      <c r="ZD31" s="18"/>
      <c r="ZE31" s="18"/>
      <c r="ZF31" s="18"/>
      <c r="ZG31" s="18"/>
      <c r="ZH31" s="18"/>
      <c r="ZI31" s="18"/>
      <c r="ZJ31" s="18"/>
      <c r="ZK31" s="18"/>
      <c r="ZL31" s="18"/>
      <c r="ZM31" s="18"/>
      <c r="ZN31" s="18"/>
      <c r="ZO31" s="18"/>
      <c r="ZP31" s="18"/>
      <c r="ZQ31" s="18"/>
      <c r="ZR31" s="18"/>
      <c r="ZS31" s="18"/>
      <c r="ZT31" s="18"/>
      <c r="ZU31" s="18"/>
      <c r="ZV31" s="18"/>
      <c r="ZW31" s="18"/>
      <c r="ZX31" s="18"/>
      <c r="ZY31" s="18"/>
      <c r="ZZ31" s="18"/>
      <c r="AAA31" s="18"/>
      <c r="AAB31" s="18"/>
      <c r="AAC31" s="18"/>
      <c r="AAD31" s="18"/>
      <c r="AAE31" s="18"/>
      <c r="AAF31" s="18"/>
      <c r="AAG31" s="18"/>
      <c r="AAH31" s="18"/>
      <c r="AAI31" s="18"/>
      <c r="AAJ31" s="18"/>
      <c r="AAK31" s="18"/>
      <c r="AAL31" s="18"/>
      <c r="AAM31" s="18"/>
      <c r="AAN31" s="18"/>
      <c r="AAO31" s="18"/>
      <c r="AAP31" s="18"/>
      <c r="AAQ31" s="18"/>
      <c r="AAR31" s="18"/>
      <c r="AAS31" s="18"/>
      <c r="AAT31" s="18"/>
      <c r="AAU31" s="18"/>
      <c r="AAV31" s="18"/>
      <c r="AAW31" s="18"/>
      <c r="AAX31" s="18"/>
      <c r="AAY31" s="18"/>
      <c r="AAZ31" s="18"/>
      <c r="ABA31" s="18"/>
      <c r="ABB31" s="18"/>
      <c r="ABC31" s="18"/>
      <c r="ABD31" s="18"/>
      <c r="ABE31" s="18"/>
      <c r="ABF31" s="18"/>
      <c r="ABG31" s="18"/>
      <c r="ABH31" s="18"/>
      <c r="ABI31" s="18"/>
      <c r="ABJ31" s="18"/>
      <c r="ABK31" s="18"/>
      <c r="ABL31" s="18"/>
      <c r="ABM31" s="18"/>
      <c r="ABN31" s="18"/>
      <c r="ABO31" s="18"/>
      <c r="ABP31" s="18"/>
      <c r="ABQ31" s="18"/>
      <c r="ABR31" s="18"/>
      <c r="ABS31" s="18"/>
      <c r="ABT31" s="18"/>
      <c r="ABU31" s="18"/>
      <c r="ABV31" s="18"/>
      <c r="ABW31" s="18"/>
      <c r="ABX31" s="18"/>
      <c r="ABY31" s="18"/>
      <c r="ABZ31" s="18"/>
      <c r="ACA31" s="18"/>
      <c r="ACB31" s="18"/>
      <c r="ACC31" s="18"/>
      <c r="ACD31" s="18"/>
      <c r="ACE31" s="18"/>
      <c r="ACF31" s="18"/>
      <c r="ACG31" s="18"/>
      <c r="ACH31" s="18"/>
      <c r="ACI31" s="18"/>
      <c r="ACJ31" s="18"/>
      <c r="ACK31" s="18"/>
      <c r="ACL31" s="18"/>
      <c r="ACM31" s="18"/>
      <c r="ACN31" s="18"/>
      <c r="ACO31" s="18"/>
      <c r="ACP31" s="18"/>
      <c r="ACQ31" s="18"/>
      <c r="ACR31" s="18"/>
      <c r="ACS31" s="18"/>
      <c r="ACT31" s="18"/>
      <c r="ACU31" s="18"/>
      <c r="ACV31" s="18"/>
      <c r="ACW31" s="18"/>
      <c r="ACX31" s="18"/>
      <c r="ACY31" s="18"/>
      <c r="ACZ31" s="18"/>
      <c r="ADA31" s="18"/>
      <c r="ADB31" s="18"/>
      <c r="ADC31" s="18"/>
      <c r="ADD31" s="18"/>
      <c r="ADE31" s="18"/>
      <c r="ADF31" s="18"/>
      <c r="ADG31" s="18"/>
      <c r="ADH31" s="18"/>
      <c r="ADI31" s="18"/>
      <c r="ADJ31" s="18"/>
      <c r="ADK31" s="18"/>
      <c r="ADL31" s="18"/>
      <c r="ADM31" s="18"/>
      <c r="ADN31" s="18"/>
      <c r="ADO31" s="18"/>
      <c r="ADP31" s="18"/>
      <c r="ADQ31" s="18"/>
      <c r="ADR31" s="18"/>
      <c r="ADS31" s="18"/>
      <c r="ADT31" s="18"/>
      <c r="ADU31" s="18"/>
      <c r="ADV31" s="18"/>
      <c r="ADW31" s="18"/>
      <c r="ADX31" s="18"/>
      <c r="ADY31" s="18"/>
      <c r="ADZ31" s="18"/>
      <c r="AEA31" s="18"/>
      <c r="AEB31" s="18"/>
      <c r="AEC31" s="18"/>
      <c r="AED31" s="18"/>
      <c r="AEE31" s="18"/>
      <c r="AEF31" s="18"/>
      <c r="AEG31" s="18"/>
      <c r="AEH31" s="18"/>
      <c r="AEI31" s="18"/>
      <c r="AEJ31" s="18"/>
      <c r="AEK31" s="18"/>
      <c r="AEL31" s="18"/>
      <c r="AEM31" s="18"/>
      <c r="AEN31" s="18"/>
      <c r="AEO31" s="18"/>
      <c r="AEP31" s="18"/>
      <c r="AEQ31" s="18"/>
      <c r="AER31" s="18"/>
      <c r="AES31" s="18"/>
      <c r="AET31" s="18"/>
      <c r="AEU31" s="18"/>
      <c r="AEV31" s="18"/>
      <c r="AEW31" s="18"/>
      <c r="AEX31" s="18"/>
      <c r="AEY31" s="18"/>
      <c r="AEZ31" s="18"/>
      <c r="AFA31" s="18"/>
      <c r="AFB31" s="18"/>
      <c r="AFC31" s="18"/>
      <c r="AFD31" s="18"/>
      <c r="AFE31" s="18"/>
      <c r="AFF31" s="18"/>
      <c r="AFG31" s="18"/>
      <c r="AFH31" s="18"/>
      <c r="AFI31" s="18"/>
      <c r="AFJ31" s="18"/>
      <c r="AFK31" s="18"/>
      <c r="AFL31" s="18"/>
      <c r="AFM31" s="18"/>
      <c r="AFN31" s="18"/>
      <c r="AFO31" s="18"/>
      <c r="AFP31" s="18"/>
      <c r="AFQ31" s="18"/>
      <c r="AFR31" s="18"/>
      <c r="AFS31" s="18"/>
      <c r="AFT31" s="18"/>
      <c r="AFU31" s="18"/>
      <c r="AFV31" s="18"/>
      <c r="AFW31" s="18"/>
      <c r="AFX31" s="18"/>
      <c r="AFY31" s="18"/>
      <c r="AFZ31" s="18"/>
      <c r="AGA31" s="18"/>
      <c r="AGB31" s="18"/>
      <c r="AGC31" s="18"/>
      <c r="AGD31" s="18"/>
      <c r="AGE31" s="18"/>
      <c r="AGF31" s="18"/>
      <c r="AGG31" s="18"/>
      <c r="AGH31" s="18"/>
      <c r="AGI31" s="18"/>
      <c r="AGJ31" s="18"/>
      <c r="AGK31" s="18"/>
      <c r="AGL31" s="18"/>
      <c r="AGM31" s="18"/>
      <c r="AGN31" s="18"/>
      <c r="AGO31" s="18"/>
      <c r="AGP31" s="18"/>
      <c r="AGQ31" s="18"/>
      <c r="AGR31" s="18"/>
      <c r="AGS31" s="18"/>
      <c r="AGT31" s="18"/>
      <c r="AGU31" s="18"/>
      <c r="AGV31" s="18"/>
      <c r="AGW31" s="18"/>
      <c r="AGX31" s="18"/>
      <c r="AGY31" s="18"/>
      <c r="AGZ31" s="18"/>
      <c r="AHA31" s="18"/>
      <c r="AHB31" s="18"/>
      <c r="AHC31" s="18"/>
      <c r="AHD31" s="18"/>
      <c r="AHE31" s="18"/>
      <c r="AHF31" s="18"/>
      <c r="AHG31" s="18"/>
      <c r="AHH31" s="18"/>
      <c r="AHI31" s="18"/>
      <c r="AHJ31" s="18"/>
      <c r="AHK31" s="18"/>
      <c r="AHL31" s="18"/>
      <c r="AHM31" s="18"/>
      <c r="AHN31" s="18"/>
      <c r="AHO31" s="18"/>
      <c r="AHP31" s="18"/>
      <c r="AHQ31" s="18"/>
      <c r="AHR31" s="18"/>
      <c r="AHS31" s="18"/>
      <c r="AHT31" s="18"/>
      <c r="AHU31" s="18"/>
      <c r="AHV31" s="18"/>
      <c r="AHW31" s="18"/>
      <c r="AHX31" s="18"/>
      <c r="AHY31" s="18"/>
      <c r="AHZ31" s="18"/>
      <c r="AIA31" s="18"/>
      <c r="AIB31" s="18"/>
      <c r="AIC31" s="18"/>
      <c r="AID31" s="18"/>
      <c r="AIE31" s="18"/>
      <c r="AIF31" s="18"/>
      <c r="AIG31" s="18"/>
      <c r="AIH31" s="18"/>
      <c r="AII31" s="18"/>
      <c r="AIJ31" s="18"/>
      <c r="AIK31" s="18"/>
      <c r="AIL31" s="18"/>
      <c r="AIM31" s="18"/>
      <c r="AIN31" s="18"/>
      <c r="AIO31" s="18"/>
      <c r="AIP31" s="18"/>
      <c r="AIQ31" s="18"/>
      <c r="AIR31" s="18"/>
      <c r="AIS31" s="18"/>
      <c r="AIT31" s="18"/>
      <c r="AIU31" s="18"/>
      <c r="AIV31" s="18"/>
      <c r="AIW31" s="18"/>
      <c r="AIX31" s="18"/>
      <c r="AIY31" s="18"/>
      <c r="AIZ31" s="18"/>
      <c r="AJA31" s="18"/>
      <c r="AJB31" s="18"/>
      <c r="AJC31" s="18"/>
      <c r="AJD31" s="18"/>
      <c r="AJE31" s="18"/>
      <c r="AJF31" s="18"/>
      <c r="AJG31" s="18"/>
      <c r="AJH31" s="18"/>
      <c r="AJI31" s="18"/>
      <c r="AJJ31" s="18"/>
      <c r="AJK31" s="18"/>
      <c r="AJL31" s="18"/>
      <c r="AJM31" s="18"/>
      <c r="AJN31" s="18"/>
      <c r="AJO31" s="18"/>
      <c r="AJP31" s="18"/>
      <c r="AJQ31" s="18"/>
      <c r="AJR31" s="18"/>
      <c r="AJS31" s="18"/>
      <c r="AJT31" s="18"/>
      <c r="AJU31" s="18"/>
      <c r="AJV31" s="18"/>
      <c r="AJW31" s="18"/>
      <c r="AJX31" s="18"/>
      <c r="AJY31" s="18"/>
      <c r="AJZ31" s="18"/>
      <c r="AKA31" s="18"/>
      <c r="AKB31" s="18"/>
      <c r="AKC31" s="18"/>
      <c r="AKD31" s="18"/>
      <c r="AKE31" s="18"/>
      <c r="AKF31" s="18"/>
      <c r="AKG31" s="18"/>
      <c r="AKH31" s="18"/>
      <c r="AKI31" s="18"/>
      <c r="AKJ31" s="18"/>
      <c r="AKK31" s="18"/>
      <c r="AKL31" s="18"/>
      <c r="AKM31" s="18"/>
      <c r="AKN31" s="18"/>
      <c r="AKO31" s="18"/>
      <c r="AKP31" s="18"/>
      <c r="AKQ31" s="18"/>
      <c r="AKR31" s="18"/>
      <c r="AKS31" s="18"/>
      <c r="AKT31" s="18"/>
      <c r="AKU31" s="18"/>
      <c r="AKV31" s="18"/>
      <c r="AKW31" s="18"/>
      <c r="AKX31" s="18"/>
      <c r="AKY31" s="18"/>
      <c r="AKZ31" s="18"/>
      <c r="ALA31" s="18"/>
      <c r="ALB31" s="18"/>
      <c r="ALC31" s="18"/>
      <c r="ALD31" s="18"/>
      <c r="ALE31" s="18"/>
      <c r="ALF31" s="18"/>
      <c r="ALG31" s="18"/>
      <c r="ALH31" s="18"/>
      <c r="ALI31" s="18"/>
      <c r="ALJ31" s="18"/>
      <c r="ALK31" s="18"/>
      <c r="ALL31" s="18"/>
      <c r="ALM31" s="18"/>
      <c r="ALN31" s="18"/>
      <c r="ALO31" s="18"/>
      <c r="ALP31" s="18"/>
      <c r="ALQ31" s="18"/>
      <c r="ALR31" s="18"/>
      <c r="ALS31" s="18"/>
      <c r="ALT31" s="18"/>
      <c r="ALU31" s="18"/>
      <c r="ALV31" s="18"/>
      <c r="ALW31" s="18"/>
      <c r="ALX31" s="18"/>
      <c r="ALY31" s="18"/>
      <c r="ALZ31" s="18"/>
      <c r="AMA31" s="18"/>
      <c r="AMB31" s="18"/>
      <c r="AMC31" s="18"/>
      <c r="AMD31" s="18"/>
      <c r="AME31" s="18"/>
      <c r="AMF31" s="18"/>
      <c r="AMG31" s="18"/>
      <c r="AMH31" s="18"/>
    </row>
    <row r="32" spans="1:1022" s="23" customFormat="1" x14ac:dyDescent="0.3">
      <c r="A32" s="33">
        <v>128</v>
      </c>
      <c r="B32" s="19"/>
      <c r="C32" s="19"/>
      <c r="D32" s="34" t="s">
        <v>303</v>
      </c>
      <c r="E32" s="34" t="s">
        <v>454</v>
      </c>
      <c r="F32" s="39"/>
      <c r="G32" s="19"/>
      <c r="H32" s="18"/>
      <c r="I32" s="40"/>
      <c r="J32" s="31"/>
      <c r="K32" s="38" t="s">
        <v>281</v>
      </c>
      <c r="L32" s="31"/>
      <c r="M32" s="32"/>
      <c r="N32" s="32"/>
      <c r="O32" s="18"/>
      <c r="P32" s="36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18"/>
      <c r="CV32" s="18"/>
      <c r="CW32" s="18"/>
      <c r="CX32" s="18"/>
      <c r="CY32" s="18"/>
      <c r="CZ32" s="18"/>
      <c r="DA32" s="18"/>
      <c r="DB32" s="18"/>
      <c r="DC32" s="18"/>
      <c r="DD32" s="18"/>
      <c r="DE32" s="18"/>
      <c r="DF32" s="18"/>
      <c r="DG32" s="18"/>
      <c r="DH32" s="18"/>
      <c r="DI32" s="18"/>
      <c r="DJ32" s="18"/>
      <c r="DK32" s="18"/>
      <c r="DL32" s="18"/>
      <c r="DM32" s="18"/>
      <c r="DN32" s="18"/>
      <c r="DO32" s="18"/>
      <c r="DP32" s="18"/>
      <c r="DQ32" s="18"/>
      <c r="DR32" s="18"/>
      <c r="DS32" s="18"/>
      <c r="DT32" s="18"/>
      <c r="DU32" s="18"/>
      <c r="DV32" s="18"/>
      <c r="DW32" s="18"/>
      <c r="DX32" s="18"/>
      <c r="DY32" s="18"/>
      <c r="DZ32" s="18"/>
      <c r="EA32" s="18"/>
      <c r="EB32" s="18"/>
      <c r="EC32" s="18"/>
      <c r="ED32" s="18"/>
      <c r="EE32" s="18"/>
      <c r="EF32" s="18"/>
      <c r="EG32" s="18"/>
      <c r="EH32" s="18"/>
      <c r="EI32" s="18"/>
      <c r="EJ32" s="18"/>
      <c r="EK32" s="18"/>
      <c r="EL32" s="18"/>
      <c r="EM32" s="18"/>
      <c r="EN32" s="18"/>
      <c r="EO32" s="18"/>
      <c r="EP32" s="18"/>
      <c r="EQ32" s="18"/>
      <c r="ER32" s="18"/>
      <c r="ES32" s="18"/>
      <c r="ET32" s="18"/>
      <c r="EU32" s="18"/>
      <c r="EV32" s="18"/>
      <c r="EW32" s="18"/>
      <c r="EX32" s="18"/>
      <c r="EY32" s="18"/>
      <c r="EZ32" s="18"/>
      <c r="FA32" s="18"/>
      <c r="FB32" s="18"/>
      <c r="FC32" s="18"/>
      <c r="FD32" s="18"/>
      <c r="FE32" s="18"/>
      <c r="FF32" s="18"/>
      <c r="FG32" s="18"/>
      <c r="FH32" s="18"/>
      <c r="FI32" s="18"/>
      <c r="FJ32" s="18"/>
      <c r="FK32" s="18"/>
      <c r="FL32" s="18"/>
      <c r="FM32" s="18"/>
      <c r="FN32" s="18"/>
      <c r="FO32" s="18"/>
      <c r="FP32" s="18"/>
      <c r="FQ32" s="18"/>
      <c r="FR32" s="18"/>
      <c r="FS32" s="18"/>
      <c r="FT32" s="18"/>
      <c r="FU32" s="18"/>
      <c r="FV32" s="18"/>
      <c r="FW32" s="18"/>
      <c r="FX32" s="18"/>
      <c r="FY32" s="18"/>
      <c r="FZ32" s="18"/>
      <c r="GA32" s="18"/>
      <c r="GB32" s="18"/>
      <c r="GC32" s="18"/>
      <c r="GD32" s="18"/>
      <c r="GE32" s="18"/>
      <c r="GF32" s="18"/>
      <c r="GG32" s="18"/>
      <c r="GH32" s="18"/>
      <c r="GI32" s="18"/>
      <c r="GJ32" s="18"/>
      <c r="GK32" s="18"/>
      <c r="GL32" s="18"/>
      <c r="GM32" s="18"/>
      <c r="GN32" s="18"/>
      <c r="GO32" s="18"/>
      <c r="GP32" s="18"/>
      <c r="GQ32" s="18"/>
      <c r="GR32" s="18"/>
      <c r="GS32" s="18"/>
      <c r="GT32" s="18"/>
      <c r="GU32" s="18"/>
      <c r="GV32" s="18"/>
      <c r="GW32" s="18"/>
      <c r="GX32" s="18"/>
      <c r="GY32" s="18"/>
      <c r="GZ32" s="18"/>
      <c r="HA32" s="18"/>
      <c r="HB32" s="18"/>
      <c r="HC32" s="18"/>
      <c r="HD32" s="18"/>
      <c r="HE32" s="18"/>
      <c r="HF32" s="18"/>
      <c r="HG32" s="18"/>
      <c r="HH32" s="18"/>
      <c r="HI32" s="18"/>
      <c r="HJ32" s="18"/>
      <c r="HK32" s="18"/>
      <c r="HL32" s="18"/>
      <c r="HM32" s="18"/>
      <c r="HN32" s="18"/>
      <c r="HO32" s="18"/>
      <c r="HP32" s="18"/>
      <c r="HQ32" s="18"/>
      <c r="HR32" s="18"/>
      <c r="HS32" s="18"/>
      <c r="HT32" s="18"/>
      <c r="HU32" s="18"/>
      <c r="HV32" s="18"/>
      <c r="HW32" s="18"/>
      <c r="HX32" s="18"/>
      <c r="HY32" s="18"/>
      <c r="HZ32" s="18"/>
      <c r="IA32" s="18"/>
      <c r="IB32" s="18"/>
      <c r="IC32" s="18"/>
      <c r="ID32" s="18"/>
      <c r="IE32" s="18"/>
      <c r="IF32" s="18"/>
      <c r="IG32" s="18"/>
      <c r="IH32" s="18"/>
      <c r="II32" s="18"/>
      <c r="IJ32" s="18"/>
      <c r="IK32" s="18"/>
      <c r="IL32" s="18"/>
      <c r="IM32" s="18"/>
      <c r="IN32" s="18"/>
      <c r="IO32" s="18"/>
      <c r="IP32" s="18"/>
      <c r="IQ32" s="18"/>
      <c r="IR32" s="18"/>
      <c r="IS32" s="18"/>
      <c r="IT32" s="18"/>
      <c r="IU32" s="18"/>
      <c r="IV32" s="18"/>
      <c r="IW32" s="18"/>
      <c r="IX32" s="18"/>
      <c r="IY32" s="18"/>
      <c r="IZ32" s="18"/>
      <c r="JA32" s="18"/>
      <c r="JB32" s="18"/>
      <c r="JC32" s="18"/>
      <c r="JD32" s="18"/>
      <c r="JE32" s="18"/>
      <c r="JF32" s="18"/>
      <c r="JG32" s="18"/>
      <c r="JH32" s="18"/>
      <c r="JI32" s="18"/>
      <c r="JJ32" s="18"/>
      <c r="JK32" s="18"/>
      <c r="JL32" s="18"/>
      <c r="JM32" s="18"/>
      <c r="JN32" s="18"/>
      <c r="JO32" s="18"/>
      <c r="JP32" s="18"/>
      <c r="JQ32" s="18"/>
      <c r="JR32" s="18"/>
      <c r="JS32" s="18"/>
      <c r="JT32" s="18"/>
      <c r="JU32" s="18"/>
      <c r="JV32" s="18"/>
      <c r="JW32" s="18"/>
      <c r="JX32" s="18"/>
      <c r="JY32" s="18"/>
      <c r="JZ32" s="18"/>
      <c r="KA32" s="18"/>
      <c r="KB32" s="18"/>
      <c r="KC32" s="18"/>
      <c r="KD32" s="18"/>
      <c r="KE32" s="18"/>
      <c r="KF32" s="18"/>
      <c r="KG32" s="18"/>
      <c r="KH32" s="18"/>
      <c r="KI32" s="18"/>
      <c r="KJ32" s="18"/>
      <c r="KK32" s="18"/>
      <c r="KL32" s="18"/>
      <c r="KM32" s="18"/>
      <c r="KN32" s="18"/>
      <c r="KO32" s="18"/>
      <c r="KP32" s="18"/>
      <c r="KQ32" s="18"/>
      <c r="KR32" s="18"/>
      <c r="KS32" s="18"/>
      <c r="KT32" s="18"/>
      <c r="KU32" s="18"/>
      <c r="KV32" s="18"/>
      <c r="KW32" s="18"/>
      <c r="KX32" s="18"/>
      <c r="KY32" s="18"/>
      <c r="KZ32" s="18"/>
      <c r="LA32" s="18"/>
      <c r="LB32" s="18"/>
      <c r="LC32" s="18"/>
      <c r="LD32" s="18"/>
      <c r="LE32" s="18"/>
      <c r="LF32" s="18"/>
      <c r="LG32" s="18"/>
      <c r="LH32" s="18"/>
      <c r="LI32" s="18"/>
      <c r="LJ32" s="18"/>
      <c r="LK32" s="18"/>
      <c r="LL32" s="18"/>
      <c r="LM32" s="18"/>
      <c r="LN32" s="18"/>
      <c r="LO32" s="18"/>
      <c r="LP32" s="18"/>
      <c r="LQ32" s="18"/>
      <c r="LR32" s="18"/>
      <c r="LS32" s="18"/>
      <c r="LT32" s="18"/>
      <c r="LU32" s="18"/>
      <c r="LV32" s="18"/>
      <c r="LW32" s="18"/>
      <c r="LX32" s="18"/>
      <c r="LY32" s="18"/>
      <c r="LZ32" s="18"/>
      <c r="MA32" s="18"/>
      <c r="MB32" s="18"/>
      <c r="MC32" s="18"/>
      <c r="MD32" s="18"/>
      <c r="ME32" s="18"/>
      <c r="MF32" s="18"/>
      <c r="MG32" s="18"/>
      <c r="MH32" s="18"/>
      <c r="MI32" s="18"/>
      <c r="MJ32" s="18"/>
      <c r="MK32" s="18"/>
      <c r="ML32" s="18"/>
      <c r="MM32" s="18"/>
      <c r="MN32" s="18"/>
      <c r="MO32" s="18"/>
      <c r="MP32" s="18"/>
      <c r="MQ32" s="18"/>
      <c r="MR32" s="18"/>
      <c r="MS32" s="18"/>
      <c r="MT32" s="18"/>
      <c r="MU32" s="18"/>
      <c r="MV32" s="18"/>
      <c r="MW32" s="18"/>
      <c r="MX32" s="18"/>
      <c r="MY32" s="18"/>
      <c r="MZ32" s="18"/>
      <c r="NA32" s="18"/>
      <c r="NB32" s="18"/>
      <c r="NC32" s="18"/>
      <c r="ND32" s="18"/>
      <c r="NE32" s="18"/>
      <c r="NF32" s="18"/>
      <c r="NG32" s="18"/>
      <c r="NH32" s="18"/>
      <c r="NI32" s="18"/>
      <c r="NJ32" s="18"/>
      <c r="NK32" s="18"/>
      <c r="NL32" s="18"/>
      <c r="NM32" s="18"/>
      <c r="NN32" s="18"/>
      <c r="NO32" s="18"/>
      <c r="NP32" s="18"/>
      <c r="NQ32" s="18"/>
      <c r="NR32" s="18"/>
      <c r="NS32" s="18"/>
      <c r="NT32" s="18"/>
      <c r="NU32" s="18"/>
      <c r="NV32" s="18"/>
      <c r="NW32" s="18"/>
      <c r="NX32" s="18"/>
      <c r="NY32" s="18"/>
      <c r="NZ32" s="18"/>
      <c r="OA32" s="18"/>
      <c r="OB32" s="18"/>
      <c r="OC32" s="18"/>
      <c r="OD32" s="18"/>
      <c r="OE32" s="18"/>
      <c r="OF32" s="18"/>
      <c r="OG32" s="18"/>
      <c r="OH32" s="18"/>
      <c r="OI32" s="18"/>
      <c r="OJ32" s="18"/>
      <c r="OK32" s="18"/>
      <c r="OL32" s="18"/>
      <c r="OM32" s="18"/>
      <c r="ON32" s="18"/>
      <c r="OO32" s="18"/>
      <c r="OP32" s="18"/>
      <c r="OQ32" s="18"/>
      <c r="OR32" s="18"/>
      <c r="OS32" s="18"/>
      <c r="OT32" s="18"/>
      <c r="OU32" s="18"/>
      <c r="OV32" s="18"/>
      <c r="OW32" s="18"/>
      <c r="OX32" s="18"/>
      <c r="OY32" s="18"/>
      <c r="OZ32" s="18"/>
      <c r="PA32" s="18"/>
      <c r="PB32" s="18"/>
      <c r="PC32" s="18"/>
      <c r="PD32" s="18"/>
      <c r="PE32" s="18"/>
      <c r="PF32" s="18"/>
      <c r="PG32" s="18"/>
      <c r="PH32" s="18"/>
      <c r="PI32" s="18"/>
      <c r="PJ32" s="18"/>
      <c r="PK32" s="18"/>
      <c r="PL32" s="18"/>
      <c r="PM32" s="18"/>
      <c r="PN32" s="18"/>
      <c r="PO32" s="18"/>
      <c r="PP32" s="18"/>
      <c r="PQ32" s="18"/>
      <c r="PR32" s="18"/>
      <c r="PS32" s="18"/>
      <c r="PT32" s="18"/>
      <c r="PU32" s="18"/>
      <c r="PV32" s="18"/>
      <c r="PW32" s="18"/>
      <c r="PX32" s="18"/>
      <c r="PY32" s="18"/>
      <c r="PZ32" s="18"/>
      <c r="QA32" s="18"/>
      <c r="QB32" s="18"/>
      <c r="QC32" s="18"/>
      <c r="QD32" s="18"/>
      <c r="QE32" s="18"/>
      <c r="QF32" s="18"/>
      <c r="QG32" s="18"/>
      <c r="QH32" s="18"/>
      <c r="QI32" s="18"/>
      <c r="QJ32" s="18"/>
      <c r="QK32" s="18"/>
      <c r="QL32" s="18"/>
      <c r="QM32" s="18"/>
      <c r="QN32" s="18"/>
      <c r="QO32" s="18"/>
      <c r="QP32" s="18"/>
      <c r="QQ32" s="18"/>
      <c r="QR32" s="18"/>
      <c r="QS32" s="18"/>
      <c r="QT32" s="18"/>
      <c r="QU32" s="18"/>
      <c r="QV32" s="18"/>
      <c r="QW32" s="18"/>
      <c r="QX32" s="18"/>
      <c r="QY32" s="18"/>
      <c r="QZ32" s="18"/>
      <c r="RA32" s="18"/>
      <c r="RB32" s="18"/>
      <c r="RC32" s="18"/>
      <c r="RD32" s="18"/>
      <c r="RE32" s="18"/>
      <c r="RF32" s="18"/>
      <c r="RG32" s="18"/>
      <c r="RH32" s="18"/>
      <c r="RI32" s="18"/>
      <c r="RJ32" s="18"/>
      <c r="RK32" s="18"/>
      <c r="RL32" s="18"/>
      <c r="RM32" s="18"/>
      <c r="RN32" s="18"/>
      <c r="RO32" s="18"/>
      <c r="RP32" s="18"/>
      <c r="RQ32" s="18"/>
      <c r="RR32" s="18"/>
      <c r="RS32" s="18"/>
      <c r="RT32" s="18"/>
      <c r="RU32" s="18"/>
      <c r="RV32" s="18"/>
      <c r="RW32" s="18"/>
      <c r="RX32" s="18"/>
      <c r="RY32" s="18"/>
      <c r="RZ32" s="18"/>
      <c r="SA32" s="18"/>
      <c r="SB32" s="18"/>
      <c r="SC32" s="18"/>
      <c r="SD32" s="18"/>
      <c r="SE32" s="18"/>
      <c r="SF32" s="18"/>
      <c r="SG32" s="18"/>
      <c r="SH32" s="18"/>
      <c r="SI32" s="18"/>
      <c r="SJ32" s="18"/>
      <c r="SK32" s="18"/>
      <c r="SL32" s="18"/>
      <c r="SM32" s="18"/>
      <c r="SN32" s="18"/>
      <c r="SO32" s="18"/>
      <c r="SP32" s="18"/>
      <c r="SQ32" s="18"/>
      <c r="SR32" s="18"/>
      <c r="SS32" s="18"/>
      <c r="ST32" s="18"/>
      <c r="SU32" s="18"/>
      <c r="SV32" s="18"/>
      <c r="SW32" s="18"/>
      <c r="SX32" s="18"/>
      <c r="SY32" s="18"/>
      <c r="SZ32" s="18"/>
      <c r="TA32" s="18"/>
      <c r="TB32" s="18"/>
      <c r="TC32" s="18"/>
      <c r="TD32" s="18"/>
      <c r="TE32" s="18"/>
      <c r="TF32" s="18"/>
      <c r="TG32" s="18"/>
      <c r="TH32" s="18"/>
      <c r="TI32" s="18"/>
      <c r="TJ32" s="18"/>
      <c r="TK32" s="18"/>
      <c r="TL32" s="18"/>
      <c r="TM32" s="18"/>
      <c r="TN32" s="18"/>
      <c r="TO32" s="18"/>
      <c r="TP32" s="18"/>
      <c r="TQ32" s="18"/>
      <c r="TR32" s="18"/>
      <c r="TS32" s="18"/>
      <c r="TT32" s="18"/>
      <c r="TU32" s="18"/>
      <c r="TV32" s="18"/>
      <c r="TW32" s="18"/>
      <c r="TX32" s="18"/>
      <c r="TY32" s="18"/>
      <c r="TZ32" s="18"/>
      <c r="UA32" s="18"/>
      <c r="UB32" s="18"/>
      <c r="UC32" s="18"/>
      <c r="UD32" s="18"/>
      <c r="UE32" s="18"/>
      <c r="UF32" s="18"/>
      <c r="UG32" s="18"/>
      <c r="UH32" s="18"/>
      <c r="UI32" s="18"/>
      <c r="UJ32" s="18"/>
      <c r="UK32" s="18"/>
      <c r="UL32" s="18"/>
      <c r="UM32" s="18"/>
      <c r="UN32" s="18"/>
      <c r="UO32" s="18"/>
      <c r="UP32" s="18"/>
      <c r="UQ32" s="18"/>
      <c r="UR32" s="18"/>
      <c r="US32" s="18"/>
      <c r="UT32" s="18"/>
      <c r="UU32" s="18"/>
      <c r="UV32" s="18"/>
      <c r="UW32" s="18"/>
      <c r="UX32" s="18"/>
      <c r="UY32" s="18"/>
      <c r="UZ32" s="18"/>
      <c r="VA32" s="18"/>
      <c r="VB32" s="18"/>
      <c r="VC32" s="18"/>
      <c r="VD32" s="18"/>
      <c r="VE32" s="18"/>
      <c r="VF32" s="18"/>
      <c r="VG32" s="18"/>
      <c r="VH32" s="18"/>
      <c r="VI32" s="18"/>
      <c r="VJ32" s="18"/>
      <c r="VK32" s="18"/>
      <c r="VL32" s="18"/>
      <c r="VM32" s="18"/>
      <c r="VN32" s="18"/>
      <c r="VO32" s="18"/>
      <c r="VP32" s="18"/>
      <c r="VQ32" s="18"/>
      <c r="VR32" s="18"/>
      <c r="VS32" s="18"/>
      <c r="VT32" s="18"/>
      <c r="VU32" s="18"/>
      <c r="VV32" s="18"/>
      <c r="VW32" s="18"/>
      <c r="VX32" s="18"/>
      <c r="VY32" s="18"/>
      <c r="VZ32" s="18"/>
      <c r="WA32" s="18"/>
      <c r="WB32" s="18"/>
      <c r="WC32" s="18"/>
      <c r="WD32" s="18"/>
      <c r="WE32" s="18"/>
      <c r="WF32" s="18"/>
      <c r="WG32" s="18"/>
      <c r="WH32" s="18"/>
      <c r="WI32" s="18"/>
      <c r="WJ32" s="18"/>
      <c r="WK32" s="18"/>
      <c r="WL32" s="18"/>
      <c r="WM32" s="18"/>
      <c r="WN32" s="18"/>
      <c r="WO32" s="18"/>
      <c r="WP32" s="18"/>
      <c r="WQ32" s="18"/>
      <c r="WR32" s="18"/>
      <c r="WS32" s="18"/>
      <c r="WT32" s="18"/>
      <c r="WU32" s="18"/>
      <c r="WV32" s="18"/>
      <c r="WW32" s="18"/>
      <c r="WX32" s="18"/>
      <c r="WY32" s="18"/>
      <c r="WZ32" s="18"/>
      <c r="XA32" s="18"/>
      <c r="XB32" s="18"/>
      <c r="XC32" s="18"/>
      <c r="XD32" s="18"/>
      <c r="XE32" s="18"/>
      <c r="XF32" s="18"/>
      <c r="XG32" s="18"/>
      <c r="XH32" s="18"/>
      <c r="XI32" s="18"/>
      <c r="XJ32" s="18"/>
      <c r="XK32" s="18"/>
      <c r="XL32" s="18"/>
      <c r="XM32" s="18"/>
      <c r="XN32" s="18"/>
      <c r="XO32" s="18"/>
      <c r="XP32" s="18"/>
      <c r="XQ32" s="18"/>
      <c r="XR32" s="18"/>
      <c r="XS32" s="18"/>
      <c r="XT32" s="18"/>
      <c r="XU32" s="18"/>
      <c r="XV32" s="18"/>
      <c r="XW32" s="18"/>
      <c r="XX32" s="18"/>
      <c r="XY32" s="18"/>
      <c r="XZ32" s="18"/>
      <c r="YA32" s="18"/>
      <c r="YB32" s="18"/>
      <c r="YC32" s="18"/>
      <c r="YD32" s="18"/>
      <c r="YE32" s="18"/>
      <c r="YF32" s="18"/>
      <c r="YG32" s="18"/>
      <c r="YH32" s="18"/>
      <c r="YI32" s="18"/>
      <c r="YJ32" s="18"/>
      <c r="YK32" s="18"/>
      <c r="YL32" s="18"/>
      <c r="YM32" s="18"/>
      <c r="YN32" s="18"/>
      <c r="YO32" s="18"/>
      <c r="YP32" s="18"/>
      <c r="YQ32" s="18"/>
      <c r="YR32" s="18"/>
      <c r="YS32" s="18"/>
      <c r="YT32" s="18"/>
      <c r="YU32" s="18"/>
      <c r="YV32" s="18"/>
      <c r="YW32" s="18"/>
      <c r="YX32" s="18"/>
      <c r="YY32" s="18"/>
      <c r="YZ32" s="18"/>
      <c r="ZA32" s="18"/>
      <c r="ZB32" s="18"/>
      <c r="ZC32" s="18"/>
      <c r="ZD32" s="18"/>
      <c r="ZE32" s="18"/>
      <c r="ZF32" s="18"/>
      <c r="ZG32" s="18"/>
      <c r="ZH32" s="18"/>
      <c r="ZI32" s="18"/>
      <c r="ZJ32" s="18"/>
      <c r="ZK32" s="18"/>
      <c r="ZL32" s="18"/>
      <c r="ZM32" s="18"/>
      <c r="ZN32" s="18"/>
      <c r="ZO32" s="18"/>
      <c r="ZP32" s="18"/>
      <c r="ZQ32" s="18"/>
      <c r="ZR32" s="18"/>
      <c r="ZS32" s="18"/>
      <c r="ZT32" s="18"/>
      <c r="ZU32" s="18"/>
      <c r="ZV32" s="18"/>
      <c r="ZW32" s="18"/>
      <c r="ZX32" s="18"/>
      <c r="ZY32" s="18"/>
      <c r="ZZ32" s="18"/>
      <c r="AAA32" s="18"/>
      <c r="AAB32" s="18"/>
      <c r="AAC32" s="18"/>
      <c r="AAD32" s="18"/>
      <c r="AAE32" s="18"/>
      <c r="AAF32" s="18"/>
      <c r="AAG32" s="18"/>
      <c r="AAH32" s="18"/>
      <c r="AAI32" s="18"/>
      <c r="AAJ32" s="18"/>
      <c r="AAK32" s="18"/>
      <c r="AAL32" s="18"/>
      <c r="AAM32" s="18"/>
      <c r="AAN32" s="18"/>
      <c r="AAO32" s="18"/>
      <c r="AAP32" s="18"/>
      <c r="AAQ32" s="18"/>
      <c r="AAR32" s="18"/>
      <c r="AAS32" s="18"/>
      <c r="AAT32" s="18"/>
      <c r="AAU32" s="18"/>
      <c r="AAV32" s="18"/>
      <c r="AAW32" s="18"/>
      <c r="AAX32" s="18"/>
      <c r="AAY32" s="18"/>
      <c r="AAZ32" s="18"/>
      <c r="ABA32" s="18"/>
      <c r="ABB32" s="18"/>
      <c r="ABC32" s="18"/>
      <c r="ABD32" s="18"/>
      <c r="ABE32" s="18"/>
      <c r="ABF32" s="18"/>
      <c r="ABG32" s="18"/>
      <c r="ABH32" s="18"/>
      <c r="ABI32" s="18"/>
      <c r="ABJ32" s="18"/>
      <c r="ABK32" s="18"/>
      <c r="ABL32" s="18"/>
      <c r="ABM32" s="18"/>
      <c r="ABN32" s="18"/>
      <c r="ABO32" s="18"/>
      <c r="ABP32" s="18"/>
      <c r="ABQ32" s="18"/>
      <c r="ABR32" s="18"/>
      <c r="ABS32" s="18"/>
      <c r="ABT32" s="18"/>
      <c r="ABU32" s="18"/>
      <c r="ABV32" s="18"/>
      <c r="ABW32" s="18"/>
      <c r="ABX32" s="18"/>
      <c r="ABY32" s="18"/>
      <c r="ABZ32" s="18"/>
      <c r="ACA32" s="18"/>
      <c r="ACB32" s="18"/>
      <c r="ACC32" s="18"/>
      <c r="ACD32" s="18"/>
      <c r="ACE32" s="18"/>
      <c r="ACF32" s="18"/>
      <c r="ACG32" s="18"/>
      <c r="ACH32" s="18"/>
      <c r="ACI32" s="18"/>
      <c r="ACJ32" s="18"/>
      <c r="ACK32" s="18"/>
      <c r="ACL32" s="18"/>
      <c r="ACM32" s="18"/>
      <c r="ACN32" s="18"/>
      <c r="ACO32" s="18"/>
      <c r="ACP32" s="18"/>
      <c r="ACQ32" s="18"/>
      <c r="ACR32" s="18"/>
      <c r="ACS32" s="18"/>
      <c r="ACT32" s="18"/>
      <c r="ACU32" s="18"/>
      <c r="ACV32" s="18"/>
      <c r="ACW32" s="18"/>
      <c r="ACX32" s="18"/>
      <c r="ACY32" s="18"/>
      <c r="ACZ32" s="18"/>
      <c r="ADA32" s="18"/>
      <c r="ADB32" s="18"/>
      <c r="ADC32" s="18"/>
      <c r="ADD32" s="18"/>
      <c r="ADE32" s="18"/>
      <c r="ADF32" s="18"/>
      <c r="ADG32" s="18"/>
      <c r="ADH32" s="18"/>
      <c r="ADI32" s="18"/>
      <c r="ADJ32" s="18"/>
      <c r="ADK32" s="18"/>
      <c r="ADL32" s="18"/>
      <c r="ADM32" s="18"/>
      <c r="ADN32" s="18"/>
      <c r="ADO32" s="18"/>
      <c r="ADP32" s="18"/>
      <c r="ADQ32" s="18"/>
      <c r="ADR32" s="18"/>
      <c r="ADS32" s="18"/>
      <c r="ADT32" s="18"/>
      <c r="ADU32" s="18"/>
      <c r="ADV32" s="18"/>
      <c r="ADW32" s="18"/>
      <c r="ADX32" s="18"/>
      <c r="ADY32" s="18"/>
      <c r="ADZ32" s="18"/>
      <c r="AEA32" s="18"/>
      <c r="AEB32" s="18"/>
      <c r="AEC32" s="18"/>
      <c r="AED32" s="18"/>
      <c r="AEE32" s="18"/>
      <c r="AEF32" s="18"/>
      <c r="AEG32" s="18"/>
      <c r="AEH32" s="18"/>
      <c r="AEI32" s="18"/>
      <c r="AEJ32" s="18"/>
      <c r="AEK32" s="18"/>
      <c r="AEL32" s="18"/>
      <c r="AEM32" s="18"/>
      <c r="AEN32" s="18"/>
      <c r="AEO32" s="18"/>
      <c r="AEP32" s="18"/>
      <c r="AEQ32" s="18"/>
      <c r="AER32" s="18"/>
      <c r="AES32" s="18"/>
      <c r="AET32" s="18"/>
      <c r="AEU32" s="18"/>
      <c r="AEV32" s="18"/>
      <c r="AEW32" s="18"/>
      <c r="AEX32" s="18"/>
      <c r="AEY32" s="18"/>
      <c r="AEZ32" s="18"/>
      <c r="AFA32" s="18"/>
      <c r="AFB32" s="18"/>
      <c r="AFC32" s="18"/>
      <c r="AFD32" s="18"/>
      <c r="AFE32" s="18"/>
      <c r="AFF32" s="18"/>
      <c r="AFG32" s="18"/>
      <c r="AFH32" s="18"/>
      <c r="AFI32" s="18"/>
      <c r="AFJ32" s="18"/>
      <c r="AFK32" s="18"/>
      <c r="AFL32" s="18"/>
      <c r="AFM32" s="18"/>
      <c r="AFN32" s="18"/>
      <c r="AFO32" s="18"/>
      <c r="AFP32" s="18"/>
      <c r="AFQ32" s="18"/>
      <c r="AFR32" s="18"/>
      <c r="AFS32" s="18"/>
      <c r="AFT32" s="18"/>
      <c r="AFU32" s="18"/>
      <c r="AFV32" s="18"/>
      <c r="AFW32" s="18"/>
      <c r="AFX32" s="18"/>
      <c r="AFY32" s="18"/>
      <c r="AFZ32" s="18"/>
      <c r="AGA32" s="18"/>
      <c r="AGB32" s="18"/>
      <c r="AGC32" s="18"/>
      <c r="AGD32" s="18"/>
      <c r="AGE32" s="18"/>
      <c r="AGF32" s="18"/>
      <c r="AGG32" s="18"/>
      <c r="AGH32" s="18"/>
      <c r="AGI32" s="18"/>
      <c r="AGJ32" s="18"/>
      <c r="AGK32" s="18"/>
      <c r="AGL32" s="18"/>
      <c r="AGM32" s="18"/>
      <c r="AGN32" s="18"/>
      <c r="AGO32" s="18"/>
      <c r="AGP32" s="18"/>
      <c r="AGQ32" s="18"/>
      <c r="AGR32" s="18"/>
      <c r="AGS32" s="18"/>
      <c r="AGT32" s="18"/>
      <c r="AGU32" s="18"/>
      <c r="AGV32" s="18"/>
      <c r="AGW32" s="18"/>
      <c r="AGX32" s="18"/>
      <c r="AGY32" s="18"/>
      <c r="AGZ32" s="18"/>
      <c r="AHA32" s="18"/>
      <c r="AHB32" s="18"/>
      <c r="AHC32" s="18"/>
      <c r="AHD32" s="18"/>
      <c r="AHE32" s="18"/>
      <c r="AHF32" s="18"/>
      <c r="AHG32" s="18"/>
      <c r="AHH32" s="18"/>
      <c r="AHI32" s="18"/>
      <c r="AHJ32" s="18"/>
      <c r="AHK32" s="18"/>
      <c r="AHL32" s="18"/>
      <c r="AHM32" s="18"/>
      <c r="AHN32" s="18"/>
      <c r="AHO32" s="18"/>
      <c r="AHP32" s="18"/>
      <c r="AHQ32" s="18"/>
      <c r="AHR32" s="18"/>
      <c r="AHS32" s="18"/>
      <c r="AHT32" s="18"/>
      <c r="AHU32" s="18"/>
      <c r="AHV32" s="18"/>
      <c r="AHW32" s="18"/>
      <c r="AHX32" s="18"/>
      <c r="AHY32" s="18"/>
      <c r="AHZ32" s="18"/>
      <c r="AIA32" s="18"/>
      <c r="AIB32" s="18"/>
      <c r="AIC32" s="18"/>
      <c r="AID32" s="18"/>
      <c r="AIE32" s="18"/>
      <c r="AIF32" s="18"/>
      <c r="AIG32" s="18"/>
      <c r="AIH32" s="18"/>
      <c r="AII32" s="18"/>
      <c r="AIJ32" s="18"/>
      <c r="AIK32" s="18"/>
      <c r="AIL32" s="18"/>
      <c r="AIM32" s="18"/>
      <c r="AIN32" s="18"/>
      <c r="AIO32" s="18"/>
      <c r="AIP32" s="18"/>
      <c r="AIQ32" s="18"/>
      <c r="AIR32" s="18"/>
      <c r="AIS32" s="18"/>
      <c r="AIT32" s="18"/>
      <c r="AIU32" s="18"/>
      <c r="AIV32" s="18"/>
      <c r="AIW32" s="18"/>
      <c r="AIX32" s="18"/>
      <c r="AIY32" s="18"/>
      <c r="AIZ32" s="18"/>
      <c r="AJA32" s="18"/>
      <c r="AJB32" s="18"/>
      <c r="AJC32" s="18"/>
      <c r="AJD32" s="18"/>
      <c r="AJE32" s="18"/>
      <c r="AJF32" s="18"/>
      <c r="AJG32" s="18"/>
      <c r="AJH32" s="18"/>
      <c r="AJI32" s="18"/>
      <c r="AJJ32" s="18"/>
      <c r="AJK32" s="18"/>
      <c r="AJL32" s="18"/>
      <c r="AJM32" s="18"/>
      <c r="AJN32" s="18"/>
      <c r="AJO32" s="18"/>
      <c r="AJP32" s="18"/>
      <c r="AJQ32" s="18"/>
      <c r="AJR32" s="18"/>
      <c r="AJS32" s="18"/>
      <c r="AJT32" s="18"/>
      <c r="AJU32" s="18"/>
      <c r="AJV32" s="18"/>
      <c r="AJW32" s="18"/>
      <c r="AJX32" s="18"/>
      <c r="AJY32" s="18"/>
      <c r="AJZ32" s="18"/>
      <c r="AKA32" s="18"/>
      <c r="AKB32" s="18"/>
      <c r="AKC32" s="18"/>
      <c r="AKD32" s="18"/>
      <c r="AKE32" s="18"/>
      <c r="AKF32" s="18"/>
      <c r="AKG32" s="18"/>
      <c r="AKH32" s="18"/>
      <c r="AKI32" s="18"/>
      <c r="AKJ32" s="18"/>
      <c r="AKK32" s="18"/>
      <c r="AKL32" s="18"/>
      <c r="AKM32" s="18"/>
      <c r="AKN32" s="18"/>
      <c r="AKO32" s="18"/>
      <c r="AKP32" s="18"/>
      <c r="AKQ32" s="18"/>
      <c r="AKR32" s="18"/>
      <c r="AKS32" s="18"/>
      <c r="AKT32" s="18"/>
      <c r="AKU32" s="18"/>
      <c r="AKV32" s="18"/>
      <c r="AKW32" s="18"/>
      <c r="AKX32" s="18"/>
      <c r="AKY32" s="18"/>
      <c r="AKZ32" s="18"/>
      <c r="ALA32" s="18"/>
      <c r="ALB32" s="18"/>
      <c r="ALC32" s="18"/>
      <c r="ALD32" s="18"/>
      <c r="ALE32" s="18"/>
      <c r="ALF32" s="18"/>
      <c r="ALG32" s="18"/>
      <c r="ALH32" s="18"/>
      <c r="ALI32" s="18"/>
      <c r="ALJ32" s="18"/>
      <c r="ALK32" s="18"/>
      <c r="ALL32" s="18"/>
      <c r="ALM32" s="18"/>
      <c r="ALN32" s="18"/>
      <c r="ALO32" s="18"/>
      <c r="ALP32" s="18"/>
      <c r="ALQ32" s="18"/>
      <c r="ALR32" s="18"/>
      <c r="ALS32" s="18"/>
      <c r="ALT32" s="18"/>
      <c r="ALU32" s="18"/>
      <c r="ALV32" s="18"/>
      <c r="ALW32" s="18"/>
      <c r="ALX32" s="18"/>
      <c r="ALY32" s="18"/>
      <c r="ALZ32" s="18"/>
      <c r="AMA32" s="18"/>
      <c r="AMB32" s="18"/>
      <c r="AMC32" s="18"/>
      <c r="AMD32" s="18"/>
      <c r="AME32" s="18"/>
      <c r="AMF32" s="18"/>
      <c r="AMG32" s="18"/>
      <c r="AMH32" s="18"/>
    </row>
    <row r="33" spans="1:1022" s="23" customFormat="1" x14ac:dyDescent="0.3">
      <c r="A33" s="33">
        <v>129</v>
      </c>
      <c r="B33" s="19"/>
      <c r="C33" s="19"/>
      <c r="D33" s="58" t="s">
        <v>304</v>
      </c>
      <c r="E33" s="34" t="s">
        <v>455</v>
      </c>
      <c r="F33" s="39"/>
      <c r="G33" s="19"/>
      <c r="H33" s="38" t="s">
        <v>281</v>
      </c>
      <c r="I33" s="40"/>
      <c r="J33" s="31"/>
      <c r="K33" s="31"/>
      <c r="L33" s="31"/>
      <c r="M33" s="32"/>
      <c r="N33" s="32"/>
      <c r="O33" s="18"/>
      <c r="P33" s="36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8"/>
      <c r="FW33" s="18"/>
      <c r="FX33" s="18"/>
      <c r="FY33" s="18"/>
      <c r="FZ33" s="18"/>
      <c r="GA33" s="18"/>
      <c r="GB33" s="18"/>
      <c r="GC33" s="18"/>
      <c r="GD33" s="18"/>
      <c r="GE33" s="18"/>
      <c r="GF33" s="18"/>
      <c r="GG33" s="18"/>
      <c r="GH33" s="18"/>
      <c r="GI33" s="18"/>
      <c r="GJ33" s="18"/>
      <c r="GK33" s="18"/>
      <c r="GL33" s="18"/>
      <c r="GM33" s="18"/>
      <c r="GN33" s="18"/>
      <c r="GO33" s="18"/>
      <c r="GP33" s="18"/>
      <c r="GQ33" s="18"/>
      <c r="GR33" s="18"/>
      <c r="GS33" s="18"/>
      <c r="GT33" s="18"/>
      <c r="GU33" s="18"/>
      <c r="GV33" s="18"/>
      <c r="GW33" s="18"/>
      <c r="GX33" s="18"/>
      <c r="GY33" s="18"/>
      <c r="GZ33" s="18"/>
      <c r="HA33" s="18"/>
      <c r="HB33" s="18"/>
      <c r="HC33" s="18"/>
      <c r="HD33" s="18"/>
      <c r="HE33" s="18"/>
      <c r="HF33" s="18"/>
      <c r="HG33" s="18"/>
      <c r="HH33" s="18"/>
      <c r="HI33" s="18"/>
      <c r="HJ33" s="18"/>
      <c r="HK33" s="18"/>
      <c r="HL33" s="18"/>
      <c r="HM33" s="18"/>
      <c r="HN33" s="18"/>
      <c r="HO33" s="18"/>
      <c r="HP33" s="18"/>
      <c r="HQ33" s="18"/>
      <c r="HR33" s="18"/>
      <c r="HS33" s="18"/>
      <c r="HT33" s="18"/>
      <c r="HU33" s="18"/>
      <c r="HV33" s="18"/>
      <c r="HW33" s="18"/>
      <c r="HX33" s="18"/>
      <c r="HY33" s="18"/>
      <c r="HZ33" s="18"/>
      <c r="IA33" s="18"/>
      <c r="IB33" s="18"/>
      <c r="IC33" s="18"/>
      <c r="ID33" s="18"/>
      <c r="IE33" s="18"/>
      <c r="IF33" s="18"/>
      <c r="IG33" s="18"/>
      <c r="IH33" s="18"/>
      <c r="II33" s="18"/>
      <c r="IJ33" s="18"/>
      <c r="IK33" s="18"/>
      <c r="IL33" s="18"/>
      <c r="IM33" s="18"/>
      <c r="IN33" s="18"/>
      <c r="IO33" s="18"/>
      <c r="IP33" s="18"/>
      <c r="IQ33" s="18"/>
      <c r="IR33" s="18"/>
      <c r="IS33" s="18"/>
      <c r="IT33" s="18"/>
      <c r="IU33" s="18"/>
      <c r="IV33" s="18"/>
      <c r="IW33" s="18"/>
      <c r="IX33" s="18"/>
      <c r="IY33" s="18"/>
      <c r="IZ33" s="18"/>
      <c r="JA33" s="18"/>
      <c r="JB33" s="18"/>
      <c r="JC33" s="18"/>
      <c r="JD33" s="18"/>
      <c r="JE33" s="18"/>
      <c r="JF33" s="18"/>
      <c r="JG33" s="18"/>
      <c r="JH33" s="18"/>
      <c r="JI33" s="18"/>
      <c r="JJ33" s="18"/>
      <c r="JK33" s="18"/>
      <c r="JL33" s="18"/>
      <c r="JM33" s="18"/>
      <c r="JN33" s="18"/>
      <c r="JO33" s="18"/>
      <c r="JP33" s="18"/>
      <c r="JQ33" s="18"/>
      <c r="JR33" s="18"/>
      <c r="JS33" s="18"/>
      <c r="JT33" s="18"/>
      <c r="JU33" s="18"/>
      <c r="JV33" s="18"/>
      <c r="JW33" s="18"/>
      <c r="JX33" s="18"/>
      <c r="JY33" s="18"/>
      <c r="JZ33" s="18"/>
      <c r="KA33" s="18"/>
      <c r="KB33" s="18"/>
      <c r="KC33" s="18"/>
      <c r="KD33" s="18"/>
      <c r="KE33" s="18"/>
      <c r="KF33" s="18"/>
      <c r="KG33" s="18"/>
      <c r="KH33" s="18"/>
      <c r="KI33" s="18"/>
      <c r="KJ33" s="18"/>
      <c r="KK33" s="18"/>
      <c r="KL33" s="18"/>
      <c r="KM33" s="18"/>
      <c r="KN33" s="18"/>
      <c r="KO33" s="18"/>
      <c r="KP33" s="18"/>
      <c r="KQ33" s="18"/>
      <c r="KR33" s="18"/>
      <c r="KS33" s="18"/>
      <c r="KT33" s="18"/>
      <c r="KU33" s="18"/>
      <c r="KV33" s="18"/>
      <c r="KW33" s="18"/>
      <c r="KX33" s="18"/>
      <c r="KY33" s="18"/>
      <c r="KZ33" s="18"/>
      <c r="LA33" s="18"/>
      <c r="LB33" s="18"/>
      <c r="LC33" s="18"/>
      <c r="LD33" s="18"/>
      <c r="LE33" s="18"/>
      <c r="LF33" s="18"/>
      <c r="LG33" s="18"/>
      <c r="LH33" s="18"/>
      <c r="LI33" s="18"/>
      <c r="LJ33" s="18"/>
      <c r="LK33" s="18"/>
      <c r="LL33" s="18"/>
      <c r="LM33" s="18"/>
      <c r="LN33" s="18"/>
      <c r="LO33" s="18"/>
      <c r="LP33" s="18"/>
      <c r="LQ33" s="18"/>
      <c r="LR33" s="18"/>
      <c r="LS33" s="18"/>
      <c r="LT33" s="18"/>
      <c r="LU33" s="18"/>
      <c r="LV33" s="18"/>
      <c r="LW33" s="18"/>
      <c r="LX33" s="18"/>
      <c r="LY33" s="18"/>
      <c r="LZ33" s="18"/>
      <c r="MA33" s="18"/>
      <c r="MB33" s="18"/>
      <c r="MC33" s="18"/>
      <c r="MD33" s="18"/>
      <c r="ME33" s="18"/>
      <c r="MF33" s="18"/>
      <c r="MG33" s="18"/>
      <c r="MH33" s="18"/>
      <c r="MI33" s="18"/>
      <c r="MJ33" s="18"/>
      <c r="MK33" s="18"/>
      <c r="ML33" s="18"/>
      <c r="MM33" s="18"/>
      <c r="MN33" s="18"/>
      <c r="MO33" s="18"/>
      <c r="MP33" s="18"/>
      <c r="MQ33" s="18"/>
      <c r="MR33" s="18"/>
      <c r="MS33" s="18"/>
      <c r="MT33" s="18"/>
      <c r="MU33" s="18"/>
      <c r="MV33" s="18"/>
      <c r="MW33" s="18"/>
      <c r="MX33" s="18"/>
      <c r="MY33" s="18"/>
      <c r="MZ33" s="18"/>
      <c r="NA33" s="18"/>
      <c r="NB33" s="18"/>
      <c r="NC33" s="18"/>
      <c r="ND33" s="18"/>
      <c r="NE33" s="18"/>
      <c r="NF33" s="18"/>
      <c r="NG33" s="18"/>
      <c r="NH33" s="18"/>
      <c r="NI33" s="18"/>
      <c r="NJ33" s="18"/>
      <c r="NK33" s="18"/>
      <c r="NL33" s="18"/>
      <c r="NM33" s="18"/>
      <c r="NN33" s="18"/>
      <c r="NO33" s="18"/>
      <c r="NP33" s="18"/>
      <c r="NQ33" s="18"/>
      <c r="NR33" s="18"/>
      <c r="NS33" s="18"/>
      <c r="NT33" s="18"/>
      <c r="NU33" s="18"/>
      <c r="NV33" s="18"/>
      <c r="NW33" s="18"/>
      <c r="NX33" s="18"/>
      <c r="NY33" s="18"/>
      <c r="NZ33" s="18"/>
      <c r="OA33" s="18"/>
      <c r="OB33" s="18"/>
      <c r="OC33" s="18"/>
      <c r="OD33" s="18"/>
      <c r="OE33" s="18"/>
      <c r="OF33" s="18"/>
      <c r="OG33" s="18"/>
      <c r="OH33" s="18"/>
      <c r="OI33" s="18"/>
      <c r="OJ33" s="18"/>
      <c r="OK33" s="18"/>
      <c r="OL33" s="18"/>
      <c r="OM33" s="18"/>
      <c r="ON33" s="18"/>
      <c r="OO33" s="18"/>
      <c r="OP33" s="18"/>
      <c r="OQ33" s="18"/>
      <c r="OR33" s="18"/>
      <c r="OS33" s="18"/>
      <c r="OT33" s="18"/>
      <c r="OU33" s="18"/>
      <c r="OV33" s="18"/>
      <c r="OW33" s="18"/>
      <c r="OX33" s="18"/>
      <c r="OY33" s="18"/>
      <c r="OZ33" s="18"/>
      <c r="PA33" s="18"/>
      <c r="PB33" s="18"/>
      <c r="PC33" s="18"/>
      <c r="PD33" s="18"/>
      <c r="PE33" s="18"/>
      <c r="PF33" s="18"/>
      <c r="PG33" s="18"/>
      <c r="PH33" s="18"/>
      <c r="PI33" s="18"/>
      <c r="PJ33" s="18"/>
      <c r="PK33" s="18"/>
      <c r="PL33" s="18"/>
      <c r="PM33" s="18"/>
      <c r="PN33" s="18"/>
      <c r="PO33" s="18"/>
      <c r="PP33" s="18"/>
      <c r="PQ33" s="18"/>
      <c r="PR33" s="18"/>
      <c r="PS33" s="18"/>
      <c r="PT33" s="18"/>
      <c r="PU33" s="18"/>
      <c r="PV33" s="18"/>
      <c r="PW33" s="18"/>
      <c r="PX33" s="18"/>
      <c r="PY33" s="18"/>
      <c r="PZ33" s="18"/>
      <c r="QA33" s="18"/>
      <c r="QB33" s="18"/>
      <c r="QC33" s="18"/>
      <c r="QD33" s="18"/>
      <c r="QE33" s="18"/>
      <c r="QF33" s="18"/>
      <c r="QG33" s="18"/>
      <c r="QH33" s="18"/>
      <c r="QI33" s="18"/>
      <c r="QJ33" s="18"/>
      <c r="QK33" s="18"/>
      <c r="QL33" s="18"/>
      <c r="QM33" s="18"/>
      <c r="QN33" s="18"/>
      <c r="QO33" s="18"/>
      <c r="QP33" s="18"/>
      <c r="QQ33" s="18"/>
      <c r="QR33" s="18"/>
      <c r="QS33" s="18"/>
      <c r="QT33" s="18"/>
      <c r="QU33" s="18"/>
      <c r="QV33" s="18"/>
      <c r="QW33" s="18"/>
      <c r="QX33" s="18"/>
      <c r="QY33" s="18"/>
      <c r="QZ33" s="18"/>
      <c r="RA33" s="18"/>
      <c r="RB33" s="18"/>
      <c r="RC33" s="18"/>
      <c r="RD33" s="18"/>
      <c r="RE33" s="18"/>
      <c r="RF33" s="18"/>
      <c r="RG33" s="18"/>
      <c r="RH33" s="18"/>
      <c r="RI33" s="18"/>
      <c r="RJ33" s="18"/>
      <c r="RK33" s="18"/>
      <c r="RL33" s="18"/>
      <c r="RM33" s="18"/>
      <c r="RN33" s="18"/>
      <c r="RO33" s="18"/>
      <c r="RP33" s="18"/>
      <c r="RQ33" s="18"/>
      <c r="RR33" s="18"/>
      <c r="RS33" s="18"/>
      <c r="RT33" s="18"/>
      <c r="RU33" s="18"/>
      <c r="RV33" s="18"/>
      <c r="RW33" s="18"/>
      <c r="RX33" s="18"/>
      <c r="RY33" s="18"/>
      <c r="RZ33" s="18"/>
      <c r="SA33" s="18"/>
      <c r="SB33" s="18"/>
      <c r="SC33" s="18"/>
      <c r="SD33" s="18"/>
      <c r="SE33" s="18"/>
      <c r="SF33" s="18"/>
      <c r="SG33" s="18"/>
      <c r="SH33" s="18"/>
      <c r="SI33" s="18"/>
      <c r="SJ33" s="18"/>
      <c r="SK33" s="18"/>
      <c r="SL33" s="18"/>
      <c r="SM33" s="18"/>
      <c r="SN33" s="18"/>
      <c r="SO33" s="18"/>
      <c r="SP33" s="18"/>
      <c r="SQ33" s="18"/>
      <c r="SR33" s="18"/>
      <c r="SS33" s="18"/>
      <c r="ST33" s="18"/>
      <c r="SU33" s="18"/>
      <c r="SV33" s="18"/>
      <c r="SW33" s="18"/>
      <c r="SX33" s="18"/>
      <c r="SY33" s="18"/>
      <c r="SZ33" s="18"/>
      <c r="TA33" s="18"/>
      <c r="TB33" s="18"/>
      <c r="TC33" s="18"/>
      <c r="TD33" s="18"/>
      <c r="TE33" s="18"/>
      <c r="TF33" s="18"/>
      <c r="TG33" s="18"/>
      <c r="TH33" s="18"/>
      <c r="TI33" s="18"/>
      <c r="TJ33" s="18"/>
      <c r="TK33" s="18"/>
      <c r="TL33" s="18"/>
      <c r="TM33" s="18"/>
      <c r="TN33" s="18"/>
      <c r="TO33" s="18"/>
      <c r="TP33" s="18"/>
      <c r="TQ33" s="18"/>
      <c r="TR33" s="18"/>
      <c r="TS33" s="18"/>
      <c r="TT33" s="18"/>
      <c r="TU33" s="18"/>
      <c r="TV33" s="18"/>
      <c r="TW33" s="18"/>
      <c r="TX33" s="18"/>
      <c r="TY33" s="18"/>
      <c r="TZ33" s="18"/>
      <c r="UA33" s="18"/>
      <c r="UB33" s="18"/>
      <c r="UC33" s="18"/>
      <c r="UD33" s="18"/>
      <c r="UE33" s="18"/>
      <c r="UF33" s="18"/>
      <c r="UG33" s="18"/>
      <c r="UH33" s="18"/>
      <c r="UI33" s="18"/>
      <c r="UJ33" s="18"/>
      <c r="UK33" s="18"/>
      <c r="UL33" s="18"/>
      <c r="UM33" s="18"/>
      <c r="UN33" s="18"/>
      <c r="UO33" s="18"/>
      <c r="UP33" s="18"/>
      <c r="UQ33" s="18"/>
      <c r="UR33" s="18"/>
      <c r="US33" s="18"/>
      <c r="UT33" s="18"/>
      <c r="UU33" s="18"/>
      <c r="UV33" s="18"/>
      <c r="UW33" s="18"/>
      <c r="UX33" s="18"/>
      <c r="UY33" s="18"/>
      <c r="UZ33" s="18"/>
      <c r="VA33" s="18"/>
      <c r="VB33" s="18"/>
      <c r="VC33" s="18"/>
      <c r="VD33" s="18"/>
      <c r="VE33" s="18"/>
      <c r="VF33" s="18"/>
      <c r="VG33" s="18"/>
      <c r="VH33" s="18"/>
      <c r="VI33" s="18"/>
      <c r="VJ33" s="18"/>
      <c r="VK33" s="18"/>
      <c r="VL33" s="18"/>
      <c r="VM33" s="18"/>
      <c r="VN33" s="18"/>
      <c r="VO33" s="18"/>
      <c r="VP33" s="18"/>
      <c r="VQ33" s="18"/>
      <c r="VR33" s="18"/>
      <c r="VS33" s="18"/>
      <c r="VT33" s="18"/>
      <c r="VU33" s="18"/>
      <c r="VV33" s="18"/>
      <c r="VW33" s="18"/>
      <c r="VX33" s="18"/>
      <c r="VY33" s="18"/>
      <c r="VZ33" s="18"/>
      <c r="WA33" s="18"/>
      <c r="WB33" s="18"/>
      <c r="WC33" s="18"/>
      <c r="WD33" s="18"/>
      <c r="WE33" s="18"/>
      <c r="WF33" s="18"/>
      <c r="WG33" s="18"/>
      <c r="WH33" s="18"/>
      <c r="WI33" s="18"/>
      <c r="WJ33" s="18"/>
      <c r="WK33" s="18"/>
      <c r="WL33" s="18"/>
      <c r="WM33" s="18"/>
      <c r="WN33" s="18"/>
      <c r="WO33" s="18"/>
      <c r="WP33" s="18"/>
      <c r="WQ33" s="18"/>
      <c r="WR33" s="18"/>
      <c r="WS33" s="18"/>
      <c r="WT33" s="18"/>
      <c r="WU33" s="18"/>
      <c r="WV33" s="18"/>
      <c r="WW33" s="18"/>
      <c r="WX33" s="18"/>
      <c r="WY33" s="18"/>
      <c r="WZ33" s="18"/>
      <c r="XA33" s="18"/>
      <c r="XB33" s="18"/>
      <c r="XC33" s="18"/>
      <c r="XD33" s="18"/>
      <c r="XE33" s="18"/>
      <c r="XF33" s="18"/>
      <c r="XG33" s="18"/>
      <c r="XH33" s="18"/>
      <c r="XI33" s="18"/>
      <c r="XJ33" s="18"/>
      <c r="XK33" s="18"/>
      <c r="XL33" s="18"/>
      <c r="XM33" s="18"/>
      <c r="XN33" s="18"/>
      <c r="XO33" s="18"/>
      <c r="XP33" s="18"/>
      <c r="XQ33" s="18"/>
      <c r="XR33" s="18"/>
      <c r="XS33" s="18"/>
      <c r="XT33" s="18"/>
      <c r="XU33" s="18"/>
      <c r="XV33" s="18"/>
      <c r="XW33" s="18"/>
      <c r="XX33" s="18"/>
      <c r="XY33" s="18"/>
      <c r="XZ33" s="18"/>
      <c r="YA33" s="18"/>
      <c r="YB33" s="18"/>
      <c r="YC33" s="18"/>
      <c r="YD33" s="18"/>
      <c r="YE33" s="18"/>
      <c r="YF33" s="18"/>
      <c r="YG33" s="18"/>
      <c r="YH33" s="18"/>
      <c r="YI33" s="18"/>
      <c r="YJ33" s="18"/>
      <c r="YK33" s="18"/>
      <c r="YL33" s="18"/>
      <c r="YM33" s="18"/>
      <c r="YN33" s="18"/>
      <c r="YO33" s="18"/>
      <c r="YP33" s="18"/>
      <c r="YQ33" s="18"/>
      <c r="YR33" s="18"/>
      <c r="YS33" s="18"/>
      <c r="YT33" s="18"/>
      <c r="YU33" s="18"/>
      <c r="YV33" s="18"/>
      <c r="YW33" s="18"/>
      <c r="YX33" s="18"/>
      <c r="YY33" s="18"/>
      <c r="YZ33" s="18"/>
      <c r="ZA33" s="18"/>
      <c r="ZB33" s="18"/>
      <c r="ZC33" s="18"/>
      <c r="ZD33" s="18"/>
      <c r="ZE33" s="18"/>
      <c r="ZF33" s="18"/>
      <c r="ZG33" s="18"/>
      <c r="ZH33" s="18"/>
      <c r="ZI33" s="18"/>
      <c r="ZJ33" s="18"/>
      <c r="ZK33" s="18"/>
      <c r="ZL33" s="18"/>
      <c r="ZM33" s="18"/>
      <c r="ZN33" s="18"/>
      <c r="ZO33" s="18"/>
      <c r="ZP33" s="18"/>
      <c r="ZQ33" s="18"/>
      <c r="ZR33" s="18"/>
      <c r="ZS33" s="18"/>
      <c r="ZT33" s="18"/>
      <c r="ZU33" s="18"/>
      <c r="ZV33" s="18"/>
      <c r="ZW33" s="18"/>
      <c r="ZX33" s="18"/>
      <c r="ZY33" s="18"/>
      <c r="ZZ33" s="18"/>
      <c r="AAA33" s="18"/>
      <c r="AAB33" s="18"/>
      <c r="AAC33" s="18"/>
      <c r="AAD33" s="18"/>
      <c r="AAE33" s="18"/>
      <c r="AAF33" s="18"/>
      <c r="AAG33" s="18"/>
      <c r="AAH33" s="18"/>
      <c r="AAI33" s="18"/>
      <c r="AAJ33" s="18"/>
      <c r="AAK33" s="18"/>
      <c r="AAL33" s="18"/>
      <c r="AAM33" s="18"/>
      <c r="AAN33" s="18"/>
      <c r="AAO33" s="18"/>
      <c r="AAP33" s="18"/>
      <c r="AAQ33" s="18"/>
      <c r="AAR33" s="18"/>
      <c r="AAS33" s="18"/>
      <c r="AAT33" s="18"/>
      <c r="AAU33" s="18"/>
      <c r="AAV33" s="18"/>
      <c r="AAW33" s="18"/>
      <c r="AAX33" s="18"/>
      <c r="AAY33" s="18"/>
      <c r="AAZ33" s="18"/>
      <c r="ABA33" s="18"/>
      <c r="ABB33" s="18"/>
      <c r="ABC33" s="18"/>
      <c r="ABD33" s="18"/>
      <c r="ABE33" s="18"/>
      <c r="ABF33" s="18"/>
      <c r="ABG33" s="18"/>
      <c r="ABH33" s="18"/>
      <c r="ABI33" s="18"/>
      <c r="ABJ33" s="18"/>
      <c r="ABK33" s="18"/>
      <c r="ABL33" s="18"/>
      <c r="ABM33" s="18"/>
      <c r="ABN33" s="18"/>
      <c r="ABO33" s="18"/>
      <c r="ABP33" s="18"/>
      <c r="ABQ33" s="18"/>
      <c r="ABR33" s="18"/>
      <c r="ABS33" s="18"/>
      <c r="ABT33" s="18"/>
      <c r="ABU33" s="18"/>
      <c r="ABV33" s="18"/>
      <c r="ABW33" s="18"/>
      <c r="ABX33" s="18"/>
      <c r="ABY33" s="18"/>
      <c r="ABZ33" s="18"/>
      <c r="ACA33" s="18"/>
      <c r="ACB33" s="18"/>
      <c r="ACC33" s="18"/>
      <c r="ACD33" s="18"/>
      <c r="ACE33" s="18"/>
      <c r="ACF33" s="18"/>
      <c r="ACG33" s="18"/>
      <c r="ACH33" s="18"/>
      <c r="ACI33" s="18"/>
      <c r="ACJ33" s="18"/>
      <c r="ACK33" s="18"/>
      <c r="ACL33" s="18"/>
      <c r="ACM33" s="18"/>
      <c r="ACN33" s="18"/>
      <c r="ACO33" s="18"/>
      <c r="ACP33" s="18"/>
      <c r="ACQ33" s="18"/>
      <c r="ACR33" s="18"/>
      <c r="ACS33" s="18"/>
      <c r="ACT33" s="18"/>
      <c r="ACU33" s="18"/>
      <c r="ACV33" s="18"/>
      <c r="ACW33" s="18"/>
      <c r="ACX33" s="18"/>
      <c r="ACY33" s="18"/>
      <c r="ACZ33" s="18"/>
      <c r="ADA33" s="18"/>
      <c r="ADB33" s="18"/>
      <c r="ADC33" s="18"/>
      <c r="ADD33" s="18"/>
      <c r="ADE33" s="18"/>
      <c r="ADF33" s="18"/>
      <c r="ADG33" s="18"/>
      <c r="ADH33" s="18"/>
      <c r="ADI33" s="18"/>
      <c r="ADJ33" s="18"/>
      <c r="ADK33" s="18"/>
      <c r="ADL33" s="18"/>
      <c r="ADM33" s="18"/>
      <c r="ADN33" s="18"/>
      <c r="ADO33" s="18"/>
      <c r="ADP33" s="18"/>
      <c r="ADQ33" s="18"/>
      <c r="ADR33" s="18"/>
      <c r="ADS33" s="18"/>
      <c r="ADT33" s="18"/>
      <c r="ADU33" s="18"/>
      <c r="ADV33" s="18"/>
      <c r="ADW33" s="18"/>
      <c r="ADX33" s="18"/>
      <c r="ADY33" s="18"/>
      <c r="ADZ33" s="18"/>
      <c r="AEA33" s="18"/>
      <c r="AEB33" s="18"/>
      <c r="AEC33" s="18"/>
      <c r="AED33" s="18"/>
      <c r="AEE33" s="18"/>
      <c r="AEF33" s="18"/>
      <c r="AEG33" s="18"/>
      <c r="AEH33" s="18"/>
      <c r="AEI33" s="18"/>
      <c r="AEJ33" s="18"/>
      <c r="AEK33" s="18"/>
      <c r="AEL33" s="18"/>
      <c r="AEM33" s="18"/>
      <c r="AEN33" s="18"/>
      <c r="AEO33" s="18"/>
      <c r="AEP33" s="18"/>
      <c r="AEQ33" s="18"/>
      <c r="AER33" s="18"/>
      <c r="AES33" s="18"/>
      <c r="AET33" s="18"/>
      <c r="AEU33" s="18"/>
      <c r="AEV33" s="18"/>
      <c r="AEW33" s="18"/>
      <c r="AEX33" s="18"/>
      <c r="AEY33" s="18"/>
      <c r="AEZ33" s="18"/>
      <c r="AFA33" s="18"/>
      <c r="AFB33" s="18"/>
      <c r="AFC33" s="18"/>
      <c r="AFD33" s="18"/>
      <c r="AFE33" s="18"/>
      <c r="AFF33" s="18"/>
      <c r="AFG33" s="18"/>
      <c r="AFH33" s="18"/>
      <c r="AFI33" s="18"/>
      <c r="AFJ33" s="18"/>
      <c r="AFK33" s="18"/>
      <c r="AFL33" s="18"/>
      <c r="AFM33" s="18"/>
      <c r="AFN33" s="18"/>
      <c r="AFO33" s="18"/>
      <c r="AFP33" s="18"/>
      <c r="AFQ33" s="18"/>
      <c r="AFR33" s="18"/>
      <c r="AFS33" s="18"/>
      <c r="AFT33" s="18"/>
      <c r="AFU33" s="18"/>
      <c r="AFV33" s="18"/>
      <c r="AFW33" s="18"/>
      <c r="AFX33" s="18"/>
      <c r="AFY33" s="18"/>
      <c r="AFZ33" s="18"/>
      <c r="AGA33" s="18"/>
      <c r="AGB33" s="18"/>
      <c r="AGC33" s="18"/>
      <c r="AGD33" s="18"/>
      <c r="AGE33" s="18"/>
      <c r="AGF33" s="18"/>
      <c r="AGG33" s="18"/>
      <c r="AGH33" s="18"/>
      <c r="AGI33" s="18"/>
      <c r="AGJ33" s="18"/>
      <c r="AGK33" s="18"/>
      <c r="AGL33" s="18"/>
      <c r="AGM33" s="18"/>
      <c r="AGN33" s="18"/>
      <c r="AGO33" s="18"/>
      <c r="AGP33" s="18"/>
      <c r="AGQ33" s="18"/>
      <c r="AGR33" s="18"/>
      <c r="AGS33" s="18"/>
      <c r="AGT33" s="18"/>
      <c r="AGU33" s="18"/>
      <c r="AGV33" s="18"/>
      <c r="AGW33" s="18"/>
      <c r="AGX33" s="18"/>
      <c r="AGY33" s="18"/>
      <c r="AGZ33" s="18"/>
      <c r="AHA33" s="18"/>
      <c r="AHB33" s="18"/>
      <c r="AHC33" s="18"/>
      <c r="AHD33" s="18"/>
      <c r="AHE33" s="18"/>
      <c r="AHF33" s="18"/>
      <c r="AHG33" s="18"/>
      <c r="AHH33" s="18"/>
      <c r="AHI33" s="18"/>
      <c r="AHJ33" s="18"/>
      <c r="AHK33" s="18"/>
      <c r="AHL33" s="18"/>
      <c r="AHM33" s="18"/>
      <c r="AHN33" s="18"/>
      <c r="AHO33" s="18"/>
      <c r="AHP33" s="18"/>
      <c r="AHQ33" s="18"/>
      <c r="AHR33" s="18"/>
      <c r="AHS33" s="18"/>
      <c r="AHT33" s="18"/>
      <c r="AHU33" s="18"/>
      <c r="AHV33" s="18"/>
      <c r="AHW33" s="18"/>
      <c r="AHX33" s="18"/>
      <c r="AHY33" s="18"/>
      <c r="AHZ33" s="18"/>
      <c r="AIA33" s="18"/>
      <c r="AIB33" s="18"/>
      <c r="AIC33" s="18"/>
      <c r="AID33" s="18"/>
      <c r="AIE33" s="18"/>
      <c r="AIF33" s="18"/>
      <c r="AIG33" s="18"/>
      <c r="AIH33" s="18"/>
      <c r="AII33" s="18"/>
      <c r="AIJ33" s="18"/>
      <c r="AIK33" s="18"/>
      <c r="AIL33" s="18"/>
      <c r="AIM33" s="18"/>
      <c r="AIN33" s="18"/>
      <c r="AIO33" s="18"/>
      <c r="AIP33" s="18"/>
      <c r="AIQ33" s="18"/>
      <c r="AIR33" s="18"/>
      <c r="AIS33" s="18"/>
      <c r="AIT33" s="18"/>
      <c r="AIU33" s="18"/>
      <c r="AIV33" s="18"/>
      <c r="AIW33" s="18"/>
      <c r="AIX33" s="18"/>
      <c r="AIY33" s="18"/>
      <c r="AIZ33" s="18"/>
      <c r="AJA33" s="18"/>
      <c r="AJB33" s="18"/>
      <c r="AJC33" s="18"/>
      <c r="AJD33" s="18"/>
      <c r="AJE33" s="18"/>
      <c r="AJF33" s="18"/>
      <c r="AJG33" s="18"/>
      <c r="AJH33" s="18"/>
      <c r="AJI33" s="18"/>
      <c r="AJJ33" s="18"/>
      <c r="AJK33" s="18"/>
      <c r="AJL33" s="18"/>
      <c r="AJM33" s="18"/>
      <c r="AJN33" s="18"/>
      <c r="AJO33" s="18"/>
      <c r="AJP33" s="18"/>
      <c r="AJQ33" s="18"/>
      <c r="AJR33" s="18"/>
      <c r="AJS33" s="18"/>
      <c r="AJT33" s="18"/>
      <c r="AJU33" s="18"/>
      <c r="AJV33" s="18"/>
      <c r="AJW33" s="18"/>
      <c r="AJX33" s="18"/>
      <c r="AJY33" s="18"/>
      <c r="AJZ33" s="18"/>
      <c r="AKA33" s="18"/>
      <c r="AKB33" s="18"/>
      <c r="AKC33" s="18"/>
      <c r="AKD33" s="18"/>
      <c r="AKE33" s="18"/>
      <c r="AKF33" s="18"/>
      <c r="AKG33" s="18"/>
      <c r="AKH33" s="18"/>
      <c r="AKI33" s="18"/>
      <c r="AKJ33" s="18"/>
      <c r="AKK33" s="18"/>
      <c r="AKL33" s="18"/>
      <c r="AKM33" s="18"/>
      <c r="AKN33" s="18"/>
      <c r="AKO33" s="18"/>
      <c r="AKP33" s="18"/>
      <c r="AKQ33" s="18"/>
      <c r="AKR33" s="18"/>
      <c r="AKS33" s="18"/>
      <c r="AKT33" s="18"/>
      <c r="AKU33" s="18"/>
      <c r="AKV33" s="18"/>
      <c r="AKW33" s="18"/>
      <c r="AKX33" s="18"/>
      <c r="AKY33" s="18"/>
      <c r="AKZ33" s="18"/>
      <c r="ALA33" s="18"/>
      <c r="ALB33" s="18"/>
      <c r="ALC33" s="18"/>
      <c r="ALD33" s="18"/>
      <c r="ALE33" s="18"/>
      <c r="ALF33" s="18"/>
      <c r="ALG33" s="18"/>
      <c r="ALH33" s="18"/>
      <c r="ALI33" s="18"/>
      <c r="ALJ33" s="18"/>
      <c r="ALK33" s="18"/>
      <c r="ALL33" s="18"/>
      <c r="ALM33" s="18"/>
      <c r="ALN33" s="18"/>
      <c r="ALO33" s="18"/>
      <c r="ALP33" s="18"/>
      <c r="ALQ33" s="18"/>
      <c r="ALR33" s="18"/>
      <c r="ALS33" s="18"/>
      <c r="ALT33" s="18"/>
      <c r="ALU33" s="18"/>
      <c r="ALV33" s="18"/>
      <c r="ALW33" s="18"/>
      <c r="ALX33" s="18"/>
      <c r="ALY33" s="18"/>
      <c r="ALZ33" s="18"/>
      <c r="AMA33" s="18"/>
      <c r="AMB33" s="18"/>
      <c r="AMC33" s="18"/>
      <c r="AMD33" s="18"/>
      <c r="AME33" s="18"/>
      <c r="AMF33" s="18"/>
      <c r="AMG33" s="18"/>
      <c r="AMH33" s="18"/>
    </row>
    <row r="34" spans="1:1022" s="23" customFormat="1" x14ac:dyDescent="0.3">
      <c r="A34" s="33">
        <v>130</v>
      </c>
      <c r="B34" s="19"/>
      <c r="C34" s="19"/>
      <c r="D34" s="34" t="s">
        <v>305</v>
      </c>
      <c r="E34" s="34" t="s">
        <v>456</v>
      </c>
      <c r="F34" s="39"/>
      <c r="G34" s="19"/>
      <c r="H34" s="38" t="s">
        <v>281</v>
      </c>
      <c r="I34" s="40"/>
      <c r="J34" s="31"/>
      <c r="K34" s="31"/>
      <c r="L34" s="31"/>
      <c r="M34" s="32"/>
      <c r="N34" s="32"/>
      <c r="O34" s="18"/>
      <c r="P34" s="36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18"/>
      <c r="IB34" s="18"/>
      <c r="IC34" s="18"/>
      <c r="ID34" s="18"/>
      <c r="IE34" s="18"/>
      <c r="IF34" s="18"/>
      <c r="IG34" s="18"/>
      <c r="IH34" s="18"/>
      <c r="II34" s="18"/>
      <c r="IJ34" s="18"/>
      <c r="IK34" s="18"/>
      <c r="IL34" s="18"/>
      <c r="IM34" s="18"/>
      <c r="IN34" s="18"/>
      <c r="IO34" s="18"/>
      <c r="IP34" s="18"/>
      <c r="IQ34" s="18"/>
      <c r="IR34" s="18"/>
      <c r="IS34" s="18"/>
      <c r="IT34" s="18"/>
      <c r="IU34" s="18"/>
      <c r="IV34" s="18"/>
      <c r="IW34" s="18"/>
      <c r="IX34" s="18"/>
      <c r="IY34" s="18"/>
      <c r="IZ34" s="18"/>
      <c r="JA34" s="18"/>
      <c r="JB34" s="18"/>
      <c r="JC34" s="18"/>
      <c r="JD34" s="18"/>
      <c r="JE34" s="18"/>
      <c r="JF34" s="18"/>
      <c r="JG34" s="18"/>
      <c r="JH34" s="18"/>
      <c r="JI34" s="18"/>
      <c r="JJ34" s="18"/>
      <c r="JK34" s="18"/>
      <c r="JL34" s="18"/>
      <c r="JM34" s="18"/>
      <c r="JN34" s="18"/>
      <c r="JO34" s="18"/>
      <c r="JP34" s="18"/>
      <c r="JQ34" s="18"/>
      <c r="JR34" s="18"/>
      <c r="JS34" s="18"/>
      <c r="JT34" s="18"/>
      <c r="JU34" s="18"/>
      <c r="JV34" s="18"/>
      <c r="JW34" s="18"/>
      <c r="JX34" s="18"/>
      <c r="JY34" s="18"/>
      <c r="JZ34" s="18"/>
      <c r="KA34" s="18"/>
      <c r="KB34" s="18"/>
      <c r="KC34" s="18"/>
      <c r="KD34" s="18"/>
      <c r="KE34" s="18"/>
      <c r="KF34" s="18"/>
      <c r="KG34" s="18"/>
      <c r="KH34" s="18"/>
      <c r="KI34" s="18"/>
      <c r="KJ34" s="18"/>
      <c r="KK34" s="18"/>
      <c r="KL34" s="18"/>
      <c r="KM34" s="18"/>
      <c r="KN34" s="18"/>
      <c r="KO34" s="18"/>
      <c r="KP34" s="18"/>
      <c r="KQ34" s="18"/>
      <c r="KR34" s="18"/>
      <c r="KS34" s="18"/>
      <c r="KT34" s="18"/>
      <c r="KU34" s="18"/>
      <c r="KV34" s="18"/>
      <c r="KW34" s="18"/>
      <c r="KX34" s="18"/>
      <c r="KY34" s="18"/>
      <c r="KZ34" s="18"/>
      <c r="LA34" s="18"/>
      <c r="LB34" s="18"/>
      <c r="LC34" s="18"/>
      <c r="LD34" s="18"/>
      <c r="LE34" s="18"/>
      <c r="LF34" s="18"/>
      <c r="LG34" s="18"/>
      <c r="LH34" s="18"/>
      <c r="LI34" s="18"/>
      <c r="LJ34" s="18"/>
      <c r="LK34" s="18"/>
      <c r="LL34" s="18"/>
      <c r="LM34" s="18"/>
      <c r="LN34" s="18"/>
      <c r="LO34" s="18"/>
      <c r="LP34" s="18"/>
      <c r="LQ34" s="18"/>
      <c r="LR34" s="18"/>
      <c r="LS34" s="18"/>
      <c r="LT34" s="18"/>
      <c r="LU34" s="18"/>
      <c r="LV34" s="18"/>
      <c r="LW34" s="18"/>
      <c r="LX34" s="18"/>
      <c r="LY34" s="18"/>
      <c r="LZ34" s="18"/>
      <c r="MA34" s="18"/>
      <c r="MB34" s="18"/>
      <c r="MC34" s="18"/>
      <c r="MD34" s="18"/>
      <c r="ME34" s="18"/>
      <c r="MF34" s="18"/>
      <c r="MG34" s="18"/>
      <c r="MH34" s="18"/>
      <c r="MI34" s="18"/>
      <c r="MJ34" s="18"/>
      <c r="MK34" s="18"/>
      <c r="ML34" s="18"/>
      <c r="MM34" s="18"/>
      <c r="MN34" s="18"/>
      <c r="MO34" s="18"/>
      <c r="MP34" s="18"/>
      <c r="MQ34" s="18"/>
      <c r="MR34" s="18"/>
      <c r="MS34" s="18"/>
      <c r="MT34" s="18"/>
      <c r="MU34" s="18"/>
      <c r="MV34" s="18"/>
      <c r="MW34" s="18"/>
      <c r="MX34" s="18"/>
      <c r="MY34" s="18"/>
      <c r="MZ34" s="18"/>
      <c r="NA34" s="18"/>
      <c r="NB34" s="18"/>
      <c r="NC34" s="18"/>
      <c r="ND34" s="18"/>
      <c r="NE34" s="18"/>
      <c r="NF34" s="18"/>
      <c r="NG34" s="18"/>
      <c r="NH34" s="18"/>
      <c r="NI34" s="18"/>
      <c r="NJ34" s="18"/>
      <c r="NK34" s="18"/>
      <c r="NL34" s="18"/>
      <c r="NM34" s="18"/>
      <c r="NN34" s="18"/>
      <c r="NO34" s="18"/>
      <c r="NP34" s="18"/>
      <c r="NQ34" s="18"/>
      <c r="NR34" s="18"/>
      <c r="NS34" s="18"/>
      <c r="NT34" s="18"/>
      <c r="NU34" s="18"/>
      <c r="NV34" s="18"/>
      <c r="NW34" s="18"/>
      <c r="NX34" s="18"/>
      <c r="NY34" s="18"/>
      <c r="NZ34" s="18"/>
      <c r="OA34" s="18"/>
      <c r="OB34" s="18"/>
      <c r="OC34" s="18"/>
      <c r="OD34" s="18"/>
      <c r="OE34" s="18"/>
      <c r="OF34" s="18"/>
      <c r="OG34" s="18"/>
      <c r="OH34" s="18"/>
      <c r="OI34" s="18"/>
      <c r="OJ34" s="18"/>
      <c r="OK34" s="18"/>
      <c r="OL34" s="18"/>
      <c r="OM34" s="18"/>
      <c r="ON34" s="18"/>
      <c r="OO34" s="18"/>
      <c r="OP34" s="18"/>
      <c r="OQ34" s="18"/>
      <c r="OR34" s="18"/>
      <c r="OS34" s="18"/>
      <c r="OT34" s="18"/>
      <c r="OU34" s="18"/>
      <c r="OV34" s="18"/>
      <c r="OW34" s="18"/>
      <c r="OX34" s="18"/>
      <c r="OY34" s="18"/>
      <c r="OZ34" s="18"/>
      <c r="PA34" s="18"/>
      <c r="PB34" s="18"/>
      <c r="PC34" s="18"/>
      <c r="PD34" s="18"/>
      <c r="PE34" s="18"/>
      <c r="PF34" s="18"/>
      <c r="PG34" s="18"/>
      <c r="PH34" s="18"/>
      <c r="PI34" s="18"/>
      <c r="PJ34" s="18"/>
      <c r="PK34" s="18"/>
      <c r="PL34" s="18"/>
      <c r="PM34" s="18"/>
      <c r="PN34" s="18"/>
      <c r="PO34" s="18"/>
      <c r="PP34" s="18"/>
      <c r="PQ34" s="18"/>
      <c r="PR34" s="18"/>
      <c r="PS34" s="18"/>
      <c r="PT34" s="18"/>
      <c r="PU34" s="18"/>
      <c r="PV34" s="18"/>
      <c r="PW34" s="18"/>
      <c r="PX34" s="18"/>
      <c r="PY34" s="18"/>
      <c r="PZ34" s="18"/>
      <c r="QA34" s="18"/>
      <c r="QB34" s="18"/>
      <c r="QC34" s="18"/>
      <c r="QD34" s="18"/>
      <c r="QE34" s="18"/>
      <c r="QF34" s="18"/>
      <c r="QG34" s="18"/>
      <c r="QH34" s="18"/>
      <c r="QI34" s="18"/>
      <c r="QJ34" s="18"/>
      <c r="QK34" s="18"/>
      <c r="QL34" s="18"/>
      <c r="QM34" s="18"/>
      <c r="QN34" s="18"/>
      <c r="QO34" s="18"/>
      <c r="QP34" s="18"/>
      <c r="QQ34" s="18"/>
      <c r="QR34" s="18"/>
      <c r="QS34" s="18"/>
      <c r="QT34" s="18"/>
      <c r="QU34" s="18"/>
      <c r="QV34" s="18"/>
      <c r="QW34" s="18"/>
      <c r="QX34" s="18"/>
      <c r="QY34" s="18"/>
      <c r="QZ34" s="18"/>
      <c r="RA34" s="18"/>
      <c r="RB34" s="18"/>
      <c r="RC34" s="18"/>
      <c r="RD34" s="18"/>
      <c r="RE34" s="18"/>
      <c r="RF34" s="18"/>
      <c r="RG34" s="18"/>
      <c r="RH34" s="18"/>
      <c r="RI34" s="18"/>
      <c r="RJ34" s="18"/>
      <c r="RK34" s="18"/>
      <c r="RL34" s="18"/>
      <c r="RM34" s="18"/>
      <c r="RN34" s="18"/>
      <c r="RO34" s="18"/>
      <c r="RP34" s="18"/>
      <c r="RQ34" s="18"/>
      <c r="RR34" s="18"/>
      <c r="RS34" s="18"/>
      <c r="RT34" s="18"/>
      <c r="RU34" s="18"/>
      <c r="RV34" s="18"/>
      <c r="RW34" s="18"/>
      <c r="RX34" s="18"/>
      <c r="RY34" s="18"/>
      <c r="RZ34" s="18"/>
      <c r="SA34" s="18"/>
      <c r="SB34" s="18"/>
      <c r="SC34" s="18"/>
      <c r="SD34" s="18"/>
      <c r="SE34" s="18"/>
      <c r="SF34" s="18"/>
      <c r="SG34" s="18"/>
      <c r="SH34" s="18"/>
      <c r="SI34" s="18"/>
      <c r="SJ34" s="18"/>
      <c r="SK34" s="18"/>
      <c r="SL34" s="18"/>
      <c r="SM34" s="18"/>
      <c r="SN34" s="18"/>
      <c r="SO34" s="18"/>
      <c r="SP34" s="18"/>
      <c r="SQ34" s="18"/>
      <c r="SR34" s="18"/>
      <c r="SS34" s="18"/>
      <c r="ST34" s="18"/>
      <c r="SU34" s="18"/>
      <c r="SV34" s="18"/>
      <c r="SW34" s="18"/>
      <c r="SX34" s="18"/>
      <c r="SY34" s="18"/>
      <c r="SZ34" s="18"/>
      <c r="TA34" s="18"/>
      <c r="TB34" s="18"/>
      <c r="TC34" s="18"/>
      <c r="TD34" s="18"/>
      <c r="TE34" s="18"/>
      <c r="TF34" s="18"/>
      <c r="TG34" s="18"/>
      <c r="TH34" s="18"/>
      <c r="TI34" s="18"/>
      <c r="TJ34" s="18"/>
      <c r="TK34" s="18"/>
      <c r="TL34" s="18"/>
      <c r="TM34" s="18"/>
      <c r="TN34" s="18"/>
      <c r="TO34" s="18"/>
      <c r="TP34" s="18"/>
      <c r="TQ34" s="18"/>
      <c r="TR34" s="18"/>
      <c r="TS34" s="18"/>
      <c r="TT34" s="18"/>
      <c r="TU34" s="18"/>
      <c r="TV34" s="18"/>
      <c r="TW34" s="18"/>
      <c r="TX34" s="18"/>
      <c r="TY34" s="18"/>
      <c r="TZ34" s="18"/>
      <c r="UA34" s="18"/>
      <c r="UB34" s="18"/>
      <c r="UC34" s="18"/>
      <c r="UD34" s="18"/>
      <c r="UE34" s="18"/>
      <c r="UF34" s="18"/>
      <c r="UG34" s="18"/>
      <c r="UH34" s="18"/>
      <c r="UI34" s="18"/>
      <c r="UJ34" s="18"/>
      <c r="UK34" s="18"/>
      <c r="UL34" s="18"/>
      <c r="UM34" s="18"/>
      <c r="UN34" s="18"/>
      <c r="UO34" s="18"/>
      <c r="UP34" s="18"/>
      <c r="UQ34" s="18"/>
      <c r="UR34" s="18"/>
      <c r="US34" s="18"/>
      <c r="UT34" s="18"/>
      <c r="UU34" s="18"/>
      <c r="UV34" s="18"/>
      <c r="UW34" s="18"/>
      <c r="UX34" s="18"/>
      <c r="UY34" s="18"/>
      <c r="UZ34" s="18"/>
      <c r="VA34" s="18"/>
      <c r="VB34" s="18"/>
      <c r="VC34" s="18"/>
      <c r="VD34" s="18"/>
      <c r="VE34" s="18"/>
      <c r="VF34" s="18"/>
      <c r="VG34" s="18"/>
      <c r="VH34" s="18"/>
      <c r="VI34" s="18"/>
      <c r="VJ34" s="18"/>
      <c r="VK34" s="18"/>
      <c r="VL34" s="18"/>
      <c r="VM34" s="18"/>
      <c r="VN34" s="18"/>
      <c r="VO34" s="18"/>
      <c r="VP34" s="18"/>
      <c r="VQ34" s="18"/>
      <c r="VR34" s="18"/>
      <c r="VS34" s="18"/>
      <c r="VT34" s="18"/>
      <c r="VU34" s="18"/>
      <c r="VV34" s="18"/>
      <c r="VW34" s="18"/>
      <c r="VX34" s="18"/>
      <c r="VY34" s="18"/>
      <c r="VZ34" s="18"/>
      <c r="WA34" s="18"/>
      <c r="WB34" s="18"/>
      <c r="WC34" s="18"/>
      <c r="WD34" s="18"/>
      <c r="WE34" s="18"/>
      <c r="WF34" s="18"/>
      <c r="WG34" s="18"/>
      <c r="WH34" s="18"/>
      <c r="WI34" s="18"/>
      <c r="WJ34" s="18"/>
      <c r="WK34" s="18"/>
      <c r="WL34" s="18"/>
      <c r="WM34" s="18"/>
      <c r="WN34" s="18"/>
      <c r="WO34" s="18"/>
      <c r="WP34" s="18"/>
      <c r="WQ34" s="18"/>
      <c r="WR34" s="18"/>
      <c r="WS34" s="18"/>
      <c r="WT34" s="18"/>
      <c r="WU34" s="18"/>
      <c r="WV34" s="18"/>
      <c r="WW34" s="18"/>
      <c r="WX34" s="18"/>
      <c r="WY34" s="18"/>
      <c r="WZ34" s="18"/>
      <c r="XA34" s="18"/>
      <c r="XB34" s="18"/>
      <c r="XC34" s="18"/>
      <c r="XD34" s="18"/>
      <c r="XE34" s="18"/>
      <c r="XF34" s="18"/>
      <c r="XG34" s="18"/>
      <c r="XH34" s="18"/>
      <c r="XI34" s="18"/>
      <c r="XJ34" s="18"/>
      <c r="XK34" s="18"/>
      <c r="XL34" s="18"/>
      <c r="XM34" s="18"/>
      <c r="XN34" s="18"/>
      <c r="XO34" s="18"/>
      <c r="XP34" s="18"/>
      <c r="XQ34" s="18"/>
      <c r="XR34" s="18"/>
      <c r="XS34" s="18"/>
      <c r="XT34" s="18"/>
      <c r="XU34" s="18"/>
      <c r="XV34" s="18"/>
      <c r="XW34" s="18"/>
      <c r="XX34" s="18"/>
      <c r="XY34" s="18"/>
      <c r="XZ34" s="18"/>
      <c r="YA34" s="18"/>
      <c r="YB34" s="18"/>
      <c r="YC34" s="18"/>
      <c r="YD34" s="18"/>
      <c r="YE34" s="18"/>
      <c r="YF34" s="18"/>
      <c r="YG34" s="18"/>
      <c r="YH34" s="18"/>
      <c r="YI34" s="18"/>
      <c r="YJ34" s="18"/>
      <c r="YK34" s="18"/>
      <c r="YL34" s="18"/>
      <c r="YM34" s="18"/>
      <c r="YN34" s="18"/>
      <c r="YO34" s="18"/>
      <c r="YP34" s="18"/>
      <c r="YQ34" s="18"/>
      <c r="YR34" s="18"/>
      <c r="YS34" s="18"/>
      <c r="YT34" s="18"/>
      <c r="YU34" s="18"/>
      <c r="YV34" s="18"/>
      <c r="YW34" s="18"/>
      <c r="YX34" s="18"/>
      <c r="YY34" s="18"/>
      <c r="YZ34" s="18"/>
      <c r="ZA34" s="18"/>
      <c r="ZB34" s="18"/>
      <c r="ZC34" s="18"/>
      <c r="ZD34" s="18"/>
      <c r="ZE34" s="18"/>
      <c r="ZF34" s="18"/>
      <c r="ZG34" s="18"/>
      <c r="ZH34" s="18"/>
      <c r="ZI34" s="18"/>
      <c r="ZJ34" s="18"/>
      <c r="ZK34" s="18"/>
      <c r="ZL34" s="18"/>
      <c r="ZM34" s="18"/>
      <c r="ZN34" s="18"/>
      <c r="ZO34" s="18"/>
      <c r="ZP34" s="18"/>
      <c r="ZQ34" s="18"/>
      <c r="ZR34" s="18"/>
      <c r="ZS34" s="18"/>
      <c r="ZT34" s="18"/>
      <c r="ZU34" s="18"/>
      <c r="ZV34" s="18"/>
      <c r="ZW34" s="18"/>
      <c r="ZX34" s="18"/>
      <c r="ZY34" s="18"/>
      <c r="ZZ34" s="18"/>
      <c r="AAA34" s="18"/>
      <c r="AAB34" s="18"/>
      <c r="AAC34" s="18"/>
      <c r="AAD34" s="18"/>
      <c r="AAE34" s="18"/>
      <c r="AAF34" s="18"/>
      <c r="AAG34" s="18"/>
      <c r="AAH34" s="18"/>
      <c r="AAI34" s="18"/>
      <c r="AAJ34" s="18"/>
      <c r="AAK34" s="18"/>
      <c r="AAL34" s="18"/>
      <c r="AAM34" s="18"/>
      <c r="AAN34" s="18"/>
      <c r="AAO34" s="18"/>
      <c r="AAP34" s="18"/>
      <c r="AAQ34" s="18"/>
      <c r="AAR34" s="18"/>
      <c r="AAS34" s="18"/>
      <c r="AAT34" s="18"/>
      <c r="AAU34" s="18"/>
      <c r="AAV34" s="18"/>
      <c r="AAW34" s="18"/>
      <c r="AAX34" s="18"/>
      <c r="AAY34" s="18"/>
      <c r="AAZ34" s="18"/>
      <c r="ABA34" s="18"/>
      <c r="ABB34" s="18"/>
      <c r="ABC34" s="18"/>
      <c r="ABD34" s="18"/>
      <c r="ABE34" s="18"/>
      <c r="ABF34" s="18"/>
      <c r="ABG34" s="18"/>
      <c r="ABH34" s="18"/>
      <c r="ABI34" s="18"/>
      <c r="ABJ34" s="18"/>
      <c r="ABK34" s="18"/>
      <c r="ABL34" s="18"/>
      <c r="ABM34" s="18"/>
      <c r="ABN34" s="18"/>
      <c r="ABO34" s="18"/>
      <c r="ABP34" s="18"/>
      <c r="ABQ34" s="18"/>
      <c r="ABR34" s="18"/>
      <c r="ABS34" s="18"/>
      <c r="ABT34" s="18"/>
      <c r="ABU34" s="18"/>
      <c r="ABV34" s="18"/>
      <c r="ABW34" s="18"/>
      <c r="ABX34" s="18"/>
      <c r="ABY34" s="18"/>
      <c r="ABZ34" s="18"/>
      <c r="ACA34" s="18"/>
      <c r="ACB34" s="18"/>
      <c r="ACC34" s="18"/>
      <c r="ACD34" s="18"/>
      <c r="ACE34" s="18"/>
      <c r="ACF34" s="18"/>
      <c r="ACG34" s="18"/>
      <c r="ACH34" s="18"/>
      <c r="ACI34" s="18"/>
      <c r="ACJ34" s="18"/>
      <c r="ACK34" s="18"/>
      <c r="ACL34" s="18"/>
      <c r="ACM34" s="18"/>
      <c r="ACN34" s="18"/>
      <c r="ACO34" s="18"/>
      <c r="ACP34" s="18"/>
      <c r="ACQ34" s="18"/>
      <c r="ACR34" s="18"/>
      <c r="ACS34" s="18"/>
      <c r="ACT34" s="18"/>
      <c r="ACU34" s="18"/>
      <c r="ACV34" s="18"/>
      <c r="ACW34" s="18"/>
      <c r="ACX34" s="18"/>
      <c r="ACY34" s="18"/>
      <c r="ACZ34" s="18"/>
      <c r="ADA34" s="18"/>
      <c r="ADB34" s="18"/>
      <c r="ADC34" s="18"/>
      <c r="ADD34" s="18"/>
      <c r="ADE34" s="18"/>
      <c r="ADF34" s="18"/>
      <c r="ADG34" s="18"/>
      <c r="ADH34" s="18"/>
      <c r="ADI34" s="18"/>
      <c r="ADJ34" s="18"/>
      <c r="ADK34" s="18"/>
      <c r="ADL34" s="18"/>
      <c r="ADM34" s="18"/>
      <c r="ADN34" s="18"/>
      <c r="ADO34" s="18"/>
      <c r="ADP34" s="18"/>
      <c r="ADQ34" s="18"/>
      <c r="ADR34" s="18"/>
      <c r="ADS34" s="18"/>
      <c r="ADT34" s="18"/>
      <c r="ADU34" s="18"/>
      <c r="ADV34" s="18"/>
      <c r="ADW34" s="18"/>
      <c r="ADX34" s="18"/>
      <c r="ADY34" s="18"/>
      <c r="ADZ34" s="18"/>
      <c r="AEA34" s="18"/>
      <c r="AEB34" s="18"/>
      <c r="AEC34" s="18"/>
      <c r="AED34" s="18"/>
      <c r="AEE34" s="18"/>
      <c r="AEF34" s="18"/>
      <c r="AEG34" s="18"/>
      <c r="AEH34" s="18"/>
      <c r="AEI34" s="18"/>
      <c r="AEJ34" s="18"/>
      <c r="AEK34" s="18"/>
      <c r="AEL34" s="18"/>
      <c r="AEM34" s="18"/>
      <c r="AEN34" s="18"/>
      <c r="AEO34" s="18"/>
      <c r="AEP34" s="18"/>
      <c r="AEQ34" s="18"/>
      <c r="AER34" s="18"/>
      <c r="AES34" s="18"/>
      <c r="AET34" s="18"/>
      <c r="AEU34" s="18"/>
      <c r="AEV34" s="18"/>
      <c r="AEW34" s="18"/>
      <c r="AEX34" s="18"/>
      <c r="AEY34" s="18"/>
      <c r="AEZ34" s="18"/>
      <c r="AFA34" s="18"/>
      <c r="AFB34" s="18"/>
      <c r="AFC34" s="18"/>
      <c r="AFD34" s="18"/>
      <c r="AFE34" s="18"/>
      <c r="AFF34" s="18"/>
      <c r="AFG34" s="18"/>
      <c r="AFH34" s="18"/>
      <c r="AFI34" s="18"/>
      <c r="AFJ34" s="18"/>
      <c r="AFK34" s="18"/>
      <c r="AFL34" s="18"/>
      <c r="AFM34" s="18"/>
      <c r="AFN34" s="18"/>
      <c r="AFO34" s="18"/>
      <c r="AFP34" s="18"/>
      <c r="AFQ34" s="18"/>
      <c r="AFR34" s="18"/>
      <c r="AFS34" s="18"/>
      <c r="AFT34" s="18"/>
      <c r="AFU34" s="18"/>
      <c r="AFV34" s="18"/>
      <c r="AFW34" s="18"/>
      <c r="AFX34" s="18"/>
      <c r="AFY34" s="18"/>
      <c r="AFZ34" s="18"/>
      <c r="AGA34" s="18"/>
      <c r="AGB34" s="18"/>
      <c r="AGC34" s="18"/>
      <c r="AGD34" s="18"/>
      <c r="AGE34" s="18"/>
      <c r="AGF34" s="18"/>
      <c r="AGG34" s="18"/>
      <c r="AGH34" s="18"/>
      <c r="AGI34" s="18"/>
      <c r="AGJ34" s="18"/>
      <c r="AGK34" s="18"/>
      <c r="AGL34" s="18"/>
      <c r="AGM34" s="18"/>
      <c r="AGN34" s="18"/>
      <c r="AGO34" s="18"/>
      <c r="AGP34" s="18"/>
      <c r="AGQ34" s="18"/>
      <c r="AGR34" s="18"/>
      <c r="AGS34" s="18"/>
      <c r="AGT34" s="18"/>
      <c r="AGU34" s="18"/>
      <c r="AGV34" s="18"/>
      <c r="AGW34" s="18"/>
      <c r="AGX34" s="18"/>
      <c r="AGY34" s="18"/>
      <c r="AGZ34" s="18"/>
      <c r="AHA34" s="18"/>
      <c r="AHB34" s="18"/>
      <c r="AHC34" s="18"/>
      <c r="AHD34" s="18"/>
      <c r="AHE34" s="18"/>
      <c r="AHF34" s="18"/>
      <c r="AHG34" s="18"/>
      <c r="AHH34" s="18"/>
      <c r="AHI34" s="18"/>
      <c r="AHJ34" s="18"/>
      <c r="AHK34" s="18"/>
      <c r="AHL34" s="18"/>
      <c r="AHM34" s="18"/>
      <c r="AHN34" s="18"/>
      <c r="AHO34" s="18"/>
      <c r="AHP34" s="18"/>
      <c r="AHQ34" s="18"/>
      <c r="AHR34" s="18"/>
      <c r="AHS34" s="18"/>
      <c r="AHT34" s="18"/>
      <c r="AHU34" s="18"/>
      <c r="AHV34" s="18"/>
      <c r="AHW34" s="18"/>
      <c r="AHX34" s="18"/>
      <c r="AHY34" s="18"/>
      <c r="AHZ34" s="18"/>
      <c r="AIA34" s="18"/>
      <c r="AIB34" s="18"/>
      <c r="AIC34" s="18"/>
      <c r="AID34" s="18"/>
      <c r="AIE34" s="18"/>
      <c r="AIF34" s="18"/>
      <c r="AIG34" s="18"/>
      <c r="AIH34" s="18"/>
      <c r="AII34" s="18"/>
      <c r="AIJ34" s="18"/>
      <c r="AIK34" s="18"/>
      <c r="AIL34" s="18"/>
      <c r="AIM34" s="18"/>
      <c r="AIN34" s="18"/>
      <c r="AIO34" s="18"/>
      <c r="AIP34" s="18"/>
      <c r="AIQ34" s="18"/>
      <c r="AIR34" s="18"/>
      <c r="AIS34" s="18"/>
      <c r="AIT34" s="18"/>
      <c r="AIU34" s="18"/>
      <c r="AIV34" s="18"/>
      <c r="AIW34" s="18"/>
      <c r="AIX34" s="18"/>
      <c r="AIY34" s="18"/>
      <c r="AIZ34" s="18"/>
      <c r="AJA34" s="18"/>
      <c r="AJB34" s="18"/>
      <c r="AJC34" s="18"/>
      <c r="AJD34" s="18"/>
      <c r="AJE34" s="18"/>
      <c r="AJF34" s="18"/>
      <c r="AJG34" s="18"/>
      <c r="AJH34" s="18"/>
      <c r="AJI34" s="18"/>
      <c r="AJJ34" s="18"/>
      <c r="AJK34" s="18"/>
      <c r="AJL34" s="18"/>
      <c r="AJM34" s="18"/>
      <c r="AJN34" s="18"/>
      <c r="AJO34" s="18"/>
      <c r="AJP34" s="18"/>
      <c r="AJQ34" s="18"/>
      <c r="AJR34" s="18"/>
      <c r="AJS34" s="18"/>
      <c r="AJT34" s="18"/>
      <c r="AJU34" s="18"/>
      <c r="AJV34" s="18"/>
      <c r="AJW34" s="18"/>
      <c r="AJX34" s="18"/>
      <c r="AJY34" s="18"/>
      <c r="AJZ34" s="18"/>
      <c r="AKA34" s="18"/>
      <c r="AKB34" s="18"/>
      <c r="AKC34" s="18"/>
      <c r="AKD34" s="18"/>
      <c r="AKE34" s="18"/>
      <c r="AKF34" s="18"/>
      <c r="AKG34" s="18"/>
      <c r="AKH34" s="18"/>
      <c r="AKI34" s="18"/>
      <c r="AKJ34" s="18"/>
      <c r="AKK34" s="18"/>
      <c r="AKL34" s="18"/>
      <c r="AKM34" s="18"/>
      <c r="AKN34" s="18"/>
      <c r="AKO34" s="18"/>
      <c r="AKP34" s="18"/>
      <c r="AKQ34" s="18"/>
      <c r="AKR34" s="18"/>
      <c r="AKS34" s="18"/>
      <c r="AKT34" s="18"/>
      <c r="AKU34" s="18"/>
      <c r="AKV34" s="18"/>
      <c r="AKW34" s="18"/>
      <c r="AKX34" s="18"/>
      <c r="AKY34" s="18"/>
      <c r="AKZ34" s="18"/>
      <c r="ALA34" s="18"/>
      <c r="ALB34" s="18"/>
      <c r="ALC34" s="18"/>
      <c r="ALD34" s="18"/>
      <c r="ALE34" s="18"/>
      <c r="ALF34" s="18"/>
      <c r="ALG34" s="18"/>
      <c r="ALH34" s="18"/>
      <c r="ALI34" s="18"/>
      <c r="ALJ34" s="18"/>
      <c r="ALK34" s="18"/>
      <c r="ALL34" s="18"/>
      <c r="ALM34" s="18"/>
      <c r="ALN34" s="18"/>
      <c r="ALO34" s="18"/>
      <c r="ALP34" s="18"/>
      <c r="ALQ34" s="18"/>
      <c r="ALR34" s="18"/>
      <c r="ALS34" s="18"/>
      <c r="ALT34" s="18"/>
      <c r="ALU34" s="18"/>
      <c r="ALV34" s="18"/>
      <c r="ALW34" s="18"/>
      <c r="ALX34" s="18"/>
      <c r="ALY34" s="18"/>
      <c r="ALZ34" s="18"/>
      <c r="AMA34" s="18"/>
      <c r="AMB34" s="18"/>
      <c r="AMC34" s="18"/>
      <c r="AMD34" s="18"/>
      <c r="AME34" s="18"/>
      <c r="AMF34" s="18"/>
      <c r="AMG34" s="18"/>
      <c r="AMH34" s="18"/>
    </row>
    <row r="35" spans="1:1022" s="23" customFormat="1" x14ac:dyDescent="0.3">
      <c r="A35" s="33">
        <v>131</v>
      </c>
      <c r="B35" s="19"/>
      <c r="C35" s="19"/>
      <c r="D35" s="58" t="s">
        <v>306</v>
      </c>
      <c r="E35" s="34" t="s">
        <v>457</v>
      </c>
      <c r="F35" s="39"/>
      <c r="G35" s="19"/>
      <c r="H35" s="38" t="s">
        <v>281</v>
      </c>
      <c r="I35" s="40"/>
      <c r="J35" s="31"/>
      <c r="K35" s="31"/>
      <c r="L35" s="31"/>
      <c r="M35" s="32"/>
      <c r="N35" s="32"/>
      <c r="O35" s="18"/>
      <c r="P35" s="36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18"/>
      <c r="IB35" s="18"/>
      <c r="IC35" s="18"/>
      <c r="ID35" s="18"/>
      <c r="IE35" s="18"/>
      <c r="IF35" s="18"/>
      <c r="IG35" s="18"/>
      <c r="IH35" s="18"/>
      <c r="II35" s="18"/>
      <c r="IJ35" s="18"/>
      <c r="IK35" s="18"/>
      <c r="IL35" s="18"/>
      <c r="IM35" s="18"/>
      <c r="IN35" s="18"/>
      <c r="IO35" s="18"/>
      <c r="IP35" s="18"/>
      <c r="IQ35" s="18"/>
      <c r="IR35" s="18"/>
      <c r="IS35" s="18"/>
      <c r="IT35" s="18"/>
      <c r="IU35" s="18"/>
      <c r="IV35" s="18"/>
      <c r="IW35" s="18"/>
      <c r="IX35" s="18"/>
      <c r="IY35" s="18"/>
      <c r="IZ35" s="18"/>
      <c r="JA35" s="18"/>
      <c r="JB35" s="18"/>
      <c r="JC35" s="18"/>
      <c r="JD35" s="18"/>
      <c r="JE35" s="18"/>
      <c r="JF35" s="18"/>
      <c r="JG35" s="18"/>
      <c r="JH35" s="18"/>
      <c r="JI35" s="18"/>
      <c r="JJ35" s="18"/>
      <c r="JK35" s="18"/>
      <c r="JL35" s="18"/>
      <c r="JM35" s="18"/>
      <c r="JN35" s="18"/>
      <c r="JO35" s="18"/>
      <c r="JP35" s="18"/>
      <c r="JQ35" s="18"/>
      <c r="JR35" s="18"/>
      <c r="JS35" s="18"/>
      <c r="JT35" s="18"/>
      <c r="JU35" s="18"/>
      <c r="JV35" s="18"/>
      <c r="JW35" s="18"/>
      <c r="JX35" s="18"/>
      <c r="JY35" s="18"/>
      <c r="JZ35" s="18"/>
      <c r="KA35" s="18"/>
      <c r="KB35" s="18"/>
      <c r="KC35" s="18"/>
      <c r="KD35" s="18"/>
      <c r="KE35" s="18"/>
      <c r="KF35" s="18"/>
      <c r="KG35" s="18"/>
      <c r="KH35" s="18"/>
      <c r="KI35" s="18"/>
      <c r="KJ35" s="18"/>
      <c r="KK35" s="18"/>
      <c r="KL35" s="18"/>
      <c r="KM35" s="18"/>
      <c r="KN35" s="18"/>
      <c r="KO35" s="18"/>
      <c r="KP35" s="18"/>
      <c r="KQ35" s="18"/>
      <c r="KR35" s="18"/>
      <c r="KS35" s="18"/>
      <c r="KT35" s="18"/>
      <c r="KU35" s="18"/>
      <c r="KV35" s="18"/>
      <c r="KW35" s="18"/>
      <c r="KX35" s="18"/>
      <c r="KY35" s="18"/>
      <c r="KZ35" s="18"/>
      <c r="LA35" s="18"/>
      <c r="LB35" s="18"/>
      <c r="LC35" s="18"/>
      <c r="LD35" s="18"/>
      <c r="LE35" s="18"/>
      <c r="LF35" s="18"/>
      <c r="LG35" s="18"/>
      <c r="LH35" s="18"/>
      <c r="LI35" s="18"/>
      <c r="LJ35" s="18"/>
      <c r="LK35" s="18"/>
      <c r="LL35" s="18"/>
      <c r="LM35" s="18"/>
      <c r="LN35" s="18"/>
      <c r="LO35" s="18"/>
      <c r="LP35" s="18"/>
      <c r="LQ35" s="18"/>
      <c r="LR35" s="18"/>
      <c r="LS35" s="18"/>
      <c r="LT35" s="18"/>
      <c r="LU35" s="18"/>
      <c r="LV35" s="18"/>
      <c r="LW35" s="18"/>
      <c r="LX35" s="18"/>
      <c r="LY35" s="18"/>
      <c r="LZ35" s="18"/>
      <c r="MA35" s="18"/>
      <c r="MB35" s="18"/>
      <c r="MC35" s="18"/>
      <c r="MD35" s="18"/>
      <c r="ME35" s="18"/>
      <c r="MF35" s="18"/>
      <c r="MG35" s="18"/>
      <c r="MH35" s="18"/>
      <c r="MI35" s="18"/>
      <c r="MJ35" s="18"/>
      <c r="MK35" s="18"/>
      <c r="ML35" s="18"/>
      <c r="MM35" s="18"/>
      <c r="MN35" s="18"/>
      <c r="MO35" s="18"/>
      <c r="MP35" s="18"/>
      <c r="MQ35" s="18"/>
      <c r="MR35" s="18"/>
      <c r="MS35" s="18"/>
      <c r="MT35" s="18"/>
      <c r="MU35" s="18"/>
      <c r="MV35" s="18"/>
      <c r="MW35" s="18"/>
      <c r="MX35" s="18"/>
      <c r="MY35" s="18"/>
      <c r="MZ35" s="18"/>
      <c r="NA35" s="18"/>
      <c r="NB35" s="18"/>
      <c r="NC35" s="18"/>
      <c r="ND35" s="18"/>
      <c r="NE35" s="18"/>
      <c r="NF35" s="18"/>
      <c r="NG35" s="18"/>
      <c r="NH35" s="18"/>
      <c r="NI35" s="18"/>
      <c r="NJ35" s="18"/>
      <c r="NK35" s="18"/>
      <c r="NL35" s="18"/>
      <c r="NM35" s="18"/>
      <c r="NN35" s="18"/>
      <c r="NO35" s="18"/>
      <c r="NP35" s="18"/>
      <c r="NQ35" s="18"/>
      <c r="NR35" s="18"/>
      <c r="NS35" s="18"/>
      <c r="NT35" s="18"/>
      <c r="NU35" s="18"/>
      <c r="NV35" s="18"/>
      <c r="NW35" s="18"/>
      <c r="NX35" s="18"/>
      <c r="NY35" s="18"/>
      <c r="NZ35" s="18"/>
      <c r="OA35" s="18"/>
      <c r="OB35" s="18"/>
      <c r="OC35" s="18"/>
      <c r="OD35" s="18"/>
      <c r="OE35" s="18"/>
      <c r="OF35" s="18"/>
      <c r="OG35" s="18"/>
      <c r="OH35" s="18"/>
      <c r="OI35" s="18"/>
      <c r="OJ35" s="18"/>
      <c r="OK35" s="18"/>
      <c r="OL35" s="18"/>
      <c r="OM35" s="18"/>
      <c r="ON35" s="18"/>
      <c r="OO35" s="18"/>
      <c r="OP35" s="18"/>
      <c r="OQ35" s="18"/>
      <c r="OR35" s="18"/>
      <c r="OS35" s="18"/>
      <c r="OT35" s="18"/>
      <c r="OU35" s="18"/>
      <c r="OV35" s="18"/>
      <c r="OW35" s="18"/>
      <c r="OX35" s="18"/>
      <c r="OY35" s="18"/>
      <c r="OZ35" s="18"/>
      <c r="PA35" s="18"/>
      <c r="PB35" s="18"/>
      <c r="PC35" s="18"/>
      <c r="PD35" s="18"/>
      <c r="PE35" s="18"/>
      <c r="PF35" s="18"/>
      <c r="PG35" s="18"/>
      <c r="PH35" s="18"/>
      <c r="PI35" s="18"/>
      <c r="PJ35" s="18"/>
      <c r="PK35" s="18"/>
      <c r="PL35" s="18"/>
      <c r="PM35" s="18"/>
      <c r="PN35" s="18"/>
      <c r="PO35" s="18"/>
      <c r="PP35" s="18"/>
      <c r="PQ35" s="18"/>
      <c r="PR35" s="18"/>
      <c r="PS35" s="18"/>
      <c r="PT35" s="18"/>
      <c r="PU35" s="18"/>
      <c r="PV35" s="18"/>
      <c r="PW35" s="18"/>
      <c r="PX35" s="18"/>
      <c r="PY35" s="18"/>
      <c r="PZ35" s="18"/>
      <c r="QA35" s="18"/>
      <c r="QB35" s="18"/>
      <c r="QC35" s="18"/>
      <c r="QD35" s="18"/>
      <c r="QE35" s="18"/>
      <c r="QF35" s="18"/>
      <c r="QG35" s="18"/>
      <c r="QH35" s="18"/>
      <c r="QI35" s="18"/>
      <c r="QJ35" s="18"/>
      <c r="QK35" s="18"/>
      <c r="QL35" s="18"/>
      <c r="QM35" s="18"/>
      <c r="QN35" s="18"/>
      <c r="QO35" s="18"/>
      <c r="QP35" s="18"/>
      <c r="QQ35" s="18"/>
      <c r="QR35" s="18"/>
      <c r="QS35" s="18"/>
      <c r="QT35" s="18"/>
      <c r="QU35" s="18"/>
      <c r="QV35" s="18"/>
      <c r="QW35" s="18"/>
      <c r="QX35" s="18"/>
      <c r="QY35" s="18"/>
      <c r="QZ35" s="18"/>
      <c r="RA35" s="18"/>
      <c r="RB35" s="18"/>
      <c r="RC35" s="18"/>
      <c r="RD35" s="18"/>
      <c r="RE35" s="18"/>
      <c r="RF35" s="18"/>
      <c r="RG35" s="18"/>
      <c r="RH35" s="18"/>
      <c r="RI35" s="18"/>
      <c r="RJ35" s="18"/>
      <c r="RK35" s="18"/>
      <c r="RL35" s="18"/>
      <c r="RM35" s="18"/>
      <c r="RN35" s="18"/>
      <c r="RO35" s="18"/>
      <c r="RP35" s="18"/>
      <c r="RQ35" s="18"/>
      <c r="RR35" s="18"/>
      <c r="RS35" s="18"/>
      <c r="RT35" s="18"/>
      <c r="RU35" s="18"/>
      <c r="RV35" s="18"/>
      <c r="RW35" s="18"/>
      <c r="RX35" s="18"/>
      <c r="RY35" s="18"/>
      <c r="RZ35" s="18"/>
      <c r="SA35" s="18"/>
      <c r="SB35" s="18"/>
      <c r="SC35" s="18"/>
      <c r="SD35" s="18"/>
      <c r="SE35" s="18"/>
      <c r="SF35" s="18"/>
      <c r="SG35" s="18"/>
      <c r="SH35" s="18"/>
      <c r="SI35" s="18"/>
      <c r="SJ35" s="18"/>
      <c r="SK35" s="18"/>
      <c r="SL35" s="18"/>
      <c r="SM35" s="18"/>
      <c r="SN35" s="18"/>
      <c r="SO35" s="18"/>
      <c r="SP35" s="18"/>
      <c r="SQ35" s="18"/>
      <c r="SR35" s="18"/>
      <c r="SS35" s="18"/>
      <c r="ST35" s="18"/>
      <c r="SU35" s="18"/>
      <c r="SV35" s="18"/>
      <c r="SW35" s="18"/>
      <c r="SX35" s="18"/>
      <c r="SY35" s="18"/>
      <c r="SZ35" s="18"/>
      <c r="TA35" s="18"/>
      <c r="TB35" s="18"/>
      <c r="TC35" s="18"/>
      <c r="TD35" s="18"/>
      <c r="TE35" s="18"/>
      <c r="TF35" s="18"/>
      <c r="TG35" s="18"/>
      <c r="TH35" s="18"/>
      <c r="TI35" s="18"/>
      <c r="TJ35" s="18"/>
      <c r="TK35" s="18"/>
      <c r="TL35" s="18"/>
      <c r="TM35" s="18"/>
      <c r="TN35" s="18"/>
      <c r="TO35" s="18"/>
      <c r="TP35" s="18"/>
      <c r="TQ35" s="18"/>
      <c r="TR35" s="18"/>
      <c r="TS35" s="18"/>
      <c r="TT35" s="18"/>
      <c r="TU35" s="18"/>
      <c r="TV35" s="18"/>
      <c r="TW35" s="18"/>
      <c r="TX35" s="18"/>
      <c r="TY35" s="18"/>
      <c r="TZ35" s="18"/>
      <c r="UA35" s="18"/>
      <c r="UB35" s="18"/>
      <c r="UC35" s="18"/>
      <c r="UD35" s="18"/>
      <c r="UE35" s="18"/>
      <c r="UF35" s="18"/>
      <c r="UG35" s="18"/>
      <c r="UH35" s="18"/>
      <c r="UI35" s="18"/>
      <c r="UJ35" s="18"/>
      <c r="UK35" s="18"/>
      <c r="UL35" s="18"/>
      <c r="UM35" s="18"/>
      <c r="UN35" s="18"/>
      <c r="UO35" s="18"/>
      <c r="UP35" s="18"/>
      <c r="UQ35" s="18"/>
      <c r="UR35" s="18"/>
      <c r="US35" s="18"/>
      <c r="UT35" s="18"/>
      <c r="UU35" s="18"/>
      <c r="UV35" s="18"/>
      <c r="UW35" s="18"/>
      <c r="UX35" s="18"/>
      <c r="UY35" s="18"/>
      <c r="UZ35" s="18"/>
      <c r="VA35" s="18"/>
      <c r="VB35" s="18"/>
      <c r="VC35" s="18"/>
      <c r="VD35" s="18"/>
      <c r="VE35" s="18"/>
      <c r="VF35" s="18"/>
      <c r="VG35" s="18"/>
      <c r="VH35" s="18"/>
      <c r="VI35" s="18"/>
      <c r="VJ35" s="18"/>
      <c r="VK35" s="18"/>
      <c r="VL35" s="18"/>
      <c r="VM35" s="18"/>
      <c r="VN35" s="18"/>
      <c r="VO35" s="18"/>
      <c r="VP35" s="18"/>
      <c r="VQ35" s="18"/>
      <c r="VR35" s="18"/>
      <c r="VS35" s="18"/>
      <c r="VT35" s="18"/>
      <c r="VU35" s="18"/>
      <c r="VV35" s="18"/>
      <c r="VW35" s="18"/>
      <c r="VX35" s="18"/>
      <c r="VY35" s="18"/>
      <c r="VZ35" s="18"/>
      <c r="WA35" s="18"/>
      <c r="WB35" s="18"/>
      <c r="WC35" s="18"/>
      <c r="WD35" s="18"/>
      <c r="WE35" s="18"/>
      <c r="WF35" s="18"/>
      <c r="WG35" s="18"/>
      <c r="WH35" s="18"/>
      <c r="WI35" s="18"/>
      <c r="WJ35" s="18"/>
      <c r="WK35" s="18"/>
      <c r="WL35" s="18"/>
      <c r="WM35" s="18"/>
      <c r="WN35" s="18"/>
      <c r="WO35" s="18"/>
      <c r="WP35" s="18"/>
      <c r="WQ35" s="18"/>
      <c r="WR35" s="18"/>
      <c r="WS35" s="18"/>
      <c r="WT35" s="18"/>
      <c r="WU35" s="18"/>
      <c r="WV35" s="18"/>
      <c r="WW35" s="18"/>
      <c r="WX35" s="18"/>
      <c r="WY35" s="18"/>
      <c r="WZ35" s="18"/>
      <c r="XA35" s="18"/>
      <c r="XB35" s="18"/>
      <c r="XC35" s="18"/>
      <c r="XD35" s="18"/>
      <c r="XE35" s="18"/>
      <c r="XF35" s="18"/>
      <c r="XG35" s="18"/>
      <c r="XH35" s="18"/>
      <c r="XI35" s="18"/>
      <c r="XJ35" s="18"/>
      <c r="XK35" s="18"/>
      <c r="XL35" s="18"/>
      <c r="XM35" s="18"/>
      <c r="XN35" s="18"/>
      <c r="XO35" s="18"/>
      <c r="XP35" s="18"/>
      <c r="XQ35" s="18"/>
      <c r="XR35" s="18"/>
      <c r="XS35" s="18"/>
      <c r="XT35" s="18"/>
      <c r="XU35" s="18"/>
      <c r="XV35" s="18"/>
      <c r="XW35" s="18"/>
      <c r="XX35" s="18"/>
      <c r="XY35" s="18"/>
      <c r="XZ35" s="18"/>
      <c r="YA35" s="18"/>
      <c r="YB35" s="18"/>
      <c r="YC35" s="18"/>
      <c r="YD35" s="18"/>
      <c r="YE35" s="18"/>
      <c r="YF35" s="18"/>
      <c r="YG35" s="18"/>
      <c r="YH35" s="18"/>
      <c r="YI35" s="18"/>
      <c r="YJ35" s="18"/>
      <c r="YK35" s="18"/>
      <c r="YL35" s="18"/>
      <c r="YM35" s="18"/>
      <c r="YN35" s="18"/>
      <c r="YO35" s="18"/>
      <c r="YP35" s="18"/>
      <c r="YQ35" s="18"/>
      <c r="YR35" s="18"/>
      <c r="YS35" s="18"/>
      <c r="YT35" s="18"/>
      <c r="YU35" s="18"/>
      <c r="YV35" s="18"/>
      <c r="YW35" s="18"/>
      <c r="YX35" s="18"/>
      <c r="YY35" s="18"/>
      <c r="YZ35" s="18"/>
      <c r="ZA35" s="18"/>
      <c r="ZB35" s="18"/>
      <c r="ZC35" s="18"/>
      <c r="ZD35" s="18"/>
      <c r="ZE35" s="18"/>
      <c r="ZF35" s="18"/>
      <c r="ZG35" s="18"/>
      <c r="ZH35" s="18"/>
      <c r="ZI35" s="18"/>
      <c r="ZJ35" s="18"/>
      <c r="ZK35" s="18"/>
      <c r="ZL35" s="18"/>
      <c r="ZM35" s="18"/>
      <c r="ZN35" s="18"/>
      <c r="ZO35" s="18"/>
      <c r="ZP35" s="18"/>
      <c r="ZQ35" s="18"/>
      <c r="ZR35" s="18"/>
      <c r="ZS35" s="18"/>
      <c r="ZT35" s="18"/>
      <c r="ZU35" s="18"/>
      <c r="ZV35" s="18"/>
      <c r="ZW35" s="18"/>
      <c r="ZX35" s="18"/>
      <c r="ZY35" s="18"/>
      <c r="ZZ35" s="18"/>
      <c r="AAA35" s="18"/>
      <c r="AAB35" s="18"/>
      <c r="AAC35" s="18"/>
      <c r="AAD35" s="18"/>
      <c r="AAE35" s="18"/>
      <c r="AAF35" s="18"/>
      <c r="AAG35" s="18"/>
      <c r="AAH35" s="18"/>
      <c r="AAI35" s="18"/>
      <c r="AAJ35" s="18"/>
      <c r="AAK35" s="18"/>
      <c r="AAL35" s="18"/>
      <c r="AAM35" s="18"/>
      <c r="AAN35" s="18"/>
      <c r="AAO35" s="18"/>
      <c r="AAP35" s="18"/>
      <c r="AAQ35" s="18"/>
      <c r="AAR35" s="18"/>
      <c r="AAS35" s="18"/>
      <c r="AAT35" s="18"/>
      <c r="AAU35" s="18"/>
      <c r="AAV35" s="18"/>
      <c r="AAW35" s="18"/>
      <c r="AAX35" s="18"/>
      <c r="AAY35" s="18"/>
      <c r="AAZ35" s="18"/>
      <c r="ABA35" s="18"/>
      <c r="ABB35" s="18"/>
      <c r="ABC35" s="18"/>
      <c r="ABD35" s="18"/>
      <c r="ABE35" s="18"/>
      <c r="ABF35" s="18"/>
      <c r="ABG35" s="18"/>
      <c r="ABH35" s="18"/>
      <c r="ABI35" s="18"/>
      <c r="ABJ35" s="18"/>
      <c r="ABK35" s="18"/>
      <c r="ABL35" s="18"/>
      <c r="ABM35" s="18"/>
      <c r="ABN35" s="18"/>
      <c r="ABO35" s="18"/>
      <c r="ABP35" s="18"/>
      <c r="ABQ35" s="18"/>
      <c r="ABR35" s="18"/>
      <c r="ABS35" s="18"/>
      <c r="ABT35" s="18"/>
      <c r="ABU35" s="18"/>
      <c r="ABV35" s="18"/>
      <c r="ABW35" s="18"/>
      <c r="ABX35" s="18"/>
      <c r="ABY35" s="18"/>
      <c r="ABZ35" s="18"/>
      <c r="ACA35" s="18"/>
      <c r="ACB35" s="18"/>
      <c r="ACC35" s="18"/>
      <c r="ACD35" s="18"/>
      <c r="ACE35" s="18"/>
      <c r="ACF35" s="18"/>
      <c r="ACG35" s="18"/>
      <c r="ACH35" s="18"/>
      <c r="ACI35" s="18"/>
      <c r="ACJ35" s="18"/>
      <c r="ACK35" s="18"/>
      <c r="ACL35" s="18"/>
      <c r="ACM35" s="18"/>
      <c r="ACN35" s="18"/>
      <c r="ACO35" s="18"/>
      <c r="ACP35" s="18"/>
      <c r="ACQ35" s="18"/>
      <c r="ACR35" s="18"/>
      <c r="ACS35" s="18"/>
      <c r="ACT35" s="18"/>
      <c r="ACU35" s="18"/>
      <c r="ACV35" s="18"/>
      <c r="ACW35" s="18"/>
      <c r="ACX35" s="18"/>
      <c r="ACY35" s="18"/>
      <c r="ACZ35" s="18"/>
      <c r="ADA35" s="18"/>
      <c r="ADB35" s="18"/>
      <c r="ADC35" s="18"/>
      <c r="ADD35" s="18"/>
      <c r="ADE35" s="18"/>
      <c r="ADF35" s="18"/>
      <c r="ADG35" s="18"/>
      <c r="ADH35" s="18"/>
      <c r="ADI35" s="18"/>
      <c r="ADJ35" s="18"/>
      <c r="ADK35" s="18"/>
      <c r="ADL35" s="18"/>
      <c r="ADM35" s="18"/>
      <c r="ADN35" s="18"/>
      <c r="ADO35" s="18"/>
      <c r="ADP35" s="18"/>
      <c r="ADQ35" s="18"/>
      <c r="ADR35" s="18"/>
      <c r="ADS35" s="18"/>
      <c r="ADT35" s="18"/>
      <c r="ADU35" s="18"/>
      <c r="ADV35" s="18"/>
      <c r="ADW35" s="18"/>
      <c r="ADX35" s="18"/>
      <c r="ADY35" s="18"/>
      <c r="ADZ35" s="18"/>
      <c r="AEA35" s="18"/>
      <c r="AEB35" s="18"/>
      <c r="AEC35" s="18"/>
      <c r="AED35" s="18"/>
      <c r="AEE35" s="18"/>
      <c r="AEF35" s="18"/>
      <c r="AEG35" s="18"/>
      <c r="AEH35" s="18"/>
      <c r="AEI35" s="18"/>
      <c r="AEJ35" s="18"/>
      <c r="AEK35" s="18"/>
      <c r="AEL35" s="18"/>
      <c r="AEM35" s="18"/>
      <c r="AEN35" s="18"/>
      <c r="AEO35" s="18"/>
      <c r="AEP35" s="18"/>
      <c r="AEQ35" s="18"/>
      <c r="AER35" s="18"/>
      <c r="AES35" s="18"/>
      <c r="AET35" s="18"/>
      <c r="AEU35" s="18"/>
      <c r="AEV35" s="18"/>
      <c r="AEW35" s="18"/>
      <c r="AEX35" s="18"/>
      <c r="AEY35" s="18"/>
      <c r="AEZ35" s="18"/>
      <c r="AFA35" s="18"/>
      <c r="AFB35" s="18"/>
      <c r="AFC35" s="18"/>
      <c r="AFD35" s="18"/>
      <c r="AFE35" s="18"/>
      <c r="AFF35" s="18"/>
      <c r="AFG35" s="18"/>
      <c r="AFH35" s="18"/>
      <c r="AFI35" s="18"/>
      <c r="AFJ35" s="18"/>
      <c r="AFK35" s="18"/>
      <c r="AFL35" s="18"/>
      <c r="AFM35" s="18"/>
      <c r="AFN35" s="18"/>
      <c r="AFO35" s="18"/>
      <c r="AFP35" s="18"/>
      <c r="AFQ35" s="18"/>
      <c r="AFR35" s="18"/>
      <c r="AFS35" s="18"/>
      <c r="AFT35" s="18"/>
      <c r="AFU35" s="18"/>
      <c r="AFV35" s="18"/>
      <c r="AFW35" s="18"/>
      <c r="AFX35" s="18"/>
      <c r="AFY35" s="18"/>
      <c r="AFZ35" s="18"/>
      <c r="AGA35" s="18"/>
      <c r="AGB35" s="18"/>
      <c r="AGC35" s="18"/>
      <c r="AGD35" s="18"/>
      <c r="AGE35" s="18"/>
      <c r="AGF35" s="18"/>
      <c r="AGG35" s="18"/>
      <c r="AGH35" s="18"/>
      <c r="AGI35" s="18"/>
      <c r="AGJ35" s="18"/>
      <c r="AGK35" s="18"/>
      <c r="AGL35" s="18"/>
      <c r="AGM35" s="18"/>
      <c r="AGN35" s="18"/>
      <c r="AGO35" s="18"/>
      <c r="AGP35" s="18"/>
      <c r="AGQ35" s="18"/>
      <c r="AGR35" s="18"/>
      <c r="AGS35" s="18"/>
      <c r="AGT35" s="18"/>
      <c r="AGU35" s="18"/>
      <c r="AGV35" s="18"/>
      <c r="AGW35" s="18"/>
      <c r="AGX35" s="18"/>
      <c r="AGY35" s="18"/>
      <c r="AGZ35" s="18"/>
      <c r="AHA35" s="18"/>
      <c r="AHB35" s="18"/>
      <c r="AHC35" s="18"/>
      <c r="AHD35" s="18"/>
      <c r="AHE35" s="18"/>
      <c r="AHF35" s="18"/>
      <c r="AHG35" s="18"/>
      <c r="AHH35" s="18"/>
      <c r="AHI35" s="18"/>
      <c r="AHJ35" s="18"/>
      <c r="AHK35" s="18"/>
      <c r="AHL35" s="18"/>
      <c r="AHM35" s="18"/>
      <c r="AHN35" s="18"/>
      <c r="AHO35" s="18"/>
      <c r="AHP35" s="18"/>
      <c r="AHQ35" s="18"/>
      <c r="AHR35" s="18"/>
      <c r="AHS35" s="18"/>
      <c r="AHT35" s="18"/>
      <c r="AHU35" s="18"/>
      <c r="AHV35" s="18"/>
      <c r="AHW35" s="18"/>
      <c r="AHX35" s="18"/>
      <c r="AHY35" s="18"/>
      <c r="AHZ35" s="18"/>
      <c r="AIA35" s="18"/>
      <c r="AIB35" s="18"/>
      <c r="AIC35" s="18"/>
      <c r="AID35" s="18"/>
      <c r="AIE35" s="18"/>
      <c r="AIF35" s="18"/>
      <c r="AIG35" s="18"/>
      <c r="AIH35" s="18"/>
      <c r="AII35" s="18"/>
      <c r="AIJ35" s="18"/>
      <c r="AIK35" s="18"/>
      <c r="AIL35" s="18"/>
      <c r="AIM35" s="18"/>
      <c r="AIN35" s="18"/>
      <c r="AIO35" s="18"/>
      <c r="AIP35" s="18"/>
      <c r="AIQ35" s="18"/>
      <c r="AIR35" s="18"/>
      <c r="AIS35" s="18"/>
      <c r="AIT35" s="18"/>
      <c r="AIU35" s="18"/>
      <c r="AIV35" s="18"/>
      <c r="AIW35" s="18"/>
      <c r="AIX35" s="18"/>
      <c r="AIY35" s="18"/>
      <c r="AIZ35" s="18"/>
      <c r="AJA35" s="18"/>
      <c r="AJB35" s="18"/>
      <c r="AJC35" s="18"/>
      <c r="AJD35" s="18"/>
      <c r="AJE35" s="18"/>
      <c r="AJF35" s="18"/>
      <c r="AJG35" s="18"/>
      <c r="AJH35" s="18"/>
      <c r="AJI35" s="18"/>
      <c r="AJJ35" s="18"/>
      <c r="AJK35" s="18"/>
      <c r="AJL35" s="18"/>
      <c r="AJM35" s="18"/>
      <c r="AJN35" s="18"/>
      <c r="AJO35" s="18"/>
      <c r="AJP35" s="18"/>
      <c r="AJQ35" s="18"/>
      <c r="AJR35" s="18"/>
      <c r="AJS35" s="18"/>
      <c r="AJT35" s="18"/>
      <c r="AJU35" s="18"/>
      <c r="AJV35" s="18"/>
      <c r="AJW35" s="18"/>
      <c r="AJX35" s="18"/>
      <c r="AJY35" s="18"/>
      <c r="AJZ35" s="18"/>
      <c r="AKA35" s="18"/>
      <c r="AKB35" s="18"/>
      <c r="AKC35" s="18"/>
      <c r="AKD35" s="18"/>
      <c r="AKE35" s="18"/>
      <c r="AKF35" s="18"/>
      <c r="AKG35" s="18"/>
      <c r="AKH35" s="18"/>
      <c r="AKI35" s="18"/>
      <c r="AKJ35" s="18"/>
      <c r="AKK35" s="18"/>
      <c r="AKL35" s="18"/>
      <c r="AKM35" s="18"/>
      <c r="AKN35" s="18"/>
      <c r="AKO35" s="18"/>
      <c r="AKP35" s="18"/>
      <c r="AKQ35" s="18"/>
      <c r="AKR35" s="18"/>
      <c r="AKS35" s="18"/>
      <c r="AKT35" s="18"/>
      <c r="AKU35" s="18"/>
      <c r="AKV35" s="18"/>
      <c r="AKW35" s="18"/>
      <c r="AKX35" s="18"/>
      <c r="AKY35" s="18"/>
      <c r="AKZ35" s="18"/>
      <c r="ALA35" s="18"/>
      <c r="ALB35" s="18"/>
      <c r="ALC35" s="18"/>
      <c r="ALD35" s="18"/>
      <c r="ALE35" s="18"/>
      <c r="ALF35" s="18"/>
      <c r="ALG35" s="18"/>
      <c r="ALH35" s="18"/>
      <c r="ALI35" s="18"/>
      <c r="ALJ35" s="18"/>
      <c r="ALK35" s="18"/>
      <c r="ALL35" s="18"/>
      <c r="ALM35" s="18"/>
      <c r="ALN35" s="18"/>
      <c r="ALO35" s="18"/>
      <c r="ALP35" s="18"/>
      <c r="ALQ35" s="18"/>
      <c r="ALR35" s="18"/>
      <c r="ALS35" s="18"/>
      <c r="ALT35" s="18"/>
      <c r="ALU35" s="18"/>
      <c r="ALV35" s="18"/>
      <c r="ALW35" s="18"/>
      <c r="ALX35" s="18"/>
      <c r="ALY35" s="18"/>
      <c r="ALZ35" s="18"/>
      <c r="AMA35" s="18"/>
      <c r="AMB35" s="18"/>
      <c r="AMC35" s="18"/>
      <c r="AMD35" s="18"/>
      <c r="AME35" s="18"/>
      <c r="AMF35" s="18"/>
      <c r="AMG35" s="18"/>
      <c r="AMH35" s="18"/>
    </row>
    <row r="36" spans="1:1022" s="23" customFormat="1" x14ac:dyDescent="0.3">
      <c r="A36" s="33">
        <v>132</v>
      </c>
      <c r="B36" s="19"/>
      <c r="C36" s="19"/>
      <c r="D36" s="34" t="s">
        <v>307</v>
      </c>
      <c r="E36" s="34" t="s">
        <v>458</v>
      </c>
      <c r="F36" s="39"/>
      <c r="G36" s="19"/>
      <c r="H36" s="18"/>
      <c r="I36" s="40"/>
      <c r="J36" s="31"/>
      <c r="K36" s="38" t="s">
        <v>281</v>
      </c>
      <c r="L36" s="31"/>
      <c r="M36" s="32"/>
      <c r="N36" s="32"/>
      <c r="O36" s="18"/>
      <c r="P36" s="36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18"/>
      <c r="IB36" s="18"/>
      <c r="IC36" s="18"/>
      <c r="ID36" s="18"/>
      <c r="IE36" s="18"/>
      <c r="IF36" s="18"/>
      <c r="IG36" s="18"/>
      <c r="IH36" s="18"/>
      <c r="II36" s="18"/>
      <c r="IJ36" s="18"/>
      <c r="IK36" s="18"/>
      <c r="IL36" s="18"/>
      <c r="IM36" s="18"/>
      <c r="IN36" s="18"/>
      <c r="IO36" s="18"/>
      <c r="IP36" s="18"/>
      <c r="IQ36" s="18"/>
      <c r="IR36" s="18"/>
      <c r="IS36" s="18"/>
      <c r="IT36" s="18"/>
      <c r="IU36" s="18"/>
      <c r="IV36" s="18"/>
      <c r="IW36" s="18"/>
      <c r="IX36" s="18"/>
      <c r="IY36" s="18"/>
      <c r="IZ36" s="18"/>
      <c r="JA36" s="18"/>
      <c r="JB36" s="18"/>
      <c r="JC36" s="18"/>
      <c r="JD36" s="18"/>
      <c r="JE36" s="18"/>
      <c r="JF36" s="18"/>
      <c r="JG36" s="18"/>
      <c r="JH36" s="18"/>
      <c r="JI36" s="18"/>
      <c r="JJ36" s="18"/>
      <c r="JK36" s="18"/>
      <c r="JL36" s="18"/>
      <c r="JM36" s="18"/>
      <c r="JN36" s="18"/>
      <c r="JO36" s="18"/>
      <c r="JP36" s="18"/>
      <c r="JQ36" s="18"/>
      <c r="JR36" s="18"/>
      <c r="JS36" s="18"/>
      <c r="JT36" s="18"/>
      <c r="JU36" s="18"/>
      <c r="JV36" s="18"/>
      <c r="JW36" s="18"/>
      <c r="JX36" s="18"/>
      <c r="JY36" s="18"/>
      <c r="JZ36" s="18"/>
      <c r="KA36" s="18"/>
      <c r="KB36" s="18"/>
      <c r="KC36" s="18"/>
      <c r="KD36" s="18"/>
      <c r="KE36" s="18"/>
      <c r="KF36" s="18"/>
      <c r="KG36" s="18"/>
      <c r="KH36" s="18"/>
      <c r="KI36" s="18"/>
      <c r="KJ36" s="18"/>
      <c r="KK36" s="18"/>
      <c r="KL36" s="18"/>
      <c r="KM36" s="18"/>
      <c r="KN36" s="18"/>
      <c r="KO36" s="18"/>
      <c r="KP36" s="18"/>
      <c r="KQ36" s="18"/>
      <c r="KR36" s="18"/>
      <c r="KS36" s="18"/>
      <c r="KT36" s="18"/>
      <c r="KU36" s="18"/>
      <c r="KV36" s="18"/>
      <c r="KW36" s="18"/>
      <c r="KX36" s="18"/>
      <c r="KY36" s="18"/>
      <c r="KZ36" s="18"/>
      <c r="LA36" s="18"/>
      <c r="LB36" s="18"/>
      <c r="LC36" s="18"/>
      <c r="LD36" s="18"/>
      <c r="LE36" s="18"/>
      <c r="LF36" s="18"/>
      <c r="LG36" s="18"/>
      <c r="LH36" s="18"/>
      <c r="LI36" s="18"/>
      <c r="LJ36" s="18"/>
      <c r="LK36" s="18"/>
      <c r="LL36" s="18"/>
      <c r="LM36" s="18"/>
      <c r="LN36" s="18"/>
      <c r="LO36" s="18"/>
      <c r="LP36" s="18"/>
      <c r="LQ36" s="18"/>
      <c r="LR36" s="18"/>
      <c r="LS36" s="18"/>
      <c r="LT36" s="18"/>
      <c r="LU36" s="18"/>
      <c r="LV36" s="18"/>
      <c r="LW36" s="18"/>
      <c r="LX36" s="18"/>
      <c r="LY36" s="18"/>
      <c r="LZ36" s="18"/>
      <c r="MA36" s="18"/>
      <c r="MB36" s="18"/>
      <c r="MC36" s="18"/>
      <c r="MD36" s="18"/>
      <c r="ME36" s="18"/>
      <c r="MF36" s="18"/>
      <c r="MG36" s="18"/>
      <c r="MH36" s="18"/>
      <c r="MI36" s="18"/>
      <c r="MJ36" s="18"/>
      <c r="MK36" s="18"/>
      <c r="ML36" s="18"/>
      <c r="MM36" s="18"/>
      <c r="MN36" s="18"/>
      <c r="MO36" s="18"/>
      <c r="MP36" s="18"/>
      <c r="MQ36" s="18"/>
      <c r="MR36" s="18"/>
      <c r="MS36" s="18"/>
      <c r="MT36" s="18"/>
      <c r="MU36" s="18"/>
      <c r="MV36" s="18"/>
      <c r="MW36" s="18"/>
      <c r="MX36" s="18"/>
      <c r="MY36" s="18"/>
      <c r="MZ36" s="18"/>
      <c r="NA36" s="18"/>
      <c r="NB36" s="18"/>
      <c r="NC36" s="18"/>
      <c r="ND36" s="18"/>
      <c r="NE36" s="18"/>
      <c r="NF36" s="18"/>
      <c r="NG36" s="18"/>
      <c r="NH36" s="18"/>
      <c r="NI36" s="18"/>
      <c r="NJ36" s="18"/>
      <c r="NK36" s="18"/>
      <c r="NL36" s="18"/>
      <c r="NM36" s="18"/>
      <c r="NN36" s="18"/>
      <c r="NO36" s="18"/>
      <c r="NP36" s="18"/>
      <c r="NQ36" s="18"/>
      <c r="NR36" s="18"/>
      <c r="NS36" s="18"/>
      <c r="NT36" s="18"/>
      <c r="NU36" s="18"/>
      <c r="NV36" s="18"/>
      <c r="NW36" s="18"/>
      <c r="NX36" s="18"/>
      <c r="NY36" s="18"/>
      <c r="NZ36" s="18"/>
      <c r="OA36" s="18"/>
      <c r="OB36" s="18"/>
      <c r="OC36" s="18"/>
      <c r="OD36" s="18"/>
      <c r="OE36" s="18"/>
      <c r="OF36" s="18"/>
      <c r="OG36" s="18"/>
      <c r="OH36" s="18"/>
      <c r="OI36" s="18"/>
      <c r="OJ36" s="18"/>
      <c r="OK36" s="18"/>
      <c r="OL36" s="18"/>
      <c r="OM36" s="18"/>
      <c r="ON36" s="18"/>
      <c r="OO36" s="18"/>
      <c r="OP36" s="18"/>
      <c r="OQ36" s="18"/>
      <c r="OR36" s="18"/>
      <c r="OS36" s="18"/>
      <c r="OT36" s="18"/>
      <c r="OU36" s="18"/>
      <c r="OV36" s="18"/>
      <c r="OW36" s="18"/>
      <c r="OX36" s="18"/>
      <c r="OY36" s="18"/>
      <c r="OZ36" s="18"/>
      <c r="PA36" s="18"/>
      <c r="PB36" s="18"/>
      <c r="PC36" s="18"/>
      <c r="PD36" s="18"/>
      <c r="PE36" s="18"/>
      <c r="PF36" s="18"/>
      <c r="PG36" s="18"/>
      <c r="PH36" s="18"/>
      <c r="PI36" s="18"/>
      <c r="PJ36" s="18"/>
      <c r="PK36" s="18"/>
      <c r="PL36" s="18"/>
      <c r="PM36" s="18"/>
      <c r="PN36" s="18"/>
      <c r="PO36" s="18"/>
      <c r="PP36" s="18"/>
      <c r="PQ36" s="18"/>
      <c r="PR36" s="18"/>
      <c r="PS36" s="18"/>
      <c r="PT36" s="18"/>
      <c r="PU36" s="18"/>
      <c r="PV36" s="18"/>
      <c r="PW36" s="18"/>
      <c r="PX36" s="18"/>
      <c r="PY36" s="18"/>
      <c r="PZ36" s="18"/>
      <c r="QA36" s="18"/>
      <c r="QB36" s="18"/>
      <c r="QC36" s="18"/>
      <c r="QD36" s="18"/>
      <c r="QE36" s="18"/>
      <c r="QF36" s="18"/>
      <c r="QG36" s="18"/>
      <c r="QH36" s="18"/>
      <c r="QI36" s="18"/>
      <c r="QJ36" s="18"/>
      <c r="QK36" s="18"/>
      <c r="QL36" s="18"/>
      <c r="QM36" s="18"/>
      <c r="QN36" s="18"/>
      <c r="QO36" s="18"/>
      <c r="QP36" s="18"/>
      <c r="QQ36" s="18"/>
      <c r="QR36" s="18"/>
      <c r="QS36" s="18"/>
      <c r="QT36" s="18"/>
      <c r="QU36" s="18"/>
      <c r="QV36" s="18"/>
      <c r="QW36" s="18"/>
      <c r="QX36" s="18"/>
      <c r="QY36" s="18"/>
      <c r="QZ36" s="18"/>
      <c r="RA36" s="18"/>
      <c r="RB36" s="18"/>
      <c r="RC36" s="18"/>
      <c r="RD36" s="18"/>
      <c r="RE36" s="18"/>
      <c r="RF36" s="18"/>
      <c r="RG36" s="18"/>
      <c r="RH36" s="18"/>
      <c r="RI36" s="18"/>
      <c r="RJ36" s="18"/>
      <c r="RK36" s="18"/>
      <c r="RL36" s="18"/>
      <c r="RM36" s="18"/>
      <c r="RN36" s="18"/>
      <c r="RO36" s="18"/>
      <c r="RP36" s="18"/>
      <c r="RQ36" s="18"/>
      <c r="RR36" s="18"/>
      <c r="RS36" s="18"/>
      <c r="RT36" s="18"/>
      <c r="RU36" s="18"/>
      <c r="RV36" s="18"/>
      <c r="RW36" s="18"/>
      <c r="RX36" s="18"/>
      <c r="RY36" s="18"/>
      <c r="RZ36" s="18"/>
      <c r="SA36" s="18"/>
      <c r="SB36" s="18"/>
      <c r="SC36" s="18"/>
      <c r="SD36" s="18"/>
      <c r="SE36" s="18"/>
      <c r="SF36" s="18"/>
      <c r="SG36" s="18"/>
      <c r="SH36" s="18"/>
      <c r="SI36" s="18"/>
      <c r="SJ36" s="18"/>
      <c r="SK36" s="18"/>
      <c r="SL36" s="18"/>
      <c r="SM36" s="18"/>
      <c r="SN36" s="18"/>
      <c r="SO36" s="18"/>
      <c r="SP36" s="18"/>
      <c r="SQ36" s="18"/>
      <c r="SR36" s="18"/>
      <c r="SS36" s="18"/>
      <c r="ST36" s="18"/>
      <c r="SU36" s="18"/>
      <c r="SV36" s="18"/>
      <c r="SW36" s="18"/>
      <c r="SX36" s="18"/>
      <c r="SY36" s="18"/>
      <c r="SZ36" s="18"/>
      <c r="TA36" s="18"/>
      <c r="TB36" s="18"/>
      <c r="TC36" s="18"/>
      <c r="TD36" s="18"/>
      <c r="TE36" s="18"/>
      <c r="TF36" s="18"/>
      <c r="TG36" s="18"/>
      <c r="TH36" s="18"/>
      <c r="TI36" s="18"/>
      <c r="TJ36" s="18"/>
      <c r="TK36" s="18"/>
      <c r="TL36" s="18"/>
      <c r="TM36" s="18"/>
      <c r="TN36" s="18"/>
      <c r="TO36" s="18"/>
      <c r="TP36" s="18"/>
      <c r="TQ36" s="18"/>
      <c r="TR36" s="18"/>
      <c r="TS36" s="18"/>
      <c r="TT36" s="18"/>
      <c r="TU36" s="18"/>
      <c r="TV36" s="18"/>
      <c r="TW36" s="18"/>
      <c r="TX36" s="18"/>
      <c r="TY36" s="18"/>
      <c r="TZ36" s="18"/>
      <c r="UA36" s="18"/>
      <c r="UB36" s="18"/>
      <c r="UC36" s="18"/>
      <c r="UD36" s="18"/>
      <c r="UE36" s="18"/>
      <c r="UF36" s="18"/>
      <c r="UG36" s="18"/>
      <c r="UH36" s="18"/>
      <c r="UI36" s="18"/>
      <c r="UJ36" s="18"/>
      <c r="UK36" s="18"/>
      <c r="UL36" s="18"/>
      <c r="UM36" s="18"/>
      <c r="UN36" s="18"/>
      <c r="UO36" s="18"/>
      <c r="UP36" s="18"/>
      <c r="UQ36" s="18"/>
      <c r="UR36" s="18"/>
      <c r="US36" s="18"/>
      <c r="UT36" s="18"/>
      <c r="UU36" s="18"/>
      <c r="UV36" s="18"/>
      <c r="UW36" s="18"/>
      <c r="UX36" s="18"/>
      <c r="UY36" s="18"/>
      <c r="UZ36" s="18"/>
      <c r="VA36" s="18"/>
      <c r="VB36" s="18"/>
      <c r="VC36" s="18"/>
      <c r="VD36" s="18"/>
      <c r="VE36" s="18"/>
      <c r="VF36" s="18"/>
      <c r="VG36" s="18"/>
      <c r="VH36" s="18"/>
      <c r="VI36" s="18"/>
      <c r="VJ36" s="18"/>
      <c r="VK36" s="18"/>
      <c r="VL36" s="18"/>
      <c r="VM36" s="18"/>
      <c r="VN36" s="18"/>
      <c r="VO36" s="18"/>
      <c r="VP36" s="18"/>
      <c r="VQ36" s="18"/>
      <c r="VR36" s="18"/>
      <c r="VS36" s="18"/>
      <c r="VT36" s="18"/>
      <c r="VU36" s="18"/>
      <c r="VV36" s="18"/>
      <c r="VW36" s="18"/>
      <c r="VX36" s="18"/>
      <c r="VY36" s="18"/>
      <c r="VZ36" s="18"/>
      <c r="WA36" s="18"/>
      <c r="WB36" s="18"/>
      <c r="WC36" s="18"/>
      <c r="WD36" s="18"/>
      <c r="WE36" s="18"/>
      <c r="WF36" s="18"/>
      <c r="WG36" s="18"/>
      <c r="WH36" s="18"/>
      <c r="WI36" s="18"/>
      <c r="WJ36" s="18"/>
      <c r="WK36" s="18"/>
      <c r="WL36" s="18"/>
      <c r="WM36" s="18"/>
      <c r="WN36" s="18"/>
      <c r="WO36" s="18"/>
      <c r="WP36" s="18"/>
      <c r="WQ36" s="18"/>
      <c r="WR36" s="18"/>
      <c r="WS36" s="18"/>
      <c r="WT36" s="18"/>
      <c r="WU36" s="18"/>
      <c r="WV36" s="18"/>
      <c r="WW36" s="18"/>
      <c r="WX36" s="18"/>
      <c r="WY36" s="18"/>
      <c r="WZ36" s="18"/>
      <c r="XA36" s="18"/>
      <c r="XB36" s="18"/>
      <c r="XC36" s="18"/>
      <c r="XD36" s="18"/>
      <c r="XE36" s="18"/>
      <c r="XF36" s="18"/>
      <c r="XG36" s="18"/>
      <c r="XH36" s="18"/>
      <c r="XI36" s="18"/>
      <c r="XJ36" s="18"/>
      <c r="XK36" s="18"/>
      <c r="XL36" s="18"/>
      <c r="XM36" s="18"/>
      <c r="XN36" s="18"/>
      <c r="XO36" s="18"/>
      <c r="XP36" s="18"/>
      <c r="XQ36" s="18"/>
      <c r="XR36" s="18"/>
      <c r="XS36" s="18"/>
      <c r="XT36" s="18"/>
      <c r="XU36" s="18"/>
      <c r="XV36" s="18"/>
      <c r="XW36" s="18"/>
      <c r="XX36" s="18"/>
      <c r="XY36" s="18"/>
      <c r="XZ36" s="18"/>
      <c r="YA36" s="18"/>
      <c r="YB36" s="18"/>
      <c r="YC36" s="18"/>
      <c r="YD36" s="18"/>
      <c r="YE36" s="18"/>
      <c r="YF36" s="18"/>
      <c r="YG36" s="18"/>
      <c r="YH36" s="18"/>
      <c r="YI36" s="18"/>
      <c r="YJ36" s="18"/>
      <c r="YK36" s="18"/>
      <c r="YL36" s="18"/>
      <c r="YM36" s="18"/>
      <c r="YN36" s="18"/>
      <c r="YO36" s="18"/>
      <c r="YP36" s="18"/>
      <c r="YQ36" s="18"/>
      <c r="YR36" s="18"/>
      <c r="YS36" s="18"/>
      <c r="YT36" s="18"/>
      <c r="YU36" s="18"/>
      <c r="YV36" s="18"/>
      <c r="YW36" s="18"/>
      <c r="YX36" s="18"/>
      <c r="YY36" s="18"/>
      <c r="YZ36" s="18"/>
      <c r="ZA36" s="18"/>
      <c r="ZB36" s="18"/>
      <c r="ZC36" s="18"/>
      <c r="ZD36" s="18"/>
      <c r="ZE36" s="18"/>
      <c r="ZF36" s="18"/>
      <c r="ZG36" s="18"/>
      <c r="ZH36" s="18"/>
      <c r="ZI36" s="18"/>
      <c r="ZJ36" s="18"/>
      <c r="ZK36" s="18"/>
      <c r="ZL36" s="18"/>
      <c r="ZM36" s="18"/>
      <c r="ZN36" s="18"/>
      <c r="ZO36" s="18"/>
      <c r="ZP36" s="18"/>
      <c r="ZQ36" s="18"/>
      <c r="ZR36" s="18"/>
      <c r="ZS36" s="18"/>
      <c r="ZT36" s="18"/>
      <c r="ZU36" s="18"/>
      <c r="ZV36" s="18"/>
      <c r="ZW36" s="18"/>
      <c r="ZX36" s="18"/>
      <c r="ZY36" s="18"/>
      <c r="ZZ36" s="18"/>
      <c r="AAA36" s="18"/>
      <c r="AAB36" s="18"/>
      <c r="AAC36" s="18"/>
      <c r="AAD36" s="18"/>
      <c r="AAE36" s="18"/>
      <c r="AAF36" s="18"/>
      <c r="AAG36" s="18"/>
      <c r="AAH36" s="18"/>
      <c r="AAI36" s="18"/>
      <c r="AAJ36" s="18"/>
      <c r="AAK36" s="18"/>
      <c r="AAL36" s="18"/>
      <c r="AAM36" s="18"/>
      <c r="AAN36" s="18"/>
      <c r="AAO36" s="18"/>
      <c r="AAP36" s="18"/>
      <c r="AAQ36" s="18"/>
      <c r="AAR36" s="18"/>
      <c r="AAS36" s="18"/>
      <c r="AAT36" s="18"/>
      <c r="AAU36" s="18"/>
      <c r="AAV36" s="18"/>
      <c r="AAW36" s="18"/>
      <c r="AAX36" s="18"/>
      <c r="AAY36" s="18"/>
      <c r="AAZ36" s="18"/>
      <c r="ABA36" s="18"/>
      <c r="ABB36" s="18"/>
      <c r="ABC36" s="18"/>
      <c r="ABD36" s="18"/>
      <c r="ABE36" s="18"/>
      <c r="ABF36" s="18"/>
      <c r="ABG36" s="18"/>
      <c r="ABH36" s="18"/>
      <c r="ABI36" s="18"/>
      <c r="ABJ36" s="18"/>
      <c r="ABK36" s="18"/>
      <c r="ABL36" s="18"/>
      <c r="ABM36" s="18"/>
      <c r="ABN36" s="18"/>
      <c r="ABO36" s="18"/>
      <c r="ABP36" s="18"/>
      <c r="ABQ36" s="18"/>
      <c r="ABR36" s="18"/>
      <c r="ABS36" s="18"/>
      <c r="ABT36" s="18"/>
      <c r="ABU36" s="18"/>
      <c r="ABV36" s="18"/>
      <c r="ABW36" s="18"/>
      <c r="ABX36" s="18"/>
      <c r="ABY36" s="18"/>
      <c r="ABZ36" s="18"/>
      <c r="ACA36" s="18"/>
      <c r="ACB36" s="18"/>
      <c r="ACC36" s="18"/>
      <c r="ACD36" s="18"/>
      <c r="ACE36" s="18"/>
      <c r="ACF36" s="18"/>
      <c r="ACG36" s="18"/>
      <c r="ACH36" s="18"/>
      <c r="ACI36" s="18"/>
      <c r="ACJ36" s="18"/>
      <c r="ACK36" s="18"/>
      <c r="ACL36" s="18"/>
      <c r="ACM36" s="18"/>
      <c r="ACN36" s="18"/>
      <c r="ACO36" s="18"/>
      <c r="ACP36" s="18"/>
      <c r="ACQ36" s="18"/>
      <c r="ACR36" s="18"/>
      <c r="ACS36" s="18"/>
      <c r="ACT36" s="18"/>
      <c r="ACU36" s="18"/>
      <c r="ACV36" s="18"/>
      <c r="ACW36" s="18"/>
      <c r="ACX36" s="18"/>
      <c r="ACY36" s="18"/>
      <c r="ACZ36" s="18"/>
      <c r="ADA36" s="18"/>
      <c r="ADB36" s="18"/>
      <c r="ADC36" s="18"/>
      <c r="ADD36" s="18"/>
      <c r="ADE36" s="18"/>
      <c r="ADF36" s="18"/>
      <c r="ADG36" s="18"/>
      <c r="ADH36" s="18"/>
      <c r="ADI36" s="18"/>
      <c r="ADJ36" s="18"/>
      <c r="ADK36" s="18"/>
      <c r="ADL36" s="18"/>
      <c r="ADM36" s="18"/>
      <c r="ADN36" s="18"/>
      <c r="ADO36" s="18"/>
      <c r="ADP36" s="18"/>
      <c r="ADQ36" s="18"/>
      <c r="ADR36" s="18"/>
      <c r="ADS36" s="18"/>
      <c r="ADT36" s="18"/>
      <c r="ADU36" s="18"/>
      <c r="ADV36" s="18"/>
      <c r="ADW36" s="18"/>
      <c r="ADX36" s="18"/>
      <c r="ADY36" s="18"/>
      <c r="ADZ36" s="18"/>
      <c r="AEA36" s="18"/>
      <c r="AEB36" s="18"/>
      <c r="AEC36" s="18"/>
      <c r="AED36" s="18"/>
      <c r="AEE36" s="18"/>
      <c r="AEF36" s="18"/>
      <c r="AEG36" s="18"/>
      <c r="AEH36" s="18"/>
      <c r="AEI36" s="18"/>
      <c r="AEJ36" s="18"/>
      <c r="AEK36" s="18"/>
      <c r="AEL36" s="18"/>
      <c r="AEM36" s="18"/>
      <c r="AEN36" s="18"/>
      <c r="AEO36" s="18"/>
      <c r="AEP36" s="18"/>
      <c r="AEQ36" s="18"/>
      <c r="AER36" s="18"/>
      <c r="AES36" s="18"/>
      <c r="AET36" s="18"/>
      <c r="AEU36" s="18"/>
      <c r="AEV36" s="18"/>
      <c r="AEW36" s="18"/>
      <c r="AEX36" s="18"/>
      <c r="AEY36" s="18"/>
      <c r="AEZ36" s="18"/>
      <c r="AFA36" s="18"/>
      <c r="AFB36" s="18"/>
      <c r="AFC36" s="18"/>
      <c r="AFD36" s="18"/>
      <c r="AFE36" s="18"/>
      <c r="AFF36" s="18"/>
      <c r="AFG36" s="18"/>
      <c r="AFH36" s="18"/>
      <c r="AFI36" s="18"/>
      <c r="AFJ36" s="18"/>
      <c r="AFK36" s="18"/>
      <c r="AFL36" s="18"/>
      <c r="AFM36" s="18"/>
      <c r="AFN36" s="18"/>
      <c r="AFO36" s="18"/>
      <c r="AFP36" s="18"/>
      <c r="AFQ36" s="18"/>
      <c r="AFR36" s="18"/>
      <c r="AFS36" s="18"/>
      <c r="AFT36" s="18"/>
      <c r="AFU36" s="18"/>
      <c r="AFV36" s="18"/>
      <c r="AFW36" s="18"/>
      <c r="AFX36" s="18"/>
      <c r="AFY36" s="18"/>
      <c r="AFZ36" s="18"/>
      <c r="AGA36" s="18"/>
      <c r="AGB36" s="18"/>
      <c r="AGC36" s="18"/>
      <c r="AGD36" s="18"/>
      <c r="AGE36" s="18"/>
      <c r="AGF36" s="18"/>
      <c r="AGG36" s="18"/>
      <c r="AGH36" s="18"/>
      <c r="AGI36" s="18"/>
      <c r="AGJ36" s="18"/>
      <c r="AGK36" s="18"/>
      <c r="AGL36" s="18"/>
      <c r="AGM36" s="18"/>
      <c r="AGN36" s="18"/>
      <c r="AGO36" s="18"/>
      <c r="AGP36" s="18"/>
      <c r="AGQ36" s="18"/>
      <c r="AGR36" s="18"/>
      <c r="AGS36" s="18"/>
      <c r="AGT36" s="18"/>
      <c r="AGU36" s="18"/>
      <c r="AGV36" s="18"/>
      <c r="AGW36" s="18"/>
      <c r="AGX36" s="18"/>
      <c r="AGY36" s="18"/>
      <c r="AGZ36" s="18"/>
      <c r="AHA36" s="18"/>
      <c r="AHB36" s="18"/>
      <c r="AHC36" s="18"/>
      <c r="AHD36" s="18"/>
      <c r="AHE36" s="18"/>
      <c r="AHF36" s="18"/>
      <c r="AHG36" s="18"/>
      <c r="AHH36" s="18"/>
      <c r="AHI36" s="18"/>
      <c r="AHJ36" s="18"/>
      <c r="AHK36" s="18"/>
      <c r="AHL36" s="18"/>
      <c r="AHM36" s="18"/>
      <c r="AHN36" s="18"/>
      <c r="AHO36" s="18"/>
      <c r="AHP36" s="18"/>
      <c r="AHQ36" s="18"/>
      <c r="AHR36" s="18"/>
      <c r="AHS36" s="18"/>
      <c r="AHT36" s="18"/>
      <c r="AHU36" s="18"/>
      <c r="AHV36" s="18"/>
      <c r="AHW36" s="18"/>
      <c r="AHX36" s="18"/>
      <c r="AHY36" s="18"/>
      <c r="AHZ36" s="18"/>
      <c r="AIA36" s="18"/>
      <c r="AIB36" s="18"/>
      <c r="AIC36" s="18"/>
      <c r="AID36" s="18"/>
      <c r="AIE36" s="18"/>
      <c r="AIF36" s="18"/>
      <c r="AIG36" s="18"/>
      <c r="AIH36" s="18"/>
      <c r="AII36" s="18"/>
      <c r="AIJ36" s="18"/>
      <c r="AIK36" s="18"/>
      <c r="AIL36" s="18"/>
      <c r="AIM36" s="18"/>
      <c r="AIN36" s="18"/>
      <c r="AIO36" s="18"/>
      <c r="AIP36" s="18"/>
      <c r="AIQ36" s="18"/>
      <c r="AIR36" s="18"/>
      <c r="AIS36" s="18"/>
      <c r="AIT36" s="18"/>
      <c r="AIU36" s="18"/>
      <c r="AIV36" s="18"/>
      <c r="AIW36" s="18"/>
      <c r="AIX36" s="18"/>
      <c r="AIY36" s="18"/>
      <c r="AIZ36" s="18"/>
      <c r="AJA36" s="18"/>
      <c r="AJB36" s="18"/>
      <c r="AJC36" s="18"/>
      <c r="AJD36" s="18"/>
      <c r="AJE36" s="18"/>
      <c r="AJF36" s="18"/>
      <c r="AJG36" s="18"/>
      <c r="AJH36" s="18"/>
      <c r="AJI36" s="18"/>
      <c r="AJJ36" s="18"/>
      <c r="AJK36" s="18"/>
      <c r="AJL36" s="18"/>
      <c r="AJM36" s="18"/>
      <c r="AJN36" s="18"/>
      <c r="AJO36" s="18"/>
      <c r="AJP36" s="18"/>
      <c r="AJQ36" s="18"/>
      <c r="AJR36" s="18"/>
      <c r="AJS36" s="18"/>
      <c r="AJT36" s="18"/>
      <c r="AJU36" s="18"/>
      <c r="AJV36" s="18"/>
      <c r="AJW36" s="18"/>
      <c r="AJX36" s="18"/>
      <c r="AJY36" s="18"/>
      <c r="AJZ36" s="18"/>
      <c r="AKA36" s="18"/>
      <c r="AKB36" s="18"/>
      <c r="AKC36" s="18"/>
      <c r="AKD36" s="18"/>
      <c r="AKE36" s="18"/>
      <c r="AKF36" s="18"/>
      <c r="AKG36" s="18"/>
      <c r="AKH36" s="18"/>
      <c r="AKI36" s="18"/>
      <c r="AKJ36" s="18"/>
      <c r="AKK36" s="18"/>
      <c r="AKL36" s="18"/>
      <c r="AKM36" s="18"/>
      <c r="AKN36" s="18"/>
      <c r="AKO36" s="18"/>
      <c r="AKP36" s="18"/>
      <c r="AKQ36" s="18"/>
      <c r="AKR36" s="18"/>
      <c r="AKS36" s="18"/>
      <c r="AKT36" s="18"/>
      <c r="AKU36" s="18"/>
      <c r="AKV36" s="18"/>
      <c r="AKW36" s="18"/>
      <c r="AKX36" s="18"/>
      <c r="AKY36" s="18"/>
      <c r="AKZ36" s="18"/>
      <c r="ALA36" s="18"/>
      <c r="ALB36" s="18"/>
      <c r="ALC36" s="18"/>
      <c r="ALD36" s="18"/>
      <c r="ALE36" s="18"/>
      <c r="ALF36" s="18"/>
      <c r="ALG36" s="18"/>
      <c r="ALH36" s="18"/>
      <c r="ALI36" s="18"/>
      <c r="ALJ36" s="18"/>
      <c r="ALK36" s="18"/>
      <c r="ALL36" s="18"/>
      <c r="ALM36" s="18"/>
      <c r="ALN36" s="18"/>
      <c r="ALO36" s="18"/>
      <c r="ALP36" s="18"/>
      <c r="ALQ36" s="18"/>
      <c r="ALR36" s="18"/>
      <c r="ALS36" s="18"/>
      <c r="ALT36" s="18"/>
      <c r="ALU36" s="18"/>
      <c r="ALV36" s="18"/>
      <c r="ALW36" s="18"/>
      <c r="ALX36" s="18"/>
      <c r="ALY36" s="18"/>
      <c r="ALZ36" s="18"/>
      <c r="AMA36" s="18"/>
      <c r="AMB36" s="18"/>
      <c r="AMC36" s="18"/>
      <c r="AMD36" s="18"/>
      <c r="AME36" s="18"/>
      <c r="AMF36" s="18"/>
      <c r="AMG36" s="18"/>
      <c r="AMH36" s="18"/>
    </row>
    <row r="37" spans="1:1022" s="23" customFormat="1" x14ac:dyDescent="0.3">
      <c r="A37" s="33">
        <v>133</v>
      </c>
      <c r="B37" s="19"/>
      <c r="C37" s="19"/>
      <c r="D37" s="34" t="s">
        <v>308</v>
      </c>
      <c r="E37" s="34" t="s">
        <v>459</v>
      </c>
      <c r="F37" s="39"/>
      <c r="G37" s="19"/>
      <c r="I37" s="40"/>
      <c r="J37" s="40"/>
      <c r="K37" s="31"/>
      <c r="L37" s="40"/>
      <c r="M37" s="38" t="s">
        <v>281</v>
      </c>
      <c r="N37" s="32"/>
      <c r="O37" s="18"/>
      <c r="P37" s="36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18"/>
      <c r="IB37" s="18"/>
      <c r="IC37" s="18"/>
      <c r="ID37" s="18"/>
      <c r="IE37" s="18"/>
      <c r="IF37" s="18"/>
      <c r="IG37" s="18"/>
      <c r="IH37" s="18"/>
      <c r="II37" s="18"/>
      <c r="IJ37" s="18"/>
      <c r="IK37" s="18"/>
      <c r="IL37" s="18"/>
      <c r="IM37" s="18"/>
      <c r="IN37" s="18"/>
      <c r="IO37" s="18"/>
      <c r="IP37" s="18"/>
      <c r="IQ37" s="18"/>
      <c r="IR37" s="18"/>
      <c r="IS37" s="18"/>
      <c r="IT37" s="18"/>
      <c r="IU37" s="18"/>
      <c r="IV37" s="18"/>
      <c r="IW37" s="18"/>
      <c r="IX37" s="18"/>
      <c r="IY37" s="18"/>
      <c r="IZ37" s="18"/>
      <c r="JA37" s="18"/>
      <c r="JB37" s="18"/>
      <c r="JC37" s="18"/>
      <c r="JD37" s="18"/>
      <c r="JE37" s="18"/>
      <c r="JF37" s="18"/>
      <c r="JG37" s="18"/>
      <c r="JH37" s="18"/>
      <c r="JI37" s="18"/>
      <c r="JJ37" s="18"/>
      <c r="JK37" s="18"/>
      <c r="JL37" s="18"/>
      <c r="JM37" s="18"/>
      <c r="JN37" s="18"/>
      <c r="JO37" s="18"/>
      <c r="JP37" s="18"/>
      <c r="JQ37" s="18"/>
      <c r="JR37" s="18"/>
      <c r="JS37" s="18"/>
      <c r="JT37" s="18"/>
      <c r="JU37" s="18"/>
      <c r="JV37" s="18"/>
      <c r="JW37" s="18"/>
      <c r="JX37" s="18"/>
      <c r="JY37" s="18"/>
      <c r="JZ37" s="18"/>
      <c r="KA37" s="18"/>
      <c r="KB37" s="18"/>
      <c r="KC37" s="18"/>
      <c r="KD37" s="18"/>
      <c r="KE37" s="18"/>
      <c r="KF37" s="18"/>
      <c r="KG37" s="18"/>
      <c r="KH37" s="18"/>
      <c r="KI37" s="18"/>
      <c r="KJ37" s="18"/>
      <c r="KK37" s="18"/>
      <c r="KL37" s="18"/>
      <c r="KM37" s="18"/>
      <c r="KN37" s="18"/>
      <c r="KO37" s="18"/>
      <c r="KP37" s="18"/>
      <c r="KQ37" s="18"/>
      <c r="KR37" s="18"/>
      <c r="KS37" s="18"/>
      <c r="KT37" s="18"/>
      <c r="KU37" s="18"/>
      <c r="KV37" s="18"/>
      <c r="KW37" s="18"/>
      <c r="KX37" s="18"/>
      <c r="KY37" s="18"/>
      <c r="KZ37" s="18"/>
      <c r="LA37" s="18"/>
      <c r="LB37" s="18"/>
      <c r="LC37" s="18"/>
      <c r="LD37" s="18"/>
      <c r="LE37" s="18"/>
      <c r="LF37" s="18"/>
      <c r="LG37" s="18"/>
      <c r="LH37" s="18"/>
      <c r="LI37" s="18"/>
      <c r="LJ37" s="18"/>
      <c r="LK37" s="18"/>
      <c r="LL37" s="18"/>
      <c r="LM37" s="18"/>
      <c r="LN37" s="18"/>
      <c r="LO37" s="18"/>
      <c r="LP37" s="18"/>
      <c r="LQ37" s="18"/>
      <c r="LR37" s="18"/>
      <c r="LS37" s="18"/>
      <c r="LT37" s="18"/>
      <c r="LU37" s="18"/>
      <c r="LV37" s="18"/>
      <c r="LW37" s="18"/>
      <c r="LX37" s="18"/>
      <c r="LY37" s="18"/>
      <c r="LZ37" s="18"/>
      <c r="MA37" s="18"/>
      <c r="MB37" s="18"/>
      <c r="MC37" s="18"/>
      <c r="MD37" s="18"/>
      <c r="ME37" s="18"/>
      <c r="MF37" s="18"/>
      <c r="MG37" s="18"/>
      <c r="MH37" s="18"/>
      <c r="MI37" s="18"/>
      <c r="MJ37" s="18"/>
      <c r="MK37" s="18"/>
      <c r="ML37" s="18"/>
      <c r="MM37" s="18"/>
      <c r="MN37" s="18"/>
      <c r="MO37" s="18"/>
      <c r="MP37" s="18"/>
      <c r="MQ37" s="18"/>
      <c r="MR37" s="18"/>
      <c r="MS37" s="18"/>
      <c r="MT37" s="18"/>
      <c r="MU37" s="18"/>
      <c r="MV37" s="18"/>
      <c r="MW37" s="18"/>
      <c r="MX37" s="18"/>
      <c r="MY37" s="18"/>
      <c r="MZ37" s="18"/>
      <c r="NA37" s="18"/>
      <c r="NB37" s="18"/>
      <c r="NC37" s="18"/>
      <c r="ND37" s="18"/>
      <c r="NE37" s="18"/>
      <c r="NF37" s="18"/>
      <c r="NG37" s="18"/>
      <c r="NH37" s="18"/>
      <c r="NI37" s="18"/>
      <c r="NJ37" s="18"/>
      <c r="NK37" s="18"/>
      <c r="NL37" s="18"/>
      <c r="NM37" s="18"/>
      <c r="NN37" s="18"/>
      <c r="NO37" s="18"/>
      <c r="NP37" s="18"/>
      <c r="NQ37" s="18"/>
      <c r="NR37" s="18"/>
      <c r="NS37" s="18"/>
      <c r="NT37" s="18"/>
      <c r="NU37" s="18"/>
      <c r="NV37" s="18"/>
      <c r="NW37" s="18"/>
      <c r="NX37" s="18"/>
      <c r="NY37" s="18"/>
      <c r="NZ37" s="18"/>
      <c r="OA37" s="18"/>
      <c r="OB37" s="18"/>
      <c r="OC37" s="18"/>
      <c r="OD37" s="18"/>
      <c r="OE37" s="18"/>
      <c r="OF37" s="18"/>
      <c r="OG37" s="18"/>
      <c r="OH37" s="18"/>
      <c r="OI37" s="18"/>
      <c r="OJ37" s="18"/>
      <c r="OK37" s="18"/>
      <c r="OL37" s="18"/>
      <c r="OM37" s="18"/>
      <c r="ON37" s="18"/>
      <c r="OO37" s="18"/>
      <c r="OP37" s="18"/>
      <c r="OQ37" s="18"/>
      <c r="OR37" s="18"/>
      <c r="OS37" s="18"/>
      <c r="OT37" s="18"/>
      <c r="OU37" s="18"/>
      <c r="OV37" s="18"/>
      <c r="OW37" s="18"/>
      <c r="OX37" s="18"/>
      <c r="OY37" s="18"/>
      <c r="OZ37" s="18"/>
      <c r="PA37" s="18"/>
      <c r="PB37" s="18"/>
      <c r="PC37" s="18"/>
      <c r="PD37" s="18"/>
      <c r="PE37" s="18"/>
      <c r="PF37" s="18"/>
      <c r="PG37" s="18"/>
      <c r="PH37" s="18"/>
      <c r="PI37" s="18"/>
      <c r="PJ37" s="18"/>
      <c r="PK37" s="18"/>
      <c r="PL37" s="18"/>
      <c r="PM37" s="18"/>
      <c r="PN37" s="18"/>
      <c r="PO37" s="18"/>
      <c r="PP37" s="18"/>
      <c r="PQ37" s="18"/>
      <c r="PR37" s="18"/>
      <c r="PS37" s="18"/>
      <c r="PT37" s="18"/>
      <c r="PU37" s="18"/>
      <c r="PV37" s="18"/>
      <c r="PW37" s="18"/>
      <c r="PX37" s="18"/>
      <c r="PY37" s="18"/>
      <c r="PZ37" s="18"/>
      <c r="QA37" s="18"/>
      <c r="QB37" s="18"/>
      <c r="QC37" s="18"/>
      <c r="QD37" s="18"/>
      <c r="QE37" s="18"/>
      <c r="QF37" s="18"/>
      <c r="QG37" s="18"/>
      <c r="QH37" s="18"/>
      <c r="QI37" s="18"/>
      <c r="QJ37" s="18"/>
      <c r="QK37" s="18"/>
      <c r="QL37" s="18"/>
      <c r="QM37" s="18"/>
      <c r="QN37" s="18"/>
      <c r="QO37" s="18"/>
      <c r="QP37" s="18"/>
      <c r="QQ37" s="18"/>
      <c r="QR37" s="18"/>
      <c r="QS37" s="18"/>
      <c r="QT37" s="18"/>
      <c r="QU37" s="18"/>
      <c r="QV37" s="18"/>
      <c r="QW37" s="18"/>
      <c r="QX37" s="18"/>
      <c r="QY37" s="18"/>
      <c r="QZ37" s="18"/>
      <c r="RA37" s="18"/>
      <c r="RB37" s="18"/>
      <c r="RC37" s="18"/>
      <c r="RD37" s="18"/>
      <c r="RE37" s="18"/>
      <c r="RF37" s="18"/>
      <c r="RG37" s="18"/>
      <c r="RH37" s="18"/>
      <c r="RI37" s="18"/>
      <c r="RJ37" s="18"/>
      <c r="RK37" s="18"/>
      <c r="RL37" s="18"/>
      <c r="RM37" s="18"/>
      <c r="RN37" s="18"/>
      <c r="RO37" s="18"/>
      <c r="RP37" s="18"/>
      <c r="RQ37" s="18"/>
      <c r="RR37" s="18"/>
      <c r="RS37" s="18"/>
      <c r="RT37" s="18"/>
      <c r="RU37" s="18"/>
      <c r="RV37" s="18"/>
      <c r="RW37" s="18"/>
      <c r="RX37" s="18"/>
      <c r="RY37" s="18"/>
      <c r="RZ37" s="18"/>
      <c r="SA37" s="18"/>
      <c r="SB37" s="18"/>
      <c r="SC37" s="18"/>
      <c r="SD37" s="18"/>
      <c r="SE37" s="18"/>
      <c r="SF37" s="18"/>
      <c r="SG37" s="18"/>
      <c r="SH37" s="18"/>
      <c r="SI37" s="18"/>
      <c r="SJ37" s="18"/>
      <c r="SK37" s="18"/>
      <c r="SL37" s="18"/>
      <c r="SM37" s="18"/>
      <c r="SN37" s="18"/>
      <c r="SO37" s="18"/>
      <c r="SP37" s="18"/>
      <c r="SQ37" s="18"/>
      <c r="SR37" s="18"/>
      <c r="SS37" s="18"/>
      <c r="ST37" s="18"/>
      <c r="SU37" s="18"/>
      <c r="SV37" s="18"/>
      <c r="SW37" s="18"/>
      <c r="SX37" s="18"/>
      <c r="SY37" s="18"/>
      <c r="SZ37" s="18"/>
      <c r="TA37" s="18"/>
      <c r="TB37" s="18"/>
      <c r="TC37" s="18"/>
      <c r="TD37" s="18"/>
      <c r="TE37" s="18"/>
      <c r="TF37" s="18"/>
      <c r="TG37" s="18"/>
      <c r="TH37" s="18"/>
      <c r="TI37" s="18"/>
      <c r="TJ37" s="18"/>
      <c r="TK37" s="18"/>
      <c r="TL37" s="18"/>
      <c r="TM37" s="18"/>
      <c r="TN37" s="18"/>
      <c r="TO37" s="18"/>
      <c r="TP37" s="18"/>
      <c r="TQ37" s="18"/>
      <c r="TR37" s="18"/>
      <c r="TS37" s="18"/>
      <c r="TT37" s="18"/>
      <c r="TU37" s="18"/>
      <c r="TV37" s="18"/>
      <c r="TW37" s="18"/>
      <c r="TX37" s="18"/>
      <c r="TY37" s="18"/>
      <c r="TZ37" s="18"/>
      <c r="UA37" s="18"/>
      <c r="UB37" s="18"/>
      <c r="UC37" s="18"/>
      <c r="UD37" s="18"/>
      <c r="UE37" s="18"/>
      <c r="UF37" s="18"/>
      <c r="UG37" s="18"/>
      <c r="UH37" s="18"/>
      <c r="UI37" s="18"/>
      <c r="UJ37" s="18"/>
      <c r="UK37" s="18"/>
      <c r="UL37" s="18"/>
      <c r="UM37" s="18"/>
      <c r="UN37" s="18"/>
      <c r="UO37" s="18"/>
      <c r="UP37" s="18"/>
      <c r="UQ37" s="18"/>
      <c r="UR37" s="18"/>
      <c r="US37" s="18"/>
      <c r="UT37" s="18"/>
      <c r="UU37" s="18"/>
      <c r="UV37" s="18"/>
      <c r="UW37" s="18"/>
      <c r="UX37" s="18"/>
      <c r="UY37" s="18"/>
      <c r="UZ37" s="18"/>
      <c r="VA37" s="18"/>
      <c r="VB37" s="18"/>
      <c r="VC37" s="18"/>
      <c r="VD37" s="18"/>
      <c r="VE37" s="18"/>
      <c r="VF37" s="18"/>
      <c r="VG37" s="18"/>
      <c r="VH37" s="18"/>
      <c r="VI37" s="18"/>
      <c r="VJ37" s="18"/>
      <c r="VK37" s="18"/>
      <c r="VL37" s="18"/>
      <c r="VM37" s="18"/>
      <c r="VN37" s="18"/>
      <c r="VO37" s="18"/>
      <c r="VP37" s="18"/>
      <c r="VQ37" s="18"/>
      <c r="VR37" s="18"/>
      <c r="VS37" s="18"/>
      <c r="VT37" s="18"/>
      <c r="VU37" s="18"/>
      <c r="VV37" s="18"/>
      <c r="VW37" s="18"/>
      <c r="VX37" s="18"/>
      <c r="VY37" s="18"/>
      <c r="VZ37" s="18"/>
      <c r="WA37" s="18"/>
      <c r="WB37" s="18"/>
      <c r="WC37" s="18"/>
      <c r="WD37" s="18"/>
      <c r="WE37" s="18"/>
      <c r="WF37" s="18"/>
      <c r="WG37" s="18"/>
      <c r="WH37" s="18"/>
      <c r="WI37" s="18"/>
      <c r="WJ37" s="18"/>
      <c r="WK37" s="18"/>
      <c r="WL37" s="18"/>
      <c r="WM37" s="18"/>
      <c r="WN37" s="18"/>
      <c r="WO37" s="18"/>
      <c r="WP37" s="18"/>
      <c r="WQ37" s="18"/>
      <c r="WR37" s="18"/>
      <c r="WS37" s="18"/>
      <c r="WT37" s="18"/>
      <c r="WU37" s="18"/>
      <c r="WV37" s="18"/>
      <c r="WW37" s="18"/>
      <c r="WX37" s="18"/>
      <c r="WY37" s="18"/>
      <c r="WZ37" s="18"/>
      <c r="XA37" s="18"/>
      <c r="XB37" s="18"/>
      <c r="XC37" s="18"/>
      <c r="XD37" s="18"/>
      <c r="XE37" s="18"/>
      <c r="XF37" s="18"/>
      <c r="XG37" s="18"/>
      <c r="XH37" s="18"/>
      <c r="XI37" s="18"/>
      <c r="XJ37" s="18"/>
      <c r="XK37" s="18"/>
      <c r="XL37" s="18"/>
      <c r="XM37" s="18"/>
      <c r="XN37" s="18"/>
      <c r="XO37" s="18"/>
      <c r="XP37" s="18"/>
      <c r="XQ37" s="18"/>
      <c r="XR37" s="18"/>
      <c r="XS37" s="18"/>
      <c r="XT37" s="18"/>
      <c r="XU37" s="18"/>
      <c r="XV37" s="18"/>
      <c r="XW37" s="18"/>
      <c r="XX37" s="18"/>
      <c r="XY37" s="18"/>
      <c r="XZ37" s="18"/>
      <c r="YA37" s="18"/>
      <c r="YB37" s="18"/>
      <c r="YC37" s="18"/>
      <c r="YD37" s="18"/>
      <c r="YE37" s="18"/>
      <c r="YF37" s="18"/>
      <c r="YG37" s="18"/>
      <c r="YH37" s="18"/>
      <c r="YI37" s="18"/>
      <c r="YJ37" s="18"/>
      <c r="YK37" s="18"/>
      <c r="YL37" s="18"/>
      <c r="YM37" s="18"/>
      <c r="YN37" s="18"/>
      <c r="YO37" s="18"/>
      <c r="YP37" s="18"/>
      <c r="YQ37" s="18"/>
      <c r="YR37" s="18"/>
      <c r="YS37" s="18"/>
      <c r="YT37" s="18"/>
      <c r="YU37" s="18"/>
      <c r="YV37" s="18"/>
      <c r="YW37" s="18"/>
      <c r="YX37" s="18"/>
      <c r="YY37" s="18"/>
      <c r="YZ37" s="18"/>
      <c r="ZA37" s="18"/>
      <c r="ZB37" s="18"/>
      <c r="ZC37" s="18"/>
      <c r="ZD37" s="18"/>
      <c r="ZE37" s="18"/>
      <c r="ZF37" s="18"/>
      <c r="ZG37" s="18"/>
      <c r="ZH37" s="18"/>
      <c r="ZI37" s="18"/>
      <c r="ZJ37" s="18"/>
      <c r="ZK37" s="18"/>
      <c r="ZL37" s="18"/>
      <c r="ZM37" s="18"/>
      <c r="ZN37" s="18"/>
      <c r="ZO37" s="18"/>
      <c r="ZP37" s="18"/>
      <c r="ZQ37" s="18"/>
      <c r="ZR37" s="18"/>
      <c r="ZS37" s="18"/>
      <c r="ZT37" s="18"/>
      <c r="ZU37" s="18"/>
      <c r="ZV37" s="18"/>
      <c r="ZW37" s="18"/>
      <c r="ZX37" s="18"/>
      <c r="ZY37" s="18"/>
      <c r="ZZ37" s="18"/>
      <c r="AAA37" s="18"/>
      <c r="AAB37" s="18"/>
      <c r="AAC37" s="18"/>
      <c r="AAD37" s="18"/>
      <c r="AAE37" s="18"/>
      <c r="AAF37" s="18"/>
      <c r="AAG37" s="18"/>
      <c r="AAH37" s="18"/>
      <c r="AAI37" s="18"/>
      <c r="AAJ37" s="18"/>
      <c r="AAK37" s="18"/>
      <c r="AAL37" s="18"/>
      <c r="AAM37" s="18"/>
      <c r="AAN37" s="18"/>
      <c r="AAO37" s="18"/>
      <c r="AAP37" s="18"/>
      <c r="AAQ37" s="18"/>
      <c r="AAR37" s="18"/>
      <c r="AAS37" s="18"/>
      <c r="AAT37" s="18"/>
      <c r="AAU37" s="18"/>
      <c r="AAV37" s="18"/>
      <c r="AAW37" s="18"/>
      <c r="AAX37" s="18"/>
      <c r="AAY37" s="18"/>
      <c r="AAZ37" s="18"/>
      <c r="ABA37" s="18"/>
      <c r="ABB37" s="18"/>
      <c r="ABC37" s="18"/>
      <c r="ABD37" s="18"/>
      <c r="ABE37" s="18"/>
      <c r="ABF37" s="18"/>
      <c r="ABG37" s="18"/>
      <c r="ABH37" s="18"/>
      <c r="ABI37" s="18"/>
      <c r="ABJ37" s="18"/>
      <c r="ABK37" s="18"/>
      <c r="ABL37" s="18"/>
      <c r="ABM37" s="18"/>
      <c r="ABN37" s="18"/>
      <c r="ABO37" s="18"/>
      <c r="ABP37" s="18"/>
      <c r="ABQ37" s="18"/>
      <c r="ABR37" s="18"/>
      <c r="ABS37" s="18"/>
      <c r="ABT37" s="18"/>
      <c r="ABU37" s="18"/>
      <c r="ABV37" s="18"/>
      <c r="ABW37" s="18"/>
      <c r="ABX37" s="18"/>
      <c r="ABY37" s="18"/>
      <c r="ABZ37" s="18"/>
      <c r="ACA37" s="18"/>
      <c r="ACB37" s="18"/>
      <c r="ACC37" s="18"/>
      <c r="ACD37" s="18"/>
      <c r="ACE37" s="18"/>
      <c r="ACF37" s="18"/>
      <c r="ACG37" s="18"/>
      <c r="ACH37" s="18"/>
      <c r="ACI37" s="18"/>
      <c r="ACJ37" s="18"/>
      <c r="ACK37" s="18"/>
      <c r="ACL37" s="18"/>
      <c r="ACM37" s="18"/>
      <c r="ACN37" s="18"/>
      <c r="ACO37" s="18"/>
      <c r="ACP37" s="18"/>
      <c r="ACQ37" s="18"/>
      <c r="ACR37" s="18"/>
      <c r="ACS37" s="18"/>
      <c r="ACT37" s="18"/>
      <c r="ACU37" s="18"/>
      <c r="ACV37" s="18"/>
      <c r="ACW37" s="18"/>
      <c r="ACX37" s="18"/>
      <c r="ACY37" s="18"/>
      <c r="ACZ37" s="18"/>
      <c r="ADA37" s="18"/>
      <c r="ADB37" s="18"/>
      <c r="ADC37" s="18"/>
      <c r="ADD37" s="18"/>
      <c r="ADE37" s="18"/>
      <c r="ADF37" s="18"/>
      <c r="ADG37" s="18"/>
      <c r="ADH37" s="18"/>
      <c r="ADI37" s="18"/>
      <c r="ADJ37" s="18"/>
      <c r="ADK37" s="18"/>
      <c r="ADL37" s="18"/>
      <c r="ADM37" s="18"/>
      <c r="ADN37" s="18"/>
      <c r="ADO37" s="18"/>
      <c r="ADP37" s="18"/>
      <c r="ADQ37" s="18"/>
      <c r="ADR37" s="18"/>
      <c r="ADS37" s="18"/>
      <c r="ADT37" s="18"/>
      <c r="ADU37" s="18"/>
      <c r="ADV37" s="18"/>
      <c r="ADW37" s="18"/>
      <c r="ADX37" s="18"/>
      <c r="ADY37" s="18"/>
      <c r="ADZ37" s="18"/>
      <c r="AEA37" s="18"/>
      <c r="AEB37" s="18"/>
      <c r="AEC37" s="18"/>
      <c r="AED37" s="18"/>
      <c r="AEE37" s="18"/>
      <c r="AEF37" s="18"/>
      <c r="AEG37" s="18"/>
      <c r="AEH37" s="18"/>
      <c r="AEI37" s="18"/>
      <c r="AEJ37" s="18"/>
      <c r="AEK37" s="18"/>
      <c r="AEL37" s="18"/>
      <c r="AEM37" s="18"/>
      <c r="AEN37" s="18"/>
      <c r="AEO37" s="18"/>
      <c r="AEP37" s="18"/>
      <c r="AEQ37" s="18"/>
      <c r="AER37" s="18"/>
      <c r="AES37" s="18"/>
      <c r="AET37" s="18"/>
      <c r="AEU37" s="18"/>
      <c r="AEV37" s="18"/>
      <c r="AEW37" s="18"/>
      <c r="AEX37" s="18"/>
      <c r="AEY37" s="18"/>
      <c r="AEZ37" s="18"/>
      <c r="AFA37" s="18"/>
      <c r="AFB37" s="18"/>
      <c r="AFC37" s="18"/>
      <c r="AFD37" s="18"/>
      <c r="AFE37" s="18"/>
      <c r="AFF37" s="18"/>
      <c r="AFG37" s="18"/>
      <c r="AFH37" s="18"/>
      <c r="AFI37" s="18"/>
      <c r="AFJ37" s="18"/>
      <c r="AFK37" s="18"/>
      <c r="AFL37" s="18"/>
      <c r="AFM37" s="18"/>
      <c r="AFN37" s="18"/>
      <c r="AFO37" s="18"/>
      <c r="AFP37" s="18"/>
      <c r="AFQ37" s="18"/>
      <c r="AFR37" s="18"/>
      <c r="AFS37" s="18"/>
      <c r="AFT37" s="18"/>
      <c r="AFU37" s="18"/>
      <c r="AFV37" s="18"/>
      <c r="AFW37" s="18"/>
      <c r="AFX37" s="18"/>
      <c r="AFY37" s="18"/>
      <c r="AFZ37" s="18"/>
      <c r="AGA37" s="18"/>
      <c r="AGB37" s="18"/>
      <c r="AGC37" s="18"/>
      <c r="AGD37" s="18"/>
      <c r="AGE37" s="18"/>
      <c r="AGF37" s="18"/>
      <c r="AGG37" s="18"/>
      <c r="AGH37" s="18"/>
      <c r="AGI37" s="18"/>
      <c r="AGJ37" s="18"/>
      <c r="AGK37" s="18"/>
      <c r="AGL37" s="18"/>
      <c r="AGM37" s="18"/>
      <c r="AGN37" s="18"/>
      <c r="AGO37" s="18"/>
      <c r="AGP37" s="18"/>
      <c r="AGQ37" s="18"/>
      <c r="AGR37" s="18"/>
      <c r="AGS37" s="18"/>
      <c r="AGT37" s="18"/>
      <c r="AGU37" s="18"/>
      <c r="AGV37" s="18"/>
      <c r="AGW37" s="18"/>
      <c r="AGX37" s="18"/>
      <c r="AGY37" s="18"/>
      <c r="AGZ37" s="18"/>
      <c r="AHA37" s="18"/>
      <c r="AHB37" s="18"/>
      <c r="AHC37" s="18"/>
      <c r="AHD37" s="18"/>
      <c r="AHE37" s="18"/>
      <c r="AHF37" s="18"/>
      <c r="AHG37" s="18"/>
      <c r="AHH37" s="18"/>
      <c r="AHI37" s="18"/>
      <c r="AHJ37" s="18"/>
      <c r="AHK37" s="18"/>
      <c r="AHL37" s="18"/>
      <c r="AHM37" s="18"/>
      <c r="AHN37" s="18"/>
      <c r="AHO37" s="18"/>
      <c r="AHP37" s="18"/>
      <c r="AHQ37" s="18"/>
      <c r="AHR37" s="18"/>
      <c r="AHS37" s="18"/>
      <c r="AHT37" s="18"/>
      <c r="AHU37" s="18"/>
      <c r="AHV37" s="18"/>
      <c r="AHW37" s="18"/>
      <c r="AHX37" s="18"/>
      <c r="AHY37" s="18"/>
      <c r="AHZ37" s="18"/>
      <c r="AIA37" s="18"/>
      <c r="AIB37" s="18"/>
      <c r="AIC37" s="18"/>
      <c r="AID37" s="18"/>
      <c r="AIE37" s="18"/>
      <c r="AIF37" s="18"/>
      <c r="AIG37" s="18"/>
      <c r="AIH37" s="18"/>
      <c r="AII37" s="18"/>
      <c r="AIJ37" s="18"/>
      <c r="AIK37" s="18"/>
      <c r="AIL37" s="18"/>
      <c r="AIM37" s="18"/>
      <c r="AIN37" s="18"/>
      <c r="AIO37" s="18"/>
      <c r="AIP37" s="18"/>
      <c r="AIQ37" s="18"/>
      <c r="AIR37" s="18"/>
      <c r="AIS37" s="18"/>
      <c r="AIT37" s="18"/>
      <c r="AIU37" s="18"/>
      <c r="AIV37" s="18"/>
      <c r="AIW37" s="18"/>
      <c r="AIX37" s="18"/>
      <c r="AIY37" s="18"/>
      <c r="AIZ37" s="18"/>
      <c r="AJA37" s="18"/>
      <c r="AJB37" s="18"/>
      <c r="AJC37" s="18"/>
      <c r="AJD37" s="18"/>
      <c r="AJE37" s="18"/>
      <c r="AJF37" s="18"/>
      <c r="AJG37" s="18"/>
      <c r="AJH37" s="18"/>
      <c r="AJI37" s="18"/>
      <c r="AJJ37" s="18"/>
      <c r="AJK37" s="18"/>
      <c r="AJL37" s="18"/>
      <c r="AJM37" s="18"/>
      <c r="AJN37" s="18"/>
      <c r="AJO37" s="18"/>
      <c r="AJP37" s="18"/>
      <c r="AJQ37" s="18"/>
      <c r="AJR37" s="18"/>
      <c r="AJS37" s="18"/>
      <c r="AJT37" s="18"/>
      <c r="AJU37" s="18"/>
      <c r="AJV37" s="18"/>
      <c r="AJW37" s="18"/>
      <c r="AJX37" s="18"/>
      <c r="AJY37" s="18"/>
      <c r="AJZ37" s="18"/>
      <c r="AKA37" s="18"/>
      <c r="AKB37" s="18"/>
      <c r="AKC37" s="18"/>
      <c r="AKD37" s="18"/>
      <c r="AKE37" s="18"/>
      <c r="AKF37" s="18"/>
      <c r="AKG37" s="18"/>
      <c r="AKH37" s="18"/>
      <c r="AKI37" s="18"/>
      <c r="AKJ37" s="18"/>
      <c r="AKK37" s="18"/>
      <c r="AKL37" s="18"/>
      <c r="AKM37" s="18"/>
      <c r="AKN37" s="18"/>
      <c r="AKO37" s="18"/>
      <c r="AKP37" s="18"/>
      <c r="AKQ37" s="18"/>
      <c r="AKR37" s="18"/>
      <c r="AKS37" s="18"/>
      <c r="AKT37" s="18"/>
      <c r="AKU37" s="18"/>
      <c r="AKV37" s="18"/>
      <c r="AKW37" s="18"/>
      <c r="AKX37" s="18"/>
      <c r="AKY37" s="18"/>
      <c r="AKZ37" s="18"/>
      <c r="ALA37" s="18"/>
      <c r="ALB37" s="18"/>
      <c r="ALC37" s="18"/>
      <c r="ALD37" s="18"/>
      <c r="ALE37" s="18"/>
      <c r="ALF37" s="18"/>
      <c r="ALG37" s="18"/>
      <c r="ALH37" s="18"/>
      <c r="ALI37" s="18"/>
      <c r="ALJ37" s="18"/>
      <c r="ALK37" s="18"/>
      <c r="ALL37" s="18"/>
      <c r="ALM37" s="18"/>
      <c r="ALN37" s="18"/>
      <c r="ALO37" s="18"/>
      <c r="ALP37" s="18"/>
      <c r="ALQ37" s="18"/>
      <c r="ALR37" s="18"/>
      <c r="ALS37" s="18"/>
      <c r="ALT37" s="18"/>
      <c r="ALU37" s="18"/>
      <c r="ALV37" s="18"/>
      <c r="ALW37" s="18"/>
      <c r="ALX37" s="18"/>
      <c r="ALY37" s="18"/>
      <c r="ALZ37" s="18"/>
      <c r="AMA37" s="18"/>
      <c r="AMB37" s="18"/>
      <c r="AMC37" s="18"/>
      <c r="AMD37" s="18"/>
      <c r="AME37" s="18"/>
      <c r="AMF37" s="18"/>
      <c r="AMG37" s="18"/>
      <c r="AMH37" s="18"/>
    </row>
    <row r="38" spans="1:1022" s="23" customFormat="1" x14ac:dyDescent="0.3">
      <c r="A38" s="33">
        <v>134</v>
      </c>
      <c r="B38" s="19"/>
      <c r="C38" s="19"/>
      <c r="D38" s="58" t="s">
        <v>309</v>
      </c>
      <c r="E38" s="34" t="s">
        <v>460</v>
      </c>
      <c r="F38" s="39"/>
      <c r="G38" s="39"/>
      <c r="H38" s="38" t="s">
        <v>281</v>
      </c>
      <c r="I38" s="40"/>
      <c r="J38" s="40"/>
      <c r="K38" s="31"/>
      <c r="L38" s="40"/>
      <c r="M38" s="41"/>
      <c r="N38" s="32"/>
      <c r="O38" s="18"/>
      <c r="P38" s="36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18"/>
      <c r="IB38" s="18"/>
      <c r="IC38" s="18"/>
      <c r="ID38" s="18"/>
      <c r="IE38" s="18"/>
      <c r="IF38" s="18"/>
      <c r="IG38" s="18"/>
      <c r="IH38" s="18"/>
      <c r="II38" s="18"/>
      <c r="IJ38" s="18"/>
      <c r="IK38" s="18"/>
      <c r="IL38" s="18"/>
      <c r="IM38" s="18"/>
      <c r="IN38" s="18"/>
      <c r="IO38" s="18"/>
      <c r="IP38" s="18"/>
      <c r="IQ38" s="18"/>
      <c r="IR38" s="18"/>
      <c r="IS38" s="18"/>
      <c r="IT38" s="18"/>
      <c r="IU38" s="18"/>
      <c r="IV38" s="18"/>
      <c r="IW38" s="18"/>
      <c r="IX38" s="18"/>
      <c r="IY38" s="18"/>
      <c r="IZ38" s="18"/>
      <c r="JA38" s="18"/>
      <c r="JB38" s="18"/>
      <c r="JC38" s="18"/>
      <c r="JD38" s="18"/>
      <c r="JE38" s="18"/>
      <c r="JF38" s="18"/>
      <c r="JG38" s="18"/>
      <c r="JH38" s="18"/>
      <c r="JI38" s="18"/>
      <c r="JJ38" s="18"/>
      <c r="JK38" s="18"/>
      <c r="JL38" s="18"/>
      <c r="JM38" s="18"/>
      <c r="JN38" s="18"/>
      <c r="JO38" s="18"/>
      <c r="JP38" s="18"/>
      <c r="JQ38" s="18"/>
      <c r="JR38" s="18"/>
      <c r="JS38" s="18"/>
      <c r="JT38" s="18"/>
      <c r="JU38" s="18"/>
      <c r="JV38" s="18"/>
      <c r="JW38" s="18"/>
      <c r="JX38" s="18"/>
      <c r="JY38" s="18"/>
      <c r="JZ38" s="18"/>
      <c r="KA38" s="18"/>
      <c r="KB38" s="18"/>
      <c r="KC38" s="18"/>
      <c r="KD38" s="18"/>
      <c r="KE38" s="18"/>
      <c r="KF38" s="18"/>
      <c r="KG38" s="18"/>
      <c r="KH38" s="18"/>
      <c r="KI38" s="18"/>
      <c r="KJ38" s="18"/>
      <c r="KK38" s="18"/>
      <c r="KL38" s="18"/>
      <c r="KM38" s="18"/>
      <c r="KN38" s="18"/>
      <c r="KO38" s="18"/>
      <c r="KP38" s="18"/>
      <c r="KQ38" s="18"/>
      <c r="KR38" s="18"/>
      <c r="KS38" s="18"/>
      <c r="KT38" s="18"/>
      <c r="KU38" s="18"/>
      <c r="KV38" s="18"/>
      <c r="KW38" s="18"/>
      <c r="KX38" s="18"/>
      <c r="KY38" s="18"/>
      <c r="KZ38" s="18"/>
      <c r="LA38" s="18"/>
      <c r="LB38" s="18"/>
      <c r="LC38" s="18"/>
      <c r="LD38" s="18"/>
      <c r="LE38" s="18"/>
      <c r="LF38" s="18"/>
      <c r="LG38" s="18"/>
      <c r="LH38" s="18"/>
      <c r="LI38" s="18"/>
      <c r="LJ38" s="18"/>
      <c r="LK38" s="18"/>
      <c r="LL38" s="18"/>
      <c r="LM38" s="18"/>
      <c r="LN38" s="18"/>
      <c r="LO38" s="18"/>
      <c r="LP38" s="18"/>
      <c r="LQ38" s="18"/>
      <c r="LR38" s="18"/>
      <c r="LS38" s="18"/>
      <c r="LT38" s="18"/>
      <c r="LU38" s="18"/>
      <c r="LV38" s="18"/>
      <c r="LW38" s="18"/>
      <c r="LX38" s="18"/>
      <c r="LY38" s="18"/>
      <c r="LZ38" s="18"/>
      <c r="MA38" s="18"/>
      <c r="MB38" s="18"/>
      <c r="MC38" s="18"/>
      <c r="MD38" s="18"/>
      <c r="ME38" s="18"/>
      <c r="MF38" s="18"/>
      <c r="MG38" s="18"/>
      <c r="MH38" s="18"/>
      <c r="MI38" s="18"/>
      <c r="MJ38" s="18"/>
      <c r="MK38" s="18"/>
      <c r="ML38" s="18"/>
      <c r="MM38" s="18"/>
      <c r="MN38" s="18"/>
      <c r="MO38" s="18"/>
      <c r="MP38" s="18"/>
      <c r="MQ38" s="18"/>
      <c r="MR38" s="18"/>
      <c r="MS38" s="18"/>
      <c r="MT38" s="18"/>
      <c r="MU38" s="18"/>
      <c r="MV38" s="18"/>
      <c r="MW38" s="18"/>
      <c r="MX38" s="18"/>
      <c r="MY38" s="18"/>
      <c r="MZ38" s="18"/>
      <c r="NA38" s="18"/>
      <c r="NB38" s="18"/>
      <c r="NC38" s="18"/>
      <c r="ND38" s="18"/>
      <c r="NE38" s="18"/>
      <c r="NF38" s="18"/>
      <c r="NG38" s="18"/>
      <c r="NH38" s="18"/>
      <c r="NI38" s="18"/>
      <c r="NJ38" s="18"/>
      <c r="NK38" s="18"/>
      <c r="NL38" s="18"/>
      <c r="NM38" s="18"/>
      <c r="NN38" s="18"/>
      <c r="NO38" s="18"/>
      <c r="NP38" s="18"/>
      <c r="NQ38" s="18"/>
      <c r="NR38" s="18"/>
      <c r="NS38" s="18"/>
      <c r="NT38" s="18"/>
      <c r="NU38" s="18"/>
      <c r="NV38" s="18"/>
      <c r="NW38" s="18"/>
      <c r="NX38" s="18"/>
      <c r="NY38" s="18"/>
      <c r="NZ38" s="18"/>
      <c r="OA38" s="18"/>
      <c r="OB38" s="18"/>
      <c r="OC38" s="18"/>
      <c r="OD38" s="18"/>
      <c r="OE38" s="18"/>
      <c r="OF38" s="18"/>
      <c r="OG38" s="18"/>
      <c r="OH38" s="18"/>
      <c r="OI38" s="18"/>
      <c r="OJ38" s="18"/>
      <c r="OK38" s="18"/>
      <c r="OL38" s="18"/>
      <c r="OM38" s="18"/>
      <c r="ON38" s="18"/>
      <c r="OO38" s="18"/>
      <c r="OP38" s="18"/>
      <c r="OQ38" s="18"/>
      <c r="OR38" s="18"/>
      <c r="OS38" s="18"/>
      <c r="OT38" s="18"/>
      <c r="OU38" s="18"/>
      <c r="OV38" s="18"/>
      <c r="OW38" s="18"/>
      <c r="OX38" s="18"/>
      <c r="OY38" s="18"/>
      <c r="OZ38" s="18"/>
      <c r="PA38" s="18"/>
      <c r="PB38" s="18"/>
      <c r="PC38" s="18"/>
      <c r="PD38" s="18"/>
      <c r="PE38" s="18"/>
      <c r="PF38" s="18"/>
      <c r="PG38" s="18"/>
      <c r="PH38" s="18"/>
      <c r="PI38" s="18"/>
      <c r="PJ38" s="18"/>
      <c r="PK38" s="18"/>
      <c r="PL38" s="18"/>
      <c r="PM38" s="18"/>
      <c r="PN38" s="18"/>
      <c r="PO38" s="18"/>
      <c r="PP38" s="18"/>
      <c r="PQ38" s="18"/>
      <c r="PR38" s="18"/>
      <c r="PS38" s="18"/>
      <c r="PT38" s="18"/>
      <c r="PU38" s="18"/>
      <c r="PV38" s="18"/>
      <c r="PW38" s="18"/>
      <c r="PX38" s="18"/>
      <c r="PY38" s="18"/>
      <c r="PZ38" s="18"/>
      <c r="QA38" s="18"/>
      <c r="QB38" s="18"/>
      <c r="QC38" s="18"/>
      <c r="QD38" s="18"/>
      <c r="QE38" s="18"/>
      <c r="QF38" s="18"/>
      <c r="QG38" s="18"/>
      <c r="QH38" s="18"/>
      <c r="QI38" s="18"/>
      <c r="QJ38" s="18"/>
      <c r="QK38" s="18"/>
      <c r="QL38" s="18"/>
      <c r="QM38" s="18"/>
      <c r="QN38" s="18"/>
      <c r="QO38" s="18"/>
      <c r="QP38" s="18"/>
      <c r="QQ38" s="18"/>
      <c r="QR38" s="18"/>
      <c r="QS38" s="18"/>
      <c r="QT38" s="18"/>
      <c r="QU38" s="18"/>
      <c r="QV38" s="18"/>
      <c r="QW38" s="18"/>
      <c r="QX38" s="18"/>
      <c r="QY38" s="18"/>
      <c r="QZ38" s="18"/>
      <c r="RA38" s="18"/>
      <c r="RB38" s="18"/>
      <c r="RC38" s="18"/>
      <c r="RD38" s="18"/>
      <c r="RE38" s="18"/>
      <c r="RF38" s="18"/>
      <c r="RG38" s="18"/>
      <c r="RH38" s="18"/>
      <c r="RI38" s="18"/>
      <c r="RJ38" s="18"/>
      <c r="RK38" s="18"/>
      <c r="RL38" s="18"/>
      <c r="RM38" s="18"/>
      <c r="RN38" s="18"/>
      <c r="RO38" s="18"/>
      <c r="RP38" s="18"/>
      <c r="RQ38" s="18"/>
      <c r="RR38" s="18"/>
      <c r="RS38" s="18"/>
      <c r="RT38" s="18"/>
      <c r="RU38" s="18"/>
      <c r="RV38" s="18"/>
      <c r="RW38" s="18"/>
      <c r="RX38" s="18"/>
      <c r="RY38" s="18"/>
      <c r="RZ38" s="18"/>
      <c r="SA38" s="18"/>
      <c r="SB38" s="18"/>
      <c r="SC38" s="18"/>
      <c r="SD38" s="18"/>
      <c r="SE38" s="18"/>
      <c r="SF38" s="18"/>
      <c r="SG38" s="18"/>
      <c r="SH38" s="18"/>
      <c r="SI38" s="18"/>
      <c r="SJ38" s="18"/>
      <c r="SK38" s="18"/>
      <c r="SL38" s="18"/>
      <c r="SM38" s="18"/>
      <c r="SN38" s="18"/>
      <c r="SO38" s="18"/>
      <c r="SP38" s="18"/>
      <c r="SQ38" s="18"/>
      <c r="SR38" s="18"/>
      <c r="SS38" s="18"/>
      <c r="ST38" s="18"/>
      <c r="SU38" s="18"/>
      <c r="SV38" s="18"/>
      <c r="SW38" s="18"/>
      <c r="SX38" s="18"/>
      <c r="SY38" s="18"/>
      <c r="SZ38" s="18"/>
      <c r="TA38" s="18"/>
      <c r="TB38" s="18"/>
      <c r="TC38" s="18"/>
      <c r="TD38" s="18"/>
      <c r="TE38" s="18"/>
      <c r="TF38" s="18"/>
      <c r="TG38" s="18"/>
      <c r="TH38" s="18"/>
      <c r="TI38" s="18"/>
      <c r="TJ38" s="18"/>
      <c r="TK38" s="18"/>
      <c r="TL38" s="18"/>
      <c r="TM38" s="18"/>
      <c r="TN38" s="18"/>
      <c r="TO38" s="18"/>
      <c r="TP38" s="18"/>
      <c r="TQ38" s="18"/>
      <c r="TR38" s="18"/>
      <c r="TS38" s="18"/>
      <c r="TT38" s="18"/>
      <c r="TU38" s="18"/>
      <c r="TV38" s="18"/>
      <c r="TW38" s="18"/>
      <c r="TX38" s="18"/>
      <c r="TY38" s="18"/>
      <c r="TZ38" s="18"/>
      <c r="UA38" s="18"/>
      <c r="UB38" s="18"/>
      <c r="UC38" s="18"/>
      <c r="UD38" s="18"/>
      <c r="UE38" s="18"/>
      <c r="UF38" s="18"/>
      <c r="UG38" s="18"/>
      <c r="UH38" s="18"/>
      <c r="UI38" s="18"/>
      <c r="UJ38" s="18"/>
      <c r="UK38" s="18"/>
      <c r="UL38" s="18"/>
      <c r="UM38" s="18"/>
      <c r="UN38" s="18"/>
      <c r="UO38" s="18"/>
      <c r="UP38" s="18"/>
      <c r="UQ38" s="18"/>
      <c r="UR38" s="18"/>
      <c r="US38" s="18"/>
      <c r="UT38" s="18"/>
      <c r="UU38" s="18"/>
      <c r="UV38" s="18"/>
      <c r="UW38" s="18"/>
      <c r="UX38" s="18"/>
      <c r="UY38" s="18"/>
      <c r="UZ38" s="18"/>
      <c r="VA38" s="18"/>
      <c r="VB38" s="18"/>
      <c r="VC38" s="18"/>
      <c r="VD38" s="18"/>
      <c r="VE38" s="18"/>
      <c r="VF38" s="18"/>
      <c r="VG38" s="18"/>
      <c r="VH38" s="18"/>
      <c r="VI38" s="18"/>
      <c r="VJ38" s="18"/>
      <c r="VK38" s="18"/>
      <c r="VL38" s="18"/>
      <c r="VM38" s="18"/>
      <c r="VN38" s="18"/>
      <c r="VO38" s="18"/>
      <c r="VP38" s="18"/>
      <c r="VQ38" s="18"/>
      <c r="VR38" s="18"/>
      <c r="VS38" s="18"/>
      <c r="VT38" s="18"/>
      <c r="VU38" s="18"/>
      <c r="VV38" s="18"/>
      <c r="VW38" s="18"/>
      <c r="VX38" s="18"/>
      <c r="VY38" s="18"/>
      <c r="VZ38" s="18"/>
      <c r="WA38" s="18"/>
      <c r="WB38" s="18"/>
      <c r="WC38" s="18"/>
      <c r="WD38" s="18"/>
      <c r="WE38" s="18"/>
      <c r="WF38" s="18"/>
      <c r="WG38" s="18"/>
      <c r="WH38" s="18"/>
      <c r="WI38" s="18"/>
      <c r="WJ38" s="18"/>
      <c r="WK38" s="18"/>
      <c r="WL38" s="18"/>
      <c r="WM38" s="18"/>
      <c r="WN38" s="18"/>
      <c r="WO38" s="18"/>
      <c r="WP38" s="18"/>
      <c r="WQ38" s="18"/>
      <c r="WR38" s="18"/>
      <c r="WS38" s="18"/>
      <c r="WT38" s="18"/>
      <c r="WU38" s="18"/>
      <c r="WV38" s="18"/>
      <c r="WW38" s="18"/>
      <c r="WX38" s="18"/>
      <c r="WY38" s="18"/>
      <c r="WZ38" s="18"/>
      <c r="XA38" s="18"/>
      <c r="XB38" s="18"/>
      <c r="XC38" s="18"/>
      <c r="XD38" s="18"/>
      <c r="XE38" s="18"/>
      <c r="XF38" s="18"/>
      <c r="XG38" s="18"/>
      <c r="XH38" s="18"/>
      <c r="XI38" s="18"/>
      <c r="XJ38" s="18"/>
      <c r="XK38" s="18"/>
      <c r="XL38" s="18"/>
      <c r="XM38" s="18"/>
      <c r="XN38" s="18"/>
      <c r="XO38" s="18"/>
      <c r="XP38" s="18"/>
      <c r="XQ38" s="18"/>
      <c r="XR38" s="18"/>
      <c r="XS38" s="18"/>
      <c r="XT38" s="18"/>
      <c r="XU38" s="18"/>
      <c r="XV38" s="18"/>
      <c r="XW38" s="18"/>
      <c r="XX38" s="18"/>
      <c r="XY38" s="18"/>
      <c r="XZ38" s="18"/>
      <c r="YA38" s="18"/>
      <c r="YB38" s="18"/>
      <c r="YC38" s="18"/>
      <c r="YD38" s="18"/>
      <c r="YE38" s="18"/>
      <c r="YF38" s="18"/>
      <c r="YG38" s="18"/>
      <c r="YH38" s="18"/>
      <c r="YI38" s="18"/>
      <c r="YJ38" s="18"/>
      <c r="YK38" s="18"/>
      <c r="YL38" s="18"/>
      <c r="YM38" s="18"/>
      <c r="YN38" s="18"/>
      <c r="YO38" s="18"/>
      <c r="YP38" s="18"/>
      <c r="YQ38" s="18"/>
      <c r="YR38" s="18"/>
      <c r="YS38" s="18"/>
      <c r="YT38" s="18"/>
      <c r="YU38" s="18"/>
      <c r="YV38" s="18"/>
      <c r="YW38" s="18"/>
      <c r="YX38" s="18"/>
      <c r="YY38" s="18"/>
      <c r="YZ38" s="18"/>
      <c r="ZA38" s="18"/>
      <c r="ZB38" s="18"/>
      <c r="ZC38" s="18"/>
      <c r="ZD38" s="18"/>
      <c r="ZE38" s="18"/>
      <c r="ZF38" s="18"/>
      <c r="ZG38" s="18"/>
      <c r="ZH38" s="18"/>
      <c r="ZI38" s="18"/>
      <c r="ZJ38" s="18"/>
      <c r="ZK38" s="18"/>
      <c r="ZL38" s="18"/>
      <c r="ZM38" s="18"/>
      <c r="ZN38" s="18"/>
      <c r="ZO38" s="18"/>
      <c r="ZP38" s="18"/>
      <c r="ZQ38" s="18"/>
      <c r="ZR38" s="18"/>
      <c r="ZS38" s="18"/>
      <c r="ZT38" s="18"/>
      <c r="ZU38" s="18"/>
      <c r="ZV38" s="18"/>
      <c r="ZW38" s="18"/>
      <c r="ZX38" s="18"/>
      <c r="ZY38" s="18"/>
      <c r="ZZ38" s="18"/>
      <c r="AAA38" s="18"/>
      <c r="AAB38" s="18"/>
      <c r="AAC38" s="18"/>
      <c r="AAD38" s="18"/>
      <c r="AAE38" s="18"/>
      <c r="AAF38" s="18"/>
      <c r="AAG38" s="18"/>
      <c r="AAH38" s="18"/>
      <c r="AAI38" s="18"/>
      <c r="AAJ38" s="18"/>
      <c r="AAK38" s="18"/>
      <c r="AAL38" s="18"/>
      <c r="AAM38" s="18"/>
      <c r="AAN38" s="18"/>
      <c r="AAO38" s="18"/>
      <c r="AAP38" s="18"/>
      <c r="AAQ38" s="18"/>
      <c r="AAR38" s="18"/>
      <c r="AAS38" s="18"/>
      <c r="AAT38" s="18"/>
      <c r="AAU38" s="18"/>
      <c r="AAV38" s="18"/>
      <c r="AAW38" s="18"/>
      <c r="AAX38" s="18"/>
      <c r="AAY38" s="18"/>
      <c r="AAZ38" s="18"/>
      <c r="ABA38" s="18"/>
      <c r="ABB38" s="18"/>
      <c r="ABC38" s="18"/>
      <c r="ABD38" s="18"/>
      <c r="ABE38" s="18"/>
      <c r="ABF38" s="18"/>
      <c r="ABG38" s="18"/>
      <c r="ABH38" s="18"/>
      <c r="ABI38" s="18"/>
      <c r="ABJ38" s="18"/>
      <c r="ABK38" s="18"/>
      <c r="ABL38" s="18"/>
      <c r="ABM38" s="18"/>
      <c r="ABN38" s="18"/>
      <c r="ABO38" s="18"/>
      <c r="ABP38" s="18"/>
      <c r="ABQ38" s="18"/>
      <c r="ABR38" s="18"/>
      <c r="ABS38" s="18"/>
      <c r="ABT38" s="18"/>
      <c r="ABU38" s="18"/>
      <c r="ABV38" s="18"/>
      <c r="ABW38" s="18"/>
      <c r="ABX38" s="18"/>
      <c r="ABY38" s="18"/>
      <c r="ABZ38" s="18"/>
      <c r="ACA38" s="18"/>
      <c r="ACB38" s="18"/>
      <c r="ACC38" s="18"/>
      <c r="ACD38" s="18"/>
      <c r="ACE38" s="18"/>
      <c r="ACF38" s="18"/>
      <c r="ACG38" s="18"/>
      <c r="ACH38" s="18"/>
      <c r="ACI38" s="18"/>
      <c r="ACJ38" s="18"/>
      <c r="ACK38" s="18"/>
      <c r="ACL38" s="18"/>
      <c r="ACM38" s="18"/>
      <c r="ACN38" s="18"/>
      <c r="ACO38" s="18"/>
      <c r="ACP38" s="18"/>
      <c r="ACQ38" s="18"/>
      <c r="ACR38" s="18"/>
      <c r="ACS38" s="18"/>
      <c r="ACT38" s="18"/>
      <c r="ACU38" s="18"/>
      <c r="ACV38" s="18"/>
      <c r="ACW38" s="18"/>
      <c r="ACX38" s="18"/>
      <c r="ACY38" s="18"/>
      <c r="ACZ38" s="18"/>
      <c r="ADA38" s="18"/>
      <c r="ADB38" s="18"/>
      <c r="ADC38" s="18"/>
      <c r="ADD38" s="18"/>
      <c r="ADE38" s="18"/>
      <c r="ADF38" s="18"/>
      <c r="ADG38" s="18"/>
      <c r="ADH38" s="18"/>
      <c r="ADI38" s="18"/>
      <c r="ADJ38" s="18"/>
      <c r="ADK38" s="18"/>
      <c r="ADL38" s="18"/>
      <c r="ADM38" s="18"/>
      <c r="ADN38" s="18"/>
      <c r="ADO38" s="18"/>
      <c r="ADP38" s="18"/>
      <c r="ADQ38" s="18"/>
      <c r="ADR38" s="18"/>
      <c r="ADS38" s="18"/>
      <c r="ADT38" s="18"/>
      <c r="ADU38" s="18"/>
      <c r="ADV38" s="18"/>
      <c r="ADW38" s="18"/>
      <c r="ADX38" s="18"/>
      <c r="ADY38" s="18"/>
      <c r="ADZ38" s="18"/>
      <c r="AEA38" s="18"/>
      <c r="AEB38" s="18"/>
      <c r="AEC38" s="18"/>
      <c r="AED38" s="18"/>
      <c r="AEE38" s="18"/>
      <c r="AEF38" s="18"/>
      <c r="AEG38" s="18"/>
      <c r="AEH38" s="18"/>
      <c r="AEI38" s="18"/>
      <c r="AEJ38" s="18"/>
      <c r="AEK38" s="18"/>
      <c r="AEL38" s="18"/>
      <c r="AEM38" s="18"/>
      <c r="AEN38" s="18"/>
      <c r="AEO38" s="18"/>
      <c r="AEP38" s="18"/>
      <c r="AEQ38" s="18"/>
      <c r="AER38" s="18"/>
      <c r="AES38" s="18"/>
      <c r="AET38" s="18"/>
      <c r="AEU38" s="18"/>
      <c r="AEV38" s="18"/>
      <c r="AEW38" s="18"/>
      <c r="AEX38" s="18"/>
      <c r="AEY38" s="18"/>
      <c r="AEZ38" s="18"/>
      <c r="AFA38" s="18"/>
      <c r="AFB38" s="18"/>
      <c r="AFC38" s="18"/>
      <c r="AFD38" s="18"/>
      <c r="AFE38" s="18"/>
      <c r="AFF38" s="18"/>
      <c r="AFG38" s="18"/>
      <c r="AFH38" s="18"/>
      <c r="AFI38" s="18"/>
      <c r="AFJ38" s="18"/>
      <c r="AFK38" s="18"/>
      <c r="AFL38" s="18"/>
      <c r="AFM38" s="18"/>
      <c r="AFN38" s="18"/>
      <c r="AFO38" s="18"/>
      <c r="AFP38" s="18"/>
      <c r="AFQ38" s="18"/>
      <c r="AFR38" s="18"/>
      <c r="AFS38" s="18"/>
      <c r="AFT38" s="18"/>
      <c r="AFU38" s="18"/>
      <c r="AFV38" s="18"/>
      <c r="AFW38" s="18"/>
      <c r="AFX38" s="18"/>
      <c r="AFY38" s="18"/>
      <c r="AFZ38" s="18"/>
      <c r="AGA38" s="18"/>
      <c r="AGB38" s="18"/>
      <c r="AGC38" s="18"/>
      <c r="AGD38" s="18"/>
      <c r="AGE38" s="18"/>
      <c r="AGF38" s="18"/>
      <c r="AGG38" s="18"/>
      <c r="AGH38" s="18"/>
      <c r="AGI38" s="18"/>
      <c r="AGJ38" s="18"/>
      <c r="AGK38" s="18"/>
      <c r="AGL38" s="18"/>
      <c r="AGM38" s="18"/>
      <c r="AGN38" s="18"/>
      <c r="AGO38" s="18"/>
      <c r="AGP38" s="18"/>
      <c r="AGQ38" s="18"/>
      <c r="AGR38" s="18"/>
      <c r="AGS38" s="18"/>
      <c r="AGT38" s="18"/>
      <c r="AGU38" s="18"/>
      <c r="AGV38" s="18"/>
      <c r="AGW38" s="18"/>
      <c r="AGX38" s="18"/>
      <c r="AGY38" s="18"/>
      <c r="AGZ38" s="18"/>
      <c r="AHA38" s="18"/>
      <c r="AHB38" s="18"/>
      <c r="AHC38" s="18"/>
      <c r="AHD38" s="18"/>
      <c r="AHE38" s="18"/>
      <c r="AHF38" s="18"/>
      <c r="AHG38" s="18"/>
      <c r="AHH38" s="18"/>
      <c r="AHI38" s="18"/>
      <c r="AHJ38" s="18"/>
      <c r="AHK38" s="18"/>
      <c r="AHL38" s="18"/>
      <c r="AHM38" s="18"/>
      <c r="AHN38" s="18"/>
      <c r="AHO38" s="18"/>
      <c r="AHP38" s="18"/>
      <c r="AHQ38" s="18"/>
      <c r="AHR38" s="18"/>
      <c r="AHS38" s="18"/>
      <c r="AHT38" s="18"/>
      <c r="AHU38" s="18"/>
      <c r="AHV38" s="18"/>
      <c r="AHW38" s="18"/>
      <c r="AHX38" s="18"/>
      <c r="AHY38" s="18"/>
      <c r="AHZ38" s="18"/>
      <c r="AIA38" s="18"/>
      <c r="AIB38" s="18"/>
      <c r="AIC38" s="18"/>
      <c r="AID38" s="18"/>
      <c r="AIE38" s="18"/>
      <c r="AIF38" s="18"/>
      <c r="AIG38" s="18"/>
      <c r="AIH38" s="18"/>
      <c r="AII38" s="18"/>
      <c r="AIJ38" s="18"/>
      <c r="AIK38" s="18"/>
      <c r="AIL38" s="18"/>
      <c r="AIM38" s="18"/>
      <c r="AIN38" s="18"/>
      <c r="AIO38" s="18"/>
      <c r="AIP38" s="18"/>
      <c r="AIQ38" s="18"/>
      <c r="AIR38" s="18"/>
      <c r="AIS38" s="18"/>
      <c r="AIT38" s="18"/>
      <c r="AIU38" s="18"/>
      <c r="AIV38" s="18"/>
      <c r="AIW38" s="18"/>
      <c r="AIX38" s="18"/>
      <c r="AIY38" s="18"/>
      <c r="AIZ38" s="18"/>
      <c r="AJA38" s="18"/>
      <c r="AJB38" s="18"/>
      <c r="AJC38" s="18"/>
      <c r="AJD38" s="18"/>
      <c r="AJE38" s="18"/>
      <c r="AJF38" s="18"/>
      <c r="AJG38" s="18"/>
      <c r="AJH38" s="18"/>
      <c r="AJI38" s="18"/>
      <c r="AJJ38" s="18"/>
      <c r="AJK38" s="18"/>
      <c r="AJL38" s="18"/>
      <c r="AJM38" s="18"/>
      <c r="AJN38" s="18"/>
      <c r="AJO38" s="18"/>
      <c r="AJP38" s="18"/>
      <c r="AJQ38" s="18"/>
      <c r="AJR38" s="18"/>
      <c r="AJS38" s="18"/>
      <c r="AJT38" s="18"/>
      <c r="AJU38" s="18"/>
      <c r="AJV38" s="18"/>
      <c r="AJW38" s="18"/>
      <c r="AJX38" s="18"/>
      <c r="AJY38" s="18"/>
      <c r="AJZ38" s="18"/>
      <c r="AKA38" s="18"/>
      <c r="AKB38" s="18"/>
      <c r="AKC38" s="18"/>
      <c r="AKD38" s="18"/>
      <c r="AKE38" s="18"/>
      <c r="AKF38" s="18"/>
      <c r="AKG38" s="18"/>
      <c r="AKH38" s="18"/>
      <c r="AKI38" s="18"/>
      <c r="AKJ38" s="18"/>
      <c r="AKK38" s="18"/>
      <c r="AKL38" s="18"/>
      <c r="AKM38" s="18"/>
      <c r="AKN38" s="18"/>
      <c r="AKO38" s="18"/>
      <c r="AKP38" s="18"/>
      <c r="AKQ38" s="18"/>
      <c r="AKR38" s="18"/>
      <c r="AKS38" s="18"/>
      <c r="AKT38" s="18"/>
      <c r="AKU38" s="18"/>
      <c r="AKV38" s="18"/>
      <c r="AKW38" s="18"/>
      <c r="AKX38" s="18"/>
      <c r="AKY38" s="18"/>
      <c r="AKZ38" s="18"/>
      <c r="ALA38" s="18"/>
      <c r="ALB38" s="18"/>
      <c r="ALC38" s="18"/>
      <c r="ALD38" s="18"/>
      <c r="ALE38" s="18"/>
      <c r="ALF38" s="18"/>
      <c r="ALG38" s="18"/>
      <c r="ALH38" s="18"/>
      <c r="ALI38" s="18"/>
      <c r="ALJ38" s="18"/>
      <c r="ALK38" s="18"/>
      <c r="ALL38" s="18"/>
      <c r="ALM38" s="18"/>
      <c r="ALN38" s="18"/>
      <c r="ALO38" s="18"/>
      <c r="ALP38" s="18"/>
      <c r="ALQ38" s="18"/>
      <c r="ALR38" s="18"/>
      <c r="ALS38" s="18"/>
      <c r="ALT38" s="18"/>
      <c r="ALU38" s="18"/>
      <c r="ALV38" s="18"/>
      <c r="ALW38" s="18"/>
      <c r="ALX38" s="18"/>
      <c r="ALY38" s="18"/>
      <c r="ALZ38" s="18"/>
      <c r="AMA38" s="18"/>
      <c r="AMB38" s="18"/>
      <c r="AMC38" s="18"/>
      <c r="AMD38" s="18"/>
      <c r="AME38" s="18"/>
      <c r="AMF38" s="18"/>
      <c r="AMG38" s="18"/>
      <c r="AMH38" s="18"/>
    </row>
    <row r="39" spans="1:1022" s="23" customFormat="1" x14ac:dyDescent="0.3">
      <c r="A39" s="33">
        <v>135</v>
      </c>
      <c r="B39" s="19"/>
      <c r="C39" s="19"/>
      <c r="D39" s="57" t="s">
        <v>310</v>
      </c>
      <c r="E39" s="34" t="s">
        <v>461</v>
      </c>
      <c r="F39" s="39"/>
      <c r="G39" s="39"/>
      <c r="H39" s="38" t="s">
        <v>281</v>
      </c>
      <c r="I39" s="40"/>
      <c r="J39" s="40"/>
      <c r="K39" s="18"/>
      <c r="L39" s="40"/>
      <c r="M39" s="41"/>
      <c r="N39" s="32"/>
      <c r="O39" s="18"/>
      <c r="P39" s="36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18"/>
      <c r="IB39" s="18"/>
      <c r="IC39" s="18"/>
      <c r="ID39" s="18"/>
      <c r="IE39" s="18"/>
      <c r="IF39" s="18"/>
      <c r="IG39" s="18"/>
      <c r="IH39" s="18"/>
      <c r="II39" s="18"/>
      <c r="IJ39" s="18"/>
      <c r="IK39" s="18"/>
      <c r="IL39" s="18"/>
      <c r="IM39" s="18"/>
      <c r="IN39" s="18"/>
      <c r="IO39" s="18"/>
      <c r="IP39" s="18"/>
      <c r="IQ39" s="18"/>
      <c r="IR39" s="18"/>
      <c r="IS39" s="18"/>
      <c r="IT39" s="18"/>
      <c r="IU39" s="18"/>
      <c r="IV39" s="18"/>
      <c r="IW39" s="18"/>
      <c r="IX39" s="18"/>
      <c r="IY39" s="18"/>
      <c r="IZ39" s="18"/>
      <c r="JA39" s="18"/>
      <c r="JB39" s="18"/>
      <c r="JC39" s="18"/>
      <c r="JD39" s="18"/>
      <c r="JE39" s="18"/>
      <c r="JF39" s="18"/>
      <c r="JG39" s="18"/>
      <c r="JH39" s="18"/>
      <c r="JI39" s="18"/>
      <c r="JJ39" s="18"/>
      <c r="JK39" s="18"/>
      <c r="JL39" s="18"/>
      <c r="JM39" s="18"/>
      <c r="JN39" s="18"/>
      <c r="JO39" s="18"/>
      <c r="JP39" s="18"/>
      <c r="JQ39" s="18"/>
      <c r="JR39" s="18"/>
      <c r="JS39" s="18"/>
      <c r="JT39" s="18"/>
      <c r="JU39" s="18"/>
      <c r="JV39" s="18"/>
      <c r="JW39" s="18"/>
      <c r="JX39" s="18"/>
      <c r="JY39" s="18"/>
      <c r="JZ39" s="18"/>
      <c r="KA39" s="18"/>
      <c r="KB39" s="18"/>
      <c r="KC39" s="18"/>
      <c r="KD39" s="18"/>
      <c r="KE39" s="18"/>
      <c r="KF39" s="18"/>
      <c r="KG39" s="18"/>
      <c r="KH39" s="18"/>
      <c r="KI39" s="18"/>
      <c r="KJ39" s="18"/>
      <c r="KK39" s="18"/>
      <c r="KL39" s="18"/>
      <c r="KM39" s="18"/>
      <c r="KN39" s="18"/>
      <c r="KO39" s="18"/>
      <c r="KP39" s="18"/>
      <c r="KQ39" s="18"/>
      <c r="KR39" s="18"/>
      <c r="KS39" s="18"/>
      <c r="KT39" s="18"/>
      <c r="KU39" s="18"/>
      <c r="KV39" s="18"/>
      <c r="KW39" s="18"/>
      <c r="KX39" s="18"/>
      <c r="KY39" s="18"/>
      <c r="KZ39" s="18"/>
      <c r="LA39" s="18"/>
      <c r="LB39" s="18"/>
      <c r="LC39" s="18"/>
      <c r="LD39" s="18"/>
      <c r="LE39" s="18"/>
      <c r="LF39" s="18"/>
      <c r="LG39" s="18"/>
      <c r="LH39" s="18"/>
      <c r="LI39" s="18"/>
      <c r="LJ39" s="18"/>
      <c r="LK39" s="18"/>
      <c r="LL39" s="18"/>
      <c r="LM39" s="18"/>
      <c r="LN39" s="18"/>
      <c r="LO39" s="18"/>
      <c r="LP39" s="18"/>
      <c r="LQ39" s="18"/>
      <c r="LR39" s="18"/>
      <c r="LS39" s="18"/>
      <c r="LT39" s="18"/>
      <c r="LU39" s="18"/>
      <c r="LV39" s="18"/>
      <c r="LW39" s="18"/>
      <c r="LX39" s="18"/>
      <c r="LY39" s="18"/>
      <c r="LZ39" s="18"/>
      <c r="MA39" s="18"/>
      <c r="MB39" s="18"/>
      <c r="MC39" s="18"/>
      <c r="MD39" s="18"/>
      <c r="ME39" s="18"/>
      <c r="MF39" s="18"/>
      <c r="MG39" s="18"/>
      <c r="MH39" s="18"/>
      <c r="MI39" s="18"/>
      <c r="MJ39" s="18"/>
      <c r="MK39" s="18"/>
      <c r="ML39" s="18"/>
      <c r="MM39" s="18"/>
      <c r="MN39" s="18"/>
      <c r="MO39" s="18"/>
      <c r="MP39" s="18"/>
      <c r="MQ39" s="18"/>
      <c r="MR39" s="18"/>
      <c r="MS39" s="18"/>
      <c r="MT39" s="18"/>
      <c r="MU39" s="18"/>
      <c r="MV39" s="18"/>
      <c r="MW39" s="18"/>
      <c r="MX39" s="18"/>
      <c r="MY39" s="18"/>
      <c r="MZ39" s="18"/>
      <c r="NA39" s="18"/>
      <c r="NB39" s="18"/>
      <c r="NC39" s="18"/>
      <c r="ND39" s="18"/>
      <c r="NE39" s="18"/>
      <c r="NF39" s="18"/>
      <c r="NG39" s="18"/>
      <c r="NH39" s="18"/>
      <c r="NI39" s="18"/>
      <c r="NJ39" s="18"/>
      <c r="NK39" s="18"/>
      <c r="NL39" s="18"/>
      <c r="NM39" s="18"/>
      <c r="NN39" s="18"/>
      <c r="NO39" s="18"/>
      <c r="NP39" s="18"/>
      <c r="NQ39" s="18"/>
      <c r="NR39" s="18"/>
      <c r="NS39" s="18"/>
      <c r="NT39" s="18"/>
      <c r="NU39" s="18"/>
      <c r="NV39" s="18"/>
      <c r="NW39" s="18"/>
      <c r="NX39" s="18"/>
      <c r="NY39" s="18"/>
      <c r="NZ39" s="18"/>
      <c r="OA39" s="18"/>
      <c r="OB39" s="18"/>
      <c r="OC39" s="18"/>
      <c r="OD39" s="18"/>
      <c r="OE39" s="18"/>
      <c r="OF39" s="18"/>
      <c r="OG39" s="18"/>
      <c r="OH39" s="18"/>
      <c r="OI39" s="18"/>
      <c r="OJ39" s="18"/>
      <c r="OK39" s="18"/>
      <c r="OL39" s="18"/>
      <c r="OM39" s="18"/>
      <c r="ON39" s="18"/>
      <c r="OO39" s="18"/>
      <c r="OP39" s="18"/>
      <c r="OQ39" s="18"/>
      <c r="OR39" s="18"/>
      <c r="OS39" s="18"/>
      <c r="OT39" s="18"/>
      <c r="OU39" s="18"/>
      <c r="OV39" s="18"/>
      <c r="OW39" s="18"/>
      <c r="OX39" s="18"/>
      <c r="OY39" s="18"/>
      <c r="OZ39" s="18"/>
      <c r="PA39" s="18"/>
      <c r="PB39" s="18"/>
      <c r="PC39" s="18"/>
      <c r="PD39" s="18"/>
      <c r="PE39" s="18"/>
      <c r="PF39" s="18"/>
      <c r="PG39" s="18"/>
      <c r="PH39" s="18"/>
      <c r="PI39" s="18"/>
      <c r="PJ39" s="18"/>
      <c r="PK39" s="18"/>
      <c r="PL39" s="18"/>
      <c r="PM39" s="18"/>
      <c r="PN39" s="18"/>
      <c r="PO39" s="18"/>
      <c r="PP39" s="18"/>
      <c r="PQ39" s="18"/>
      <c r="PR39" s="18"/>
      <c r="PS39" s="18"/>
      <c r="PT39" s="18"/>
      <c r="PU39" s="18"/>
      <c r="PV39" s="18"/>
      <c r="PW39" s="18"/>
      <c r="PX39" s="18"/>
      <c r="PY39" s="18"/>
      <c r="PZ39" s="18"/>
      <c r="QA39" s="18"/>
      <c r="QB39" s="18"/>
      <c r="QC39" s="18"/>
      <c r="QD39" s="18"/>
      <c r="QE39" s="18"/>
      <c r="QF39" s="18"/>
      <c r="QG39" s="18"/>
      <c r="QH39" s="18"/>
      <c r="QI39" s="18"/>
      <c r="QJ39" s="18"/>
      <c r="QK39" s="18"/>
      <c r="QL39" s="18"/>
      <c r="QM39" s="18"/>
      <c r="QN39" s="18"/>
      <c r="QO39" s="18"/>
      <c r="QP39" s="18"/>
      <c r="QQ39" s="18"/>
      <c r="QR39" s="18"/>
      <c r="QS39" s="18"/>
      <c r="QT39" s="18"/>
      <c r="QU39" s="18"/>
      <c r="QV39" s="18"/>
      <c r="QW39" s="18"/>
      <c r="QX39" s="18"/>
      <c r="QY39" s="18"/>
      <c r="QZ39" s="18"/>
      <c r="RA39" s="18"/>
      <c r="RB39" s="18"/>
      <c r="RC39" s="18"/>
      <c r="RD39" s="18"/>
      <c r="RE39" s="18"/>
      <c r="RF39" s="18"/>
      <c r="RG39" s="18"/>
      <c r="RH39" s="18"/>
      <c r="RI39" s="18"/>
      <c r="RJ39" s="18"/>
      <c r="RK39" s="18"/>
      <c r="RL39" s="18"/>
      <c r="RM39" s="18"/>
      <c r="RN39" s="18"/>
      <c r="RO39" s="18"/>
      <c r="RP39" s="18"/>
      <c r="RQ39" s="18"/>
      <c r="RR39" s="18"/>
      <c r="RS39" s="18"/>
      <c r="RT39" s="18"/>
      <c r="RU39" s="18"/>
      <c r="RV39" s="18"/>
      <c r="RW39" s="18"/>
      <c r="RX39" s="18"/>
      <c r="RY39" s="18"/>
      <c r="RZ39" s="18"/>
      <c r="SA39" s="18"/>
      <c r="SB39" s="18"/>
      <c r="SC39" s="18"/>
      <c r="SD39" s="18"/>
      <c r="SE39" s="18"/>
      <c r="SF39" s="18"/>
      <c r="SG39" s="18"/>
      <c r="SH39" s="18"/>
      <c r="SI39" s="18"/>
      <c r="SJ39" s="18"/>
      <c r="SK39" s="18"/>
      <c r="SL39" s="18"/>
      <c r="SM39" s="18"/>
      <c r="SN39" s="18"/>
      <c r="SO39" s="18"/>
      <c r="SP39" s="18"/>
      <c r="SQ39" s="18"/>
      <c r="SR39" s="18"/>
      <c r="SS39" s="18"/>
      <c r="ST39" s="18"/>
      <c r="SU39" s="18"/>
      <c r="SV39" s="18"/>
      <c r="SW39" s="18"/>
      <c r="SX39" s="18"/>
      <c r="SY39" s="18"/>
      <c r="SZ39" s="18"/>
      <c r="TA39" s="18"/>
      <c r="TB39" s="18"/>
      <c r="TC39" s="18"/>
      <c r="TD39" s="18"/>
      <c r="TE39" s="18"/>
      <c r="TF39" s="18"/>
      <c r="TG39" s="18"/>
      <c r="TH39" s="18"/>
      <c r="TI39" s="18"/>
      <c r="TJ39" s="18"/>
      <c r="TK39" s="18"/>
      <c r="TL39" s="18"/>
      <c r="TM39" s="18"/>
      <c r="TN39" s="18"/>
      <c r="TO39" s="18"/>
      <c r="TP39" s="18"/>
      <c r="TQ39" s="18"/>
      <c r="TR39" s="18"/>
      <c r="TS39" s="18"/>
      <c r="TT39" s="18"/>
      <c r="TU39" s="18"/>
      <c r="TV39" s="18"/>
      <c r="TW39" s="18"/>
      <c r="TX39" s="18"/>
      <c r="TY39" s="18"/>
      <c r="TZ39" s="18"/>
      <c r="UA39" s="18"/>
      <c r="UB39" s="18"/>
      <c r="UC39" s="18"/>
      <c r="UD39" s="18"/>
      <c r="UE39" s="18"/>
      <c r="UF39" s="18"/>
      <c r="UG39" s="18"/>
      <c r="UH39" s="18"/>
      <c r="UI39" s="18"/>
      <c r="UJ39" s="18"/>
      <c r="UK39" s="18"/>
      <c r="UL39" s="18"/>
      <c r="UM39" s="18"/>
      <c r="UN39" s="18"/>
      <c r="UO39" s="18"/>
      <c r="UP39" s="18"/>
      <c r="UQ39" s="18"/>
      <c r="UR39" s="18"/>
      <c r="US39" s="18"/>
      <c r="UT39" s="18"/>
      <c r="UU39" s="18"/>
      <c r="UV39" s="18"/>
      <c r="UW39" s="18"/>
      <c r="UX39" s="18"/>
      <c r="UY39" s="18"/>
      <c r="UZ39" s="18"/>
      <c r="VA39" s="18"/>
      <c r="VB39" s="18"/>
      <c r="VC39" s="18"/>
      <c r="VD39" s="18"/>
      <c r="VE39" s="18"/>
      <c r="VF39" s="18"/>
      <c r="VG39" s="18"/>
      <c r="VH39" s="18"/>
      <c r="VI39" s="18"/>
      <c r="VJ39" s="18"/>
      <c r="VK39" s="18"/>
      <c r="VL39" s="18"/>
      <c r="VM39" s="18"/>
      <c r="VN39" s="18"/>
      <c r="VO39" s="18"/>
      <c r="VP39" s="18"/>
      <c r="VQ39" s="18"/>
      <c r="VR39" s="18"/>
      <c r="VS39" s="18"/>
      <c r="VT39" s="18"/>
      <c r="VU39" s="18"/>
      <c r="VV39" s="18"/>
      <c r="VW39" s="18"/>
      <c r="VX39" s="18"/>
      <c r="VY39" s="18"/>
      <c r="VZ39" s="18"/>
      <c r="WA39" s="18"/>
      <c r="WB39" s="18"/>
      <c r="WC39" s="18"/>
      <c r="WD39" s="18"/>
      <c r="WE39" s="18"/>
      <c r="WF39" s="18"/>
      <c r="WG39" s="18"/>
      <c r="WH39" s="18"/>
      <c r="WI39" s="18"/>
      <c r="WJ39" s="18"/>
      <c r="WK39" s="18"/>
      <c r="WL39" s="18"/>
      <c r="WM39" s="18"/>
      <c r="WN39" s="18"/>
      <c r="WO39" s="18"/>
      <c r="WP39" s="18"/>
      <c r="WQ39" s="18"/>
      <c r="WR39" s="18"/>
      <c r="WS39" s="18"/>
      <c r="WT39" s="18"/>
      <c r="WU39" s="18"/>
      <c r="WV39" s="18"/>
      <c r="WW39" s="18"/>
      <c r="WX39" s="18"/>
      <c r="WY39" s="18"/>
      <c r="WZ39" s="18"/>
      <c r="XA39" s="18"/>
      <c r="XB39" s="18"/>
      <c r="XC39" s="18"/>
      <c r="XD39" s="18"/>
      <c r="XE39" s="18"/>
      <c r="XF39" s="18"/>
      <c r="XG39" s="18"/>
      <c r="XH39" s="18"/>
      <c r="XI39" s="18"/>
      <c r="XJ39" s="18"/>
      <c r="XK39" s="18"/>
      <c r="XL39" s="18"/>
      <c r="XM39" s="18"/>
      <c r="XN39" s="18"/>
      <c r="XO39" s="18"/>
      <c r="XP39" s="18"/>
      <c r="XQ39" s="18"/>
      <c r="XR39" s="18"/>
      <c r="XS39" s="18"/>
      <c r="XT39" s="18"/>
      <c r="XU39" s="18"/>
      <c r="XV39" s="18"/>
      <c r="XW39" s="18"/>
      <c r="XX39" s="18"/>
      <c r="XY39" s="18"/>
      <c r="XZ39" s="18"/>
      <c r="YA39" s="18"/>
      <c r="YB39" s="18"/>
      <c r="YC39" s="18"/>
      <c r="YD39" s="18"/>
      <c r="YE39" s="18"/>
      <c r="YF39" s="18"/>
      <c r="YG39" s="18"/>
      <c r="YH39" s="18"/>
      <c r="YI39" s="18"/>
      <c r="YJ39" s="18"/>
      <c r="YK39" s="18"/>
      <c r="YL39" s="18"/>
      <c r="YM39" s="18"/>
      <c r="YN39" s="18"/>
      <c r="YO39" s="18"/>
      <c r="YP39" s="18"/>
      <c r="YQ39" s="18"/>
      <c r="YR39" s="18"/>
      <c r="YS39" s="18"/>
      <c r="YT39" s="18"/>
      <c r="YU39" s="18"/>
      <c r="YV39" s="18"/>
      <c r="YW39" s="18"/>
      <c r="YX39" s="18"/>
      <c r="YY39" s="18"/>
      <c r="YZ39" s="18"/>
      <c r="ZA39" s="18"/>
      <c r="ZB39" s="18"/>
      <c r="ZC39" s="18"/>
      <c r="ZD39" s="18"/>
      <c r="ZE39" s="18"/>
      <c r="ZF39" s="18"/>
      <c r="ZG39" s="18"/>
      <c r="ZH39" s="18"/>
      <c r="ZI39" s="18"/>
      <c r="ZJ39" s="18"/>
      <c r="ZK39" s="18"/>
      <c r="ZL39" s="18"/>
      <c r="ZM39" s="18"/>
      <c r="ZN39" s="18"/>
      <c r="ZO39" s="18"/>
      <c r="ZP39" s="18"/>
      <c r="ZQ39" s="18"/>
      <c r="ZR39" s="18"/>
      <c r="ZS39" s="18"/>
      <c r="ZT39" s="18"/>
      <c r="ZU39" s="18"/>
      <c r="ZV39" s="18"/>
      <c r="ZW39" s="18"/>
      <c r="ZX39" s="18"/>
      <c r="ZY39" s="18"/>
      <c r="ZZ39" s="18"/>
      <c r="AAA39" s="18"/>
      <c r="AAB39" s="18"/>
      <c r="AAC39" s="18"/>
      <c r="AAD39" s="18"/>
      <c r="AAE39" s="18"/>
      <c r="AAF39" s="18"/>
      <c r="AAG39" s="18"/>
      <c r="AAH39" s="18"/>
      <c r="AAI39" s="18"/>
      <c r="AAJ39" s="18"/>
      <c r="AAK39" s="18"/>
      <c r="AAL39" s="18"/>
      <c r="AAM39" s="18"/>
      <c r="AAN39" s="18"/>
      <c r="AAO39" s="18"/>
      <c r="AAP39" s="18"/>
      <c r="AAQ39" s="18"/>
      <c r="AAR39" s="18"/>
      <c r="AAS39" s="18"/>
      <c r="AAT39" s="18"/>
      <c r="AAU39" s="18"/>
      <c r="AAV39" s="18"/>
      <c r="AAW39" s="18"/>
      <c r="AAX39" s="18"/>
      <c r="AAY39" s="18"/>
      <c r="AAZ39" s="18"/>
      <c r="ABA39" s="18"/>
      <c r="ABB39" s="18"/>
      <c r="ABC39" s="18"/>
      <c r="ABD39" s="18"/>
      <c r="ABE39" s="18"/>
      <c r="ABF39" s="18"/>
      <c r="ABG39" s="18"/>
      <c r="ABH39" s="18"/>
      <c r="ABI39" s="18"/>
      <c r="ABJ39" s="18"/>
      <c r="ABK39" s="18"/>
      <c r="ABL39" s="18"/>
      <c r="ABM39" s="18"/>
      <c r="ABN39" s="18"/>
      <c r="ABO39" s="18"/>
      <c r="ABP39" s="18"/>
      <c r="ABQ39" s="18"/>
      <c r="ABR39" s="18"/>
      <c r="ABS39" s="18"/>
      <c r="ABT39" s="18"/>
      <c r="ABU39" s="18"/>
      <c r="ABV39" s="18"/>
      <c r="ABW39" s="18"/>
      <c r="ABX39" s="18"/>
      <c r="ABY39" s="18"/>
      <c r="ABZ39" s="18"/>
      <c r="ACA39" s="18"/>
      <c r="ACB39" s="18"/>
      <c r="ACC39" s="18"/>
      <c r="ACD39" s="18"/>
      <c r="ACE39" s="18"/>
      <c r="ACF39" s="18"/>
      <c r="ACG39" s="18"/>
      <c r="ACH39" s="18"/>
      <c r="ACI39" s="18"/>
      <c r="ACJ39" s="18"/>
      <c r="ACK39" s="18"/>
      <c r="ACL39" s="18"/>
      <c r="ACM39" s="18"/>
      <c r="ACN39" s="18"/>
      <c r="ACO39" s="18"/>
      <c r="ACP39" s="18"/>
      <c r="ACQ39" s="18"/>
      <c r="ACR39" s="18"/>
      <c r="ACS39" s="18"/>
      <c r="ACT39" s="18"/>
      <c r="ACU39" s="18"/>
      <c r="ACV39" s="18"/>
      <c r="ACW39" s="18"/>
      <c r="ACX39" s="18"/>
      <c r="ACY39" s="18"/>
      <c r="ACZ39" s="18"/>
      <c r="ADA39" s="18"/>
      <c r="ADB39" s="18"/>
      <c r="ADC39" s="18"/>
      <c r="ADD39" s="18"/>
      <c r="ADE39" s="18"/>
      <c r="ADF39" s="18"/>
      <c r="ADG39" s="18"/>
      <c r="ADH39" s="18"/>
      <c r="ADI39" s="18"/>
      <c r="ADJ39" s="18"/>
      <c r="ADK39" s="18"/>
      <c r="ADL39" s="18"/>
      <c r="ADM39" s="18"/>
      <c r="ADN39" s="18"/>
      <c r="ADO39" s="18"/>
      <c r="ADP39" s="18"/>
      <c r="ADQ39" s="18"/>
      <c r="ADR39" s="18"/>
      <c r="ADS39" s="18"/>
      <c r="ADT39" s="18"/>
      <c r="ADU39" s="18"/>
      <c r="ADV39" s="18"/>
      <c r="ADW39" s="18"/>
      <c r="ADX39" s="18"/>
      <c r="ADY39" s="18"/>
      <c r="ADZ39" s="18"/>
      <c r="AEA39" s="18"/>
      <c r="AEB39" s="18"/>
      <c r="AEC39" s="18"/>
      <c r="AED39" s="18"/>
      <c r="AEE39" s="18"/>
      <c r="AEF39" s="18"/>
      <c r="AEG39" s="18"/>
      <c r="AEH39" s="18"/>
      <c r="AEI39" s="18"/>
      <c r="AEJ39" s="18"/>
      <c r="AEK39" s="18"/>
      <c r="AEL39" s="18"/>
      <c r="AEM39" s="18"/>
      <c r="AEN39" s="18"/>
      <c r="AEO39" s="18"/>
      <c r="AEP39" s="18"/>
      <c r="AEQ39" s="18"/>
      <c r="AER39" s="18"/>
      <c r="AES39" s="18"/>
      <c r="AET39" s="18"/>
      <c r="AEU39" s="18"/>
      <c r="AEV39" s="18"/>
      <c r="AEW39" s="18"/>
      <c r="AEX39" s="18"/>
      <c r="AEY39" s="18"/>
      <c r="AEZ39" s="18"/>
      <c r="AFA39" s="18"/>
      <c r="AFB39" s="18"/>
      <c r="AFC39" s="18"/>
      <c r="AFD39" s="18"/>
      <c r="AFE39" s="18"/>
      <c r="AFF39" s="18"/>
      <c r="AFG39" s="18"/>
      <c r="AFH39" s="18"/>
      <c r="AFI39" s="18"/>
      <c r="AFJ39" s="18"/>
      <c r="AFK39" s="18"/>
      <c r="AFL39" s="18"/>
      <c r="AFM39" s="18"/>
      <c r="AFN39" s="18"/>
      <c r="AFO39" s="18"/>
      <c r="AFP39" s="18"/>
      <c r="AFQ39" s="18"/>
      <c r="AFR39" s="18"/>
      <c r="AFS39" s="18"/>
      <c r="AFT39" s="18"/>
      <c r="AFU39" s="18"/>
      <c r="AFV39" s="18"/>
      <c r="AFW39" s="18"/>
      <c r="AFX39" s="18"/>
      <c r="AFY39" s="18"/>
      <c r="AFZ39" s="18"/>
      <c r="AGA39" s="18"/>
      <c r="AGB39" s="18"/>
      <c r="AGC39" s="18"/>
      <c r="AGD39" s="18"/>
      <c r="AGE39" s="18"/>
      <c r="AGF39" s="18"/>
      <c r="AGG39" s="18"/>
      <c r="AGH39" s="18"/>
      <c r="AGI39" s="18"/>
      <c r="AGJ39" s="18"/>
      <c r="AGK39" s="18"/>
      <c r="AGL39" s="18"/>
      <c r="AGM39" s="18"/>
      <c r="AGN39" s="18"/>
      <c r="AGO39" s="18"/>
      <c r="AGP39" s="18"/>
      <c r="AGQ39" s="18"/>
      <c r="AGR39" s="18"/>
      <c r="AGS39" s="18"/>
      <c r="AGT39" s="18"/>
      <c r="AGU39" s="18"/>
      <c r="AGV39" s="18"/>
      <c r="AGW39" s="18"/>
      <c r="AGX39" s="18"/>
      <c r="AGY39" s="18"/>
      <c r="AGZ39" s="18"/>
      <c r="AHA39" s="18"/>
      <c r="AHB39" s="18"/>
      <c r="AHC39" s="18"/>
      <c r="AHD39" s="18"/>
      <c r="AHE39" s="18"/>
      <c r="AHF39" s="18"/>
      <c r="AHG39" s="18"/>
      <c r="AHH39" s="18"/>
      <c r="AHI39" s="18"/>
      <c r="AHJ39" s="18"/>
      <c r="AHK39" s="18"/>
      <c r="AHL39" s="18"/>
      <c r="AHM39" s="18"/>
      <c r="AHN39" s="18"/>
      <c r="AHO39" s="18"/>
      <c r="AHP39" s="18"/>
      <c r="AHQ39" s="18"/>
      <c r="AHR39" s="18"/>
      <c r="AHS39" s="18"/>
      <c r="AHT39" s="18"/>
      <c r="AHU39" s="18"/>
      <c r="AHV39" s="18"/>
      <c r="AHW39" s="18"/>
      <c r="AHX39" s="18"/>
      <c r="AHY39" s="18"/>
      <c r="AHZ39" s="18"/>
      <c r="AIA39" s="18"/>
      <c r="AIB39" s="18"/>
      <c r="AIC39" s="18"/>
      <c r="AID39" s="18"/>
      <c r="AIE39" s="18"/>
      <c r="AIF39" s="18"/>
      <c r="AIG39" s="18"/>
      <c r="AIH39" s="18"/>
      <c r="AII39" s="18"/>
      <c r="AIJ39" s="18"/>
      <c r="AIK39" s="18"/>
      <c r="AIL39" s="18"/>
      <c r="AIM39" s="18"/>
      <c r="AIN39" s="18"/>
      <c r="AIO39" s="18"/>
      <c r="AIP39" s="18"/>
      <c r="AIQ39" s="18"/>
      <c r="AIR39" s="18"/>
      <c r="AIS39" s="18"/>
      <c r="AIT39" s="18"/>
      <c r="AIU39" s="18"/>
      <c r="AIV39" s="18"/>
      <c r="AIW39" s="18"/>
      <c r="AIX39" s="18"/>
      <c r="AIY39" s="18"/>
      <c r="AIZ39" s="18"/>
      <c r="AJA39" s="18"/>
      <c r="AJB39" s="18"/>
      <c r="AJC39" s="18"/>
      <c r="AJD39" s="18"/>
      <c r="AJE39" s="18"/>
      <c r="AJF39" s="18"/>
      <c r="AJG39" s="18"/>
      <c r="AJH39" s="18"/>
      <c r="AJI39" s="18"/>
      <c r="AJJ39" s="18"/>
      <c r="AJK39" s="18"/>
      <c r="AJL39" s="18"/>
      <c r="AJM39" s="18"/>
      <c r="AJN39" s="18"/>
      <c r="AJO39" s="18"/>
      <c r="AJP39" s="18"/>
      <c r="AJQ39" s="18"/>
      <c r="AJR39" s="18"/>
      <c r="AJS39" s="18"/>
      <c r="AJT39" s="18"/>
      <c r="AJU39" s="18"/>
      <c r="AJV39" s="18"/>
      <c r="AJW39" s="18"/>
      <c r="AJX39" s="18"/>
      <c r="AJY39" s="18"/>
      <c r="AJZ39" s="18"/>
      <c r="AKA39" s="18"/>
      <c r="AKB39" s="18"/>
      <c r="AKC39" s="18"/>
      <c r="AKD39" s="18"/>
      <c r="AKE39" s="18"/>
      <c r="AKF39" s="18"/>
      <c r="AKG39" s="18"/>
      <c r="AKH39" s="18"/>
      <c r="AKI39" s="18"/>
      <c r="AKJ39" s="18"/>
      <c r="AKK39" s="18"/>
      <c r="AKL39" s="18"/>
      <c r="AKM39" s="18"/>
      <c r="AKN39" s="18"/>
      <c r="AKO39" s="18"/>
      <c r="AKP39" s="18"/>
      <c r="AKQ39" s="18"/>
      <c r="AKR39" s="18"/>
      <c r="AKS39" s="18"/>
      <c r="AKT39" s="18"/>
      <c r="AKU39" s="18"/>
      <c r="AKV39" s="18"/>
      <c r="AKW39" s="18"/>
      <c r="AKX39" s="18"/>
      <c r="AKY39" s="18"/>
      <c r="AKZ39" s="18"/>
      <c r="ALA39" s="18"/>
      <c r="ALB39" s="18"/>
      <c r="ALC39" s="18"/>
      <c r="ALD39" s="18"/>
      <c r="ALE39" s="18"/>
      <c r="ALF39" s="18"/>
      <c r="ALG39" s="18"/>
      <c r="ALH39" s="18"/>
      <c r="ALI39" s="18"/>
      <c r="ALJ39" s="18"/>
      <c r="ALK39" s="18"/>
      <c r="ALL39" s="18"/>
      <c r="ALM39" s="18"/>
      <c r="ALN39" s="18"/>
      <c r="ALO39" s="18"/>
      <c r="ALP39" s="18"/>
      <c r="ALQ39" s="18"/>
      <c r="ALR39" s="18"/>
      <c r="ALS39" s="18"/>
      <c r="ALT39" s="18"/>
      <c r="ALU39" s="18"/>
      <c r="ALV39" s="18"/>
      <c r="ALW39" s="18"/>
      <c r="ALX39" s="18"/>
      <c r="ALY39" s="18"/>
      <c r="ALZ39" s="18"/>
      <c r="AMA39" s="18"/>
      <c r="AMB39" s="18"/>
      <c r="AMC39" s="18"/>
      <c r="AMD39" s="18"/>
      <c r="AME39" s="18"/>
      <c r="AMF39" s="18"/>
      <c r="AMG39" s="18"/>
      <c r="AMH39" s="18"/>
    </row>
    <row r="40" spans="1:1022" s="23" customFormat="1" x14ac:dyDescent="0.3">
      <c r="A40" s="33">
        <v>136</v>
      </c>
      <c r="B40" s="19"/>
      <c r="C40" s="19"/>
      <c r="D40" s="34" t="s">
        <v>311</v>
      </c>
      <c r="E40" s="34" t="s">
        <v>462</v>
      </c>
      <c r="F40" s="39"/>
      <c r="G40" s="39"/>
      <c r="I40" s="40"/>
      <c r="J40" s="40"/>
      <c r="K40" s="38" t="s">
        <v>281</v>
      </c>
      <c r="L40" s="40"/>
      <c r="M40" s="41"/>
      <c r="N40" s="32"/>
      <c r="O40" s="18"/>
      <c r="P40" s="36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8"/>
      <c r="FW40" s="18"/>
      <c r="FX40" s="18"/>
      <c r="FY40" s="18"/>
      <c r="FZ40" s="18"/>
      <c r="GA40" s="18"/>
      <c r="GB40" s="18"/>
      <c r="GC40" s="18"/>
      <c r="GD40" s="18"/>
      <c r="GE40" s="18"/>
      <c r="GF40" s="18"/>
      <c r="GG40" s="18"/>
      <c r="GH40" s="18"/>
      <c r="GI40" s="18"/>
      <c r="GJ40" s="18"/>
      <c r="GK40" s="18"/>
      <c r="GL40" s="18"/>
      <c r="GM40" s="18"/>
      <c r="GN40" s="18"/>
      <c r="GO40" s="18"/>
      <c r="GP40" s="18"/>
      <c r="GQ40" s="18"/>
      <c r="GR40" s="18"/>
      <c r="GS40" s="18"/>
      <c r="GT40" s="18"/>
      <c r="GU40" s="18"/>
      <c r="GV40" s="18"/>
      <c r="GW40" s="18"/>
      <c r="GX40" s="18"/>
      <c r="GY40" s="18"/>
      <c r="GZ40" s="18"/>
      <c r="HA40" s="18"/>
      <c r="HB40" s="18"/>
      <c r="HC40" s="18"/>
      <c r="HD40" s="18"/>
      <c r="HE40" s="18"/>
      <c r="HF40" s="18"/>
      <c r="HG40" s="18"/>
      <c r="HH40" s="18"/>
      <c r="HI40" s="18"/>
      <c r="HJ40" s="18"/>
      <c r="HK40" s="18"/>
      <c r="HL40" s="18"/>
      <c r="HM40" s="18"/>
      <c r="HN40" s="18"/>
      <c r="HO40" s="18"/>
      <c r="HP40" s="18"/>
      <c r="HQ40" s="18"/>
      <c r="HR40" s="18"/>
      <c r="HS40" s="18"/>
      <c r="HT40" s="18"/>
      <c r="HU40" s="18"/>
      <c r="HV40" s="18"/>
      <c r="HW40" s="18"/>
      <c r="HX40" s="18"/>
      <c r="HY40" s="18"/>
      <c r="HZ40" s="18"/>
      <c r="IA40" s="18"/>
      <c r="IB40" s="18"/>
      <c r="IC40" s="18"/>
      <c r="ID40" s="18"/>
      <c r="IE40" s="18"/>
      <c r="IF40" s="18"/>
      <c r="IG40" s="18"/>
      <c r="IH40" s="18"/>
      <c r="II40" s="18"/>
      <c r="IJ40" s="18"/>
      <c r="IK40" s="18"/>
      <c r="IL40" s="18"/>
      <c r="IM40" s="18"/>
      <c r="IN40" s="18"/>
      <c r="IO40" s="18"/>
      <c r="IP40" s="18"/>
      <c r="IQ40" s="18"/>
      <c r="IR40" s="18"/>
      <c r="IS40" s="18"/>
      <c r="IT40" s="18"/>
      <c r="IU40" s="18"/>
      <c r="IV40" s="18"/>
      <c r="IW40" s="18"/>
      <c r="IX40" s="18"/>
      <c r="IY40" s="18"/>
      <c r="IZ40" s="18"/>
      <c r="JA40" s="18"/>
      <c r="JB40" s="18"/>
      <c r="JC40" s="18"/>
      <c r="JD40" s="18"/>
      <c r="JE40" s="18"/>
      <c r="JF40" s="18"/>
      <c r="JG40" s="18"/>
      <c r="JH40" s="18"/>
      <c r="JI40" s="18"/>
      <c r="JJ40" s="18"/>
      <c r="JK40" s="18"/>
      <c r="JL40" s="18"/>
      <c r="JM40" s="18"/>
      <c r="JN40" s="18"/>
      <c r="JO40" s="18"/>
      <c r="JP40" s="18"/>
      <c r="JQ40" s="18"/>
      <c r="JR40" s="18"/>
      <c r="JS40" s="18"/>
      <c r="JT40" s="18"/>
      <c r="JU40" s="18"/>
      <c r="JV40" s="18"/>
      <c r="JW40" s="18"/>
      <c r="JX40" s="18"/>
      <c r="JY40" s="18"/>
      <c r="JZ40" s="18"/>
      <c r="KA40" s="18"/>
      <c r="KB40" s="18"/>
      <c r="KC40" s="18"/>
      <c r="KD40" s="18"/>
      <c r="KE40" s="18"/>
      <c r="KF40" s="18"/>
      <c r="KG40" s="18"/>
      <c r="KH40" s="18"/>
      <c r="KI40" s="18"/>
      <c r="KJ40" s="18"/>
      <c r="KK40" s="18"/>
      <c r="KL40" s="18"/>
      <c r="KM40" s="18"/>
      <c r="KN40" s="18"/>
      <c r="KO40" s="18"/>
      <c r="KP40" s="18"/>
      <c r="KQ40" s="18"/>
      <c r="KR40" s="18"/>
      <c r="KS40" s="18"/>
      <c r="KT40" s="18"/>
      <c r="KU40" s="18"/>
      <c r="KV40" s="18"/>
      <c r="KW40" s="18"/>
      <c r="KX40" s="18"/>
      <c r="KY40" s="18"/>
      <c r="KZ40" s="18"/>
      <c r="LA40" s="18"/>
      <c r="LB40" s="18"/>
      <c r="LC40" s="18"/>
      <c r="LD40" s="18"/>
      <c r="LE40" s="18"/>
      <c r="LF40" s="18"/>
      <c r="LG40" s="18"/>
      <c r="LH40" s="18"/>
      <c r="LI40" s="18"/>
      <c r="LJ40" s="18"/>
      <c r="LK40" s="18"/>
      <c r="LL40" s="18"/>
      <c r="LM40" s="18"/>
      <c r="LN40" s="18"/>
      <c r="LO40" s="18"/>
      <c r="LP40" s="18"/>
      <c r="LQ40" s="18"/>
      <c r="LR40" s="18"/>
      <c r="LS40" s="18"/>
      <c r="LT40" s="18"/>
      <c r="LU40" s="18"/>
      <c r="LV40" s="18"/>
      <c r="LW40" s="18"/>
      <c r="LX40" s="18"/>
      <c r="LY40" s="18"/>
      <c r="LZ40" s="18"/>
      <c r="MA40" s="18"/>
      <c r="MB40" s="18"/>
      <c r="MC40" s="18"/>
      <c r="MD40" s="18"/>
      <c r="ME40" s="18"/>
      <c r="MF40" s="18"/>
      <c r="MG40" s="18"/>
      <c r="MH40" s="18"/>
      <c r="MI40" s="18"/>
      <c r="MJ40" s="18"/>
      <c r="MK40" s="18"/>
      <c r="ML40" s="18"/>
      <c r="MM40" s="18"/>
      <c r="MN40" s="18"/>
      <c r="MO40" s="18"/>
      <c r="MP40" s="18"/>
      <c r="MQ40" s="18"/>
      <c r="MR40" s="18"/>
      <c r="MS40" s="18"/>
      <c r="MT40" s="18"/>
      <c r="MU40" s="18"/>
      <c r="MV40" s="18"/>
      <c r="MW40" s="18"/>
      <c r="MX40" s="18"/>
      <c r="MY40" s="18"/>
      <c r="MZ40" s="18"/>
      <c r="NA40" s="18"/>
      <c r="NB40" s="18"/>
      <c r="NC40" s="18"/>
      <c r="ND40" s="18"/>
      <c r="NE40" s="18"/>
      <c r="NF40" s="18"/>
      <c r="NG40" s="18"/>
      <c r="NH40" s="18"/>
      <c r="NI40" s="18"/>
      <c r="NJ40" s="18"/>
      <c r="NK40" s="18"/>
      <c r="NL40" s="18"/>
      <c r="NM40" s="18"/>
      <c r="NN40" s="18"/>
      <c r="NO40" s="18"/>
      <c r="NP40" s="18"/>
      <c r="NQ40" s="18"/>
      <c r="NR40" s="18"/>
      <c r="NS40" s="18"/>
      <c r="NT40" s="18"/>
      <c r="NU40" s="18"/>
      <c r="NV40" s="18"/>
      <c r="NW40" s="18"/>
      <c r="NX40" s="18"/>
      <c r="NY40" s="18"/>
      <c r="NZ40" s="18"/>
      <c r="OA40" s="18"/>
      <c r="OB40" s="18"/>
      <c r="OC40" s="18"/>
      <c r="OD40" s="18"/>
      <c r="OE40" s="18"/>
      <c r="OF40" s="18"/>
      <c r="OG40" s="18"/>
      <c r="OH40" s="18"/>
      <c r="OI40" s="18"/>
      <c r="OJ40" s="18"/>
      <c r="OK40" s="18"/>
      <c r="OL40" s="18"/>
      <c r="OM40" s="18"/>
      <c r="ON40" s="18"/>
      <c r="OO40" s="18"/>
      <c r="OP40" s="18"/>
      <c r="OQ40" s="18"/>
      <c r="OR40" s="18"/>
      <c r="OS40" s="18"/>
      <c r="OT40" s="18"/>
      <c r="OU40" s="18"/>
      <c r="OV40" s="18"/>
      <c r="OW40" s="18"/>
      <c r="OX40" s="18"/>
      <c r="OY40" s="18"/>
      <c r="OZ40" s="18"/>
      <c r="PA40" s="18"/>
      <c r="PB40" s="18"/>
      <c r="PC40" s="18"/>
      <c r="PD40" s="18"/>
      <c r="PE40" s="18"/>
      <c r="PF40" s="18"/>
      <c r="PG40" s="18"/>
      <c r="PH40" s="18"/>
      <c r="PI40" s="18"/>
      <c r="PJ40" s="18"/>
      <c r="PK40" s="18"/>
      <c r="PL40" s="18"/>
      <c r="PM40" s="18"/>
      <c r="PN40" s="18"/>
      <c r="PO40" s="18"/>
      <c r="PP40" s="18"/>
      <c r="PQ40" s="18"/>
      <c r="PR40" s="18"/>
      <c r="PS40" s="18"/>
      <c r="PT40" s="18"/>
      <c r="PU40" s="18"/>
      <c r="PV40" s="18"/>
      <c r="PW40" s="18"/>
      <c r="PX40" s="18"/>
      <c r="PY40" s="18"/>
      <c r="PZ40" s="18"/>
      <c r="QA40" s="18"/>
      <c r="QB40" s="18"/>
      <c r="QC40" s="18"/>
      <c r="QD40" s="18"/>
      <c r="QE40" s="18"/>
      <c r="QF40" s="18"/>
      <c r="QG40" s="18"/>
      <c r="QH40" s="18"/>
      <c r="QI40" s="18"/>
      <c r="QJ40" s="18"/>
      <c r="QK40" s="18"/>
      <c r="QL40" s="18"/>
      <c r="QM40" s="18"/>
      <c r="QN40" s="18"/>
      <c r="QO40" s="18"/>
      <c r="QP40" s="18"/>
      <c r="QQ40" s="18"/>
      <c r="QR40" s="18"/>
      <c r="QS40" s="18"/>
      <c r="QT40" s="18"/>
      <c r="QU40" s="18"/>
      <c r="QV40" s="18"/>
      <c r="QW40" s="18"/>
      <c r="QX40" s="18"/>
      <c r="QY40" s="18"/>
      <c r="QZ40" s="18"/>
      <c r="RA40" s="18"/>
      <c r="RB40" s="18"/>
      <c r="RC40" s="18"/>
      <c r="RD40" s="18"/>
      <c r="RE40" s="18"/>
      <c r="RF40" s="18"/>
      <c r="RG40" s="18"/>
      <c r="RH40" s="18"/>
      <c r="RI40" s="18"/>
      <c r="RJ40" s="18"/>
      <c r="RK40" s="18"/>
      <c r="RL40" s="18"/>
      <c r="RM40" s="18"/>
      <c r="RN40" s="18"/>
      <c r="RO40" s="18"/>
      <c r="RP40" s="18"/>
      <c r="RQ40" s="18"/>
      <c r="RR40" s="18"/>
      <c r="RS40" s="18"/>
      <c r="RT40" s="18"/>
      <c r="RU40" s="18"/>
      <c r="RV40" s="18"/>
      <c r="RW40" s="18"/>
      <c r="RX40" s="18"/>
      <c r="RY40" s="18"/>
      <c r="RZ40" s="18"/>
      <c r="SA40" s="18"/>
      <c r="SB40" s="18"/>
      <c r="SC40" s="18"/>
      <c r="SD40" s="18"/>
      <c r="SE40" s="18"/>
      <c r="SF40" s="18"/>
      <c r="SG40" s="18"/>
      <c r="SH40" s="18"/>
      <c r="SI40" s="18"/>
      <c r="SJ40" s="18"/>
      <c r="SK40" s="18"/>
      <c r="SL40" s="18"/>
      <c r="SM40" s="18"/>
      <c r="SN40" s="18"/>
      <c r="SO40" s="18"/>
      <c r="SP40" s="18"/>
      <c r="SQ40" s="18"/>
      <c r="SR40" s="18"/>
      <c r="SS40" s="18"/>
      <c r="ST40" s="18"/>
      <c r="SU40" s="18"/>
      <c r="SV40" s="18"/>
      <c r="SW40" s="18"/>
      <c r="SX40" s="18"/>
      <c r="SY40" s="18"/>
      <c r="SZ40" s="18"/>
      <c r="TA40" s="18"/>
      <c r="TB40" s="18"/>
      <c r="TC40" s="18"/>
      <c r="TD40" s="18"/>
      <c r="TE40" s="18"/>
      <c r="TF40" s="18"/>
      <c r="TG40" s="18"/>
      <c r="TH40" s="18"/>
      <c r="TI40" s="18"/>
      <c r="TJ40" s="18"/>
      <c r="TK40" s="18"/>
      <c r="TL40" s="18"/>
      <c r="TM40" s="18"/>
      <c r="TN40" s="18"/>
      <c r="TO40" s="18"/>
      <c r="TP40" s="18"/>
      <c r="TQ40" s="18"/>
      <c r="TR40" s="18"/>
      <c r="TS40" s="18"/>
      <c r="TT40" s="18"/>
      <c r="TU40" s="18"/>
      <c r="TV40" s="18"/>
      <c r="TW40" s="18"/>
      <c r="TX40" s="18"/>
      <c r="TY40" s="18"/>
      <c r="TZ40" s="18"/>
      <c r="UA40" s="18"/>
      <c r="UB40" s="18"/>
      <c r="UC40" s="18"/>
      <c r="UD40" s="18"/>
      <c r="UE40" s="18"/>
      <c r="UF40" s="18"/>
      <c r="UG40" s="18"/>
      <c r="UH40" s="18"/>
      <c r="UI40" s="18"/>
      <c r="UJ40" s="18"/>
      <c r="UK40" s="18"/>
      <c r="UL40" s="18"/>
      <c r="UM40" s="18"/>
      <c r="UN40" s="18"/>
      <c r="UO40" s="18"/>
      <c r="UP40" s="18"/>
      <c r="UQ40" s="18"/>
      <c r="UR40" s="18"/>
      <c r="US40" s="18"/>
      <c r="UT40" s="18"/>
      <c r="UU40" s="18"/>
      <c r="UV40" s="18"/>
      <c r="UW40" s="18"/>
      <c r="UX40" s="18"/>
      <c r="UY40" s="18"/>
      <c r="UZ40" s="18"/>
      <c r="VA40" s="18"/>
      <c r="VB40" s="18"/>
      <c r="VC40" s="18"/>
      <c r="VD40" s="18"/>
      <c r="VE40" s="18"/>
      <c r="VF40" s="18"/>
      <c r="VG40" s="18"/>
      <c r="VH40" s="18"/>
      <c r="VI40" s="18"/>
      <c r="VJ40" s="18"/>
      <c r="VK40" s="18"/>
      <c r="VL40" s="18"/>
      <c r="VM40" s="18"/>
      <c r="VN40" s="18"/>
      <c r="VO40" s="18"/>
      <c r="VP40" s="18"/>
      <c r="VQ40" s="18"/>
      <c r="VR40" s="18"/>
      <c r="VS40" s="18"/>
      <c r="VT40" s="18"/>
      <c r="VU40" s="18"/>
      <c r="VV40" s="18"/>
      <c r="VW40" s="18"/>
      <c r="VX40" s="18"/>
      <c r="VY40" s="18"/>
      <c r="VZ40" s="18"/>
      <c r="WA40" s="18"/>
      <c r="WB40" s="18"/>
      <c r="WC40" s="18"/>
      <c r="WD40" s="18"/>
      <c r="WE40" s="18"/>
      <c r="WF40" s="18"/>
      <c r="WG40" s="18"/>
      <c r="WH40" s="18"/>
      <c r="WI40" s="18"/>
      <c r="WJ40" s="18"/>
      <c r="WK40" s="18"/>
      <c r="WL40" s="18"/>
      <c r="WM40" s="18"/>
      <c r="WN40" s="18"/>
      <c r="WO40" s="18"/>
      <c r="WP40" s="18"/>
      <c r="WQ40" s="18"/>
      <c r="WR40" s="18"/>
      <c r="WS40" s="18"/>
      <c r="WT40" s="18"/>
      <c r="WU40" s="18"/>
      <c r="WV40" s="18"/>
      <c r="WW40" s="18"/>
      <c r="WX40" s="18"/>
      <c r="WY40" s="18"/>
      <c r="WZ40" s="18"/>
      <c r="XA40" s="18"/>
      <c r="XB40" s="18"/>
      <c r="XC40" s="18"/>
      <c r="XD40" s="18"/>
      <c r="XE40" s="18"/>
      <c r="XF40" s="18"/>
      <c r="XG40" s="18"/>
      <c r="XH40" s="18"/>
      <c r="XI40" s="18"/>
      <c r="XJ40" s="18"/>
      <c r="XK40" s="18"/>
      <c r="XL40" s="18"/>
      <c r="XM40" s="18"/>
      <c r="XN40" s="18"/>
      <c r="XO40" s="18"/>
      <c r="XP40" s="18"/>
      <c r="XQ40" s="18"/>
      <c r="XR40" s="18"/>
      <c r="XS40" s="18"/>
      <c r="XT40" s="18"/>
      <c r="XU40" s="18"/>
      <c r="XV40" s="18"/>
      <c r="XW40" s="18"/>
      <c r="XX40" s="18"/>
      <c r="XY40" s="18"/>
      <c r="XZ40" s="18"/>
      <c r="YA40" s="18"/>
      <c r="YB40" s="18"/>
      <c r="YC40" s="18"/>
      <c r="YD40" s="18"/>
      <c r="YE40" s="18"/>
      <c r="YF40" s="18"/>
      <c r="YG40" s="18"/>
      <c r="YH40" s="18"/>
      <c r="YI40" s="18"/>
      <c r="YJ40" s="18"/>
      <c r="YK40" s="18"/>
      <c r="YL40" s="18"/>
      <c r="YM40" s="18"/>
      <c r="YN40" s="18"/>
      <c r="YO40" s="18"/>
      <c r="YP40" s="18"/>
      <c r="YQ40" s="18"/>
      <c r="YR40" s="18"/>
      <c r="YS40" s="18"/>
      <c r="YT40" s="18"/>
      <c r="YU40" s="18"/>
      <c r="YV40" s="18"/>
      <c r="YW40" s="18"/>
      <c r="YX40" s="18"/>
      <c r="YY40" s="18"/>
      <c r="YZ40" s="18"/>
      <c r="ZA40" s="18"/>
      <c r="ZB40" s="18"/>
      <c r="ZC40" s="18"/>
      <c r="ZD40" s="18"/>
      <c r="ZE40" s="18"/>
      <c r="ZF40" s="18"/>
      <c r="ZG40" s="18"/>
      <c r="ZH40" s="18"/>
      <c r="ZI40" s="18"/>
      <c r="ZJ40" s="18"/>
      <c r="ZK40" s="18"/>
      <c r="ZL40" s="18"/>
      <c r="ZM40" s="18"/>
      <c r="ZN40" s="18"/>
      <c r="ZO40" s="18"/>
      <c r="ZP40" s="18"/>
      <c r="ZQ40" s="18"/>
      <c r="ZR40" s="18"/>
      <c r="ZS40" s="18"/>
      <c r="ZT40" s="18"/>
      <c r="ZU40" s="18"/>
      <c r="ZV40" s="18"/>
      <c r="ZW40" s="18"/>
      <c r="ZX40" s="18"/>
      <c r="ZY40" s="18"/>
      <c r="ZZ40" s="18"/>
      <c r="AAA40" s="18"/>
      <c r="AAB40" s="18"/>
      <c r="AAC40" s="18"/>
      <c r="AAD40" s="18"/>
      <c r="AAE40" s="18"/>
      <c r="AAF40" s="18"/>
      <c r="AAG40" s="18"/>
      <c r="AAH40" s="18"/>
      <c r="AAI40" s="18"/>
      <c r="AAJ40" s="18"/>
      <c r="AAK40" s="18"/>
      <c r="AAL40" s="18"/>
      <c r="AAM40" s="18"/>
      <c r="AAN40" s="18"/>
      <c r="AAO40" s="18"/>
      <c r="AAP40" s="18"/>
      <c r="AAQ40" s="18"/>
      <c r="AAR40" s="18"/>
      <c r="AAS40" s="18"/>
      <c r="AAT40" s="18"/>
      <c r="AAU40" s="18"/>
      <c r="AAV40" s="18"/>
      <c r="AAW40" s="18"/>
      <c r="AAX40" s="18"/>
      <c r="AAY40" s="18"/>
      <c r="AAZ40" s="18"/>
      <c r="ABA40" s="18"/>
      <c r="ABB40" s="18"/>
      <c r="ABC40" s="18"/>
      <c r="ABD40" s="18"/>
      <c r="ABE40" s="18"/>
      <c r="ABF40" s="18"/>
      <c r="ABG40" s="18"/>
      <c r="ABH40" s="18"/>
      <c r="ABI40" s="18"/>
      <c r="ABJ40" s="18"/>
      <c r="ABK40" s="18"/>
      <c r="ABL40" s="18"/>
      <c r="ABM40" s="18"/>
      <c r="ABN40" s="18"/>
      <c r="ABO40" s="18"/>
      <c r="ABP40" s="18"/>
      <c r="ABQ40" s="18"/>
      <c r="ABR40" s="18"/>
      <c r="ABS40" s="18"/>
      <c r="ABT40" s="18"/>
      <c r="ABU40" s="18"/>
      <c r="ABV40" s="18"/>
      <c r="ABW40" s="18"/>
      <c r="ABX40" s="18"/>
      <c r="ABY40" s="18"/>
      <c r="ABZ40" s="18"/>
      <c r="ACA40" s="18"/>
      <c r="ACB40" s="18"/>
      <c r="ACC40" s="18"/>
      <c r="ACD40" s="18"/>
      <c r="ACE40" s="18"/>
      <c r="ACF40" s="18"/>
      <c r="ACG40" s="18"/>
      <c r="ACH40" s="18"/>
      <c r="ACI40" s="18"/>
      <c r="ACJ40" s="18"/>
      <c r="ACK40" s="18"/>
      <c r="ACL40" s="18"/>
      <c r="ACM40" s="18"/>
      <c r="ACN40" s="18"/>
      <c r="ACO40" s="18"/>
      <c r="ACP40" s="18"/>
      <c r="ACQ40" s="18"/>
      <c r="ACR40" s="18"/>
      <c r="ACS40" s="18"/>
      <c r="ACT40" s="18"/>
      <c r="ACU40" s="18"/>
      <c r="ACV40" s="18"/>
      <c r="ACW40" s="18"/>
      <c r="ACX40" s="18"/>
      <c r="ACY40" s="18"/>
      <c r="ACZ40" s="18"/>
      <c r="ADA40" s="18"/>
      <c r="ADB40" s="18"/>
      <c r="ADC40" s="18"/>
      <c r="ADD40" s="18"/>
      <c r="ADE40" s="18"/>
      <c r="ADF40" s="18"/>
      <c r="ADG40" s="18"/>
      <c r="ADH40" s="18"/>
      <c r="ADI40" s="18"/>
      <c r="ADJ40" s="18"/>
      <c r="ADK40" s="18"/>
      <c r="ADL40" s="18"/>
      <c r="ADM40" s="18"/>
      <c r="ADN40" s="18"/>
      <c r="ADO40" s="18"/>
      <c r="ADP40" s="18"/>
      <c r="ADQ40" s="18"/>
      <c r="ADR40" s="18"/>
      <c r="ADS40" s="18"/>
      <c r="ADT40" s="18"/>
      <c r="ADU40" s="18"/>
      <c r="ADV40" s="18"/>
      <c r="ADW40" s="18"/>
      <c r="ADX40" s="18"/>
      <c r="ADY40" s="18"/>
      <c r="ADZ40" s="18"/>
      <c r="AEA40" s="18"/>
      <c r="AEB40" s="18"/>
      <c r="AEC40" s="18"/>
      <c r="AED40" s="18"/>
      <c r="AEE40" s="18"/>
      <c r="AEF40" s="18"/>
      <c r="AEG40" s="18"/>
      <c r="AEH40" s="18"/>
      <c r="AEI40" s="18"/>
      <c r="AEJ40" s="18"/>
      <c r="AEK40" s="18"/>
      <c r="AEL40" s="18"/>
      <c r="AEM40" s="18"/>
      <c r="AEN40" s="18"/>
      <c r="AEO40" s="18"/>
      <c r="AEP40" s="18"/>
      <c r="AEQ40" s="18"/>
      <c r="AER40" s="18"/>
      <c r="AES40" s="18"/>
      <c r="AET40" s="18"/>
      <c r="AEU40" s="18"/>
      <c r="AEV40" s="18"/>
      <c r="AEW40" s="18"/>
      <c r="AEX40" s="18"/>
      <c r="AEY40" s="18"/>
      <c r="AEZ40" s="18"/>
      <c r="AFA40" s="18"/>
      <c r="AFB40" s="18"/>
      <c r="AFC40" s="18"/>
      <c r="AFD40" s="18"/>
      <c r="AFE40" s="18"/>
      <c r="AFF40" s="18"/>
      <c r="AFG40" s="18"/>
      <c r="AFH40" s="18"/>
      <c r="AFI40" s="18"/>
      <c r="AFJ40" s="18"/>
      <c r="AFK40" s="18"/>
      <c r="AFL40" s="18"/>
      <c r="AFM40" s="18"/>
      <c r="AFN40" s="18"/>
      <c r="AFO40" s="18"/>
      <c r="AFP40" s="18"/>
      <c r="AFQ40" s="18"/>
      <c r="AFR40" s="18"/>
      <c r="AFS40" s="18"/>
      <c r="AFT40" s="18"/>
      <c r="AFU40" s="18"/>
      <c r="AFV40" s="18"/>
      <c r="AFW40" s="18"/>
      <c r="AFX40" s="18"/>
      <c r="AFY40" s="18"/>
      <c r="AFZ40" s="18"/>
      <c r="AGA40" s="18"/>
      <c r="AGB40" s="18"/>
      <c r="AGC40" s="18"/>
      <c r="AGD40" s="18"/>
      <c r="AGE40" s="18"/>
      <c r="AGF40" s="18"/>
      <c r="AGG40" s="18"/>
      <c r="AGH40" s="18"/>
      <c r="AGI40" s="18"/>
      <c r="AGJ40" s="18"/>
      <c r="AGK40" s="18"/>
      <c r="AGL40" s="18"/>
      <c r="AGM40" s="18"/>
      <c r="AGN40" s="18"/>
      <c r="AGO40" s="18"/>
      <c r="AGP40" s="18"/>
      <c r="AGQ40" s="18"/>
      <c r="AGR40" s="18"/>
      <c r="AGS40" s="18"/>
      <c r="AGT40" s="18"/>
      <c r="AGU40" s="18"/>
      <c r="AGV40" s="18"/>
      <c r="AGW40" s="18"/>
      <c r="AGX40" s="18"/>
      <c r="AGY40" s="18"/>
      <c r="AGZ40" s="18"/>
      <c r="AHA40" s="18"/>
      <c r="AHB40" s="18"/>
      <c r="AHC40" s="18"/>
      <c r="AHD40" s="18"/>
      <c r="AHE40" s="18"/>
      <c r="AHF40" s="18"/>
      <c r="AHG40" s="18"/>
      <c r="AHH40" s="18"/>
      <c r="AHI40" s="18"/>
      <c r="AHJ40" s="18"/>
      <c r="AHK40" s="18"/>
      <c r="AHL40" s="18"/>
      <c r="AHM40" s="18"/>
      <c r="AHN40" s="18"/>
      <c r="AHO40" s="18"/>
      <c r="AHP40" s="18"/>
      <c r="AHQ40" s="18"/>
      <c r="AHR40" s="18"/>
      <c r="AHS40" s="18"/>
      <c r="AHT40" s="18"/>
      <c r="AHU40" s="18"/>
      <c r="AHV40" s="18"/>
      <c r="AHW40" s="18"/>
      <c r="AHX40" s="18"/>
      <c r="AHY40" s="18"/>
      <c r="AHZ40" s="18"/>
      <c r="AIA40" s="18"/>
      <c r="AIB40" s="18"/>
      <c r="AIC40" s="18"/>
      <c r="AID40" s="18"/>
      <c r="AIE40" s="18"/>
      <c r="AIF40" s="18"/>
      <c r="AIG40" s="18"/>
      <c r="AIH40" s="18"/>
      <c r="AII40" s="18"/>
      <c r="AIJ40" s="18"/>
      <c r="AIK40" s="18"/>
      <c r="AIL40" s="18"/>
      <c r="AIM40" s="18"/>
      <c r="AIN40" s="18"/>
      <c r="AIO40" s="18"/>
      <c r="AIP40" s="18"/>
      <c r="AIQ40" s="18"/>
      <c r="AIR40" s="18"/>
      <c r="AIS40" s="18"/>
      <c r="AIT40" s="18"/>
      <c r="AIU40" s="18"/>
      <c r="AIV40" s="18"/>
      <c r="AIW40" s="18"/>
      <c r="AIX40" s="18"/>
      <c r="AIY40" s="18"/>
      <c r="AIZ40" s="18"/>
      <c r="AJA40" s="18"/>
      <c r="AJB40" s="18"/>
      <c r="AJC40" s="18"/>
      <c r="AJD40" s="18"/>
      <c r="AJE40" s="18"/>
      <c r="AJF40" s="18"/>
      <c r="AJG40" s="18"/>
      <c r="AJH40" s="18"/>
      <c r="AJI40" s="18"/>
      <c r="AJJ40" s="18"/>
      <c r="AJK40" s="18"/>
      <c r="AJL40" s="18"/>
      <c r="AJM40" s="18"/>
      <c r="AJN40" s="18"/>
      <c r="AJO40" s="18"/>
      <c r="AJP40" s="18"/>
      <c r="AJQ40" s="18"/>
      <c r="AJR40" s="18"/>
      <c r="AJS40" s="18"/>
      <c r="AJT40" s="18"/>
      <c r="AJU40" s="18"/>
      <c r="AJV40" s="18"/>
      <c r="AJW40" s="18"/>
      <c r="AJX40" s="18"/>
      <c r="AJY40" s="18"/>
      <c r="AJZ40" s="18"/>
      <c r="AKA40" s="18"/>
      <c r="AKB40" s="18"/>
      <c r="AKC40" s="18"/>
      <c r="AKD40" s="18"/>
      <c r="AKE40" s="18"/>
      <c r="AKF40" s="18"/>
      <c r="AKG40" s="18"/>
      <c r="AKH40" s="18"/>
      <c r="AKI40" s="18"/>
      <c r="AKJ40" s="18"/>
      <c r="AKK40" s="18"/>
      <c r="AKL40" s="18"/>
      <c r="AKM40" s="18"/>
      <c r="AKN40" s="18"/>
      <c r="AKO40" s="18"/>
      <c r="AKP40" s="18"/>
      <c r="AKQ40" s="18"/>
      <c r="AKR40" s="18"/>
      <c r="AKS40" s="18"/>
      <c r="AKT40" s="18"/>
      <c r="AKU40" s="18"/>
      <c r="AKV40" s="18"/>
      <c r="AKW40" s="18"/>
      <c r="AKX40" s="18"/>
      <c r="AKY40" s="18"/>
      <c r="AKZ40" s="18"/>
      <c r="ALA40" s="18"/>
      <c r="ALB40" s="18"/>
      <c r="ALC40" s="18"/>
      <c r="ALD40" s="18"/>
      <c r="ALE40" s="18"/>
      <c r="ALF40" s="18"/>
      <c r="ALG40" s="18"/>
      <c r="ALH40" s="18"/>
      <c r="ALI40" s="18"/>
      <c r="ALJ40" s="18"/>
      <c r="ALK40" s="18"/>
      <c r="ALL40" s="18"/>
      <c r="ALM40" s="18"/>
      <c r="ALN40" s="18"/>
      <c r="ALO40" s="18"/>
      <c r="ALP40" s="18"/>
      <c r="ALQ40" s="18"/>
      <c r="ALR40" s="18"/>
      <c r="ALS40" s="18"/>
      <c r="ALT40" s="18"/>
      <c r="ALU40" s="18"/>
      <c r="ALV40" s="18"/>
      <c r="ALW40" s="18"/>
      <c r="ALX40" s="18"/>
      <c r="ALY40" s="18"/>
      <c r="ALZ40" s="18"/>
      <c r="AMA40" s="18"/>
      <c r="AMB40" s="18"/>
      <c r="AMC40" s="18"/>
      <c r="AMD40" s="18"/>
      <c r="AME40" s="18"/>
      <c r="AMF40" s="18"/>
      <c r="AMG40" s="18"/>
      <c r="AMH40" s="18"/>
    </row>
    <row r="41" spans="1:1022" s="23" customFormat="1" x14ac:dyDescent="0.3">
      <c r="A41" s="33">
        <v>137</v>
      </c>
      <c r="B41" s="19"/>
      <c r="C41" s="19"/>
      <c r="D41" s="57" t="s">
        <v>312</v>
      </c>
      <c r="E41" s="34" t="s">
        <v>463</v>
      </c>
      <c r="F41" s="39"/>
      <c r="G41" s="39"/>
      <c r="H41" s="38" t="s">
        <v>281</v>
      </c>
      <c r="I41" s="40"/>
      <c r="J41" s="40"/>
      <c r="K41" s="31"/>
      <c r="L41" s="40"/>
      <c r="M41" s="41"/>
      <c r="N41" s="32"/>
      <c r="O41" s="18"/>
      <c r="P41" s="36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8"/>
      <c r="FW41" s="18"/>
      <c r="FX41" s="18"/>
      <c r="FY41" s="18"/>
      <c r="FZ41" s="18"/>
      <c r="GA41" s="18"/>
      <c r="GB41" s="18"/>
      <c r="GC41" s="18"/>
      <c r="GD41" s="18"/>
      <c r="GE41" s="18"/>
      <c r="GF41" s="18"/>
      <c r="GG41" s="18"/>
      <c r="GH41" s="18"/>
      <c r="GI41" s="18"/>
      <c r="GJ41" s="18"/>
      <c r="GK41" s="18"/>
      <c r="GL41" s="18"/>
      <c r="GM41" s="18"/>
      <c r="GN41" s="18"/>
      <c r="GO41" s="18"/>
      <c r="GP41" s="18"/>
      <c r="GQ41" s="18"/>
      <c r="GR41" s="18"/>
      <c r="GS41" s="18"/>
      <c r="GT41" s="18"/>
      <c r="GU41" s="18"/>
      <c r="GV41" s="18"/>
      <c r="GW41" s="18"/>
      <c r="GX41" s="18"/>
      <c r="GY41" s="18"/>
      <c r="GZ41" s="18"/>
      <c r="HA41" s="18"/>
      <c r="HB41" s="18"/>
      <c r="HC41" s="18"/>
      <c r="HD41" s="18"/>
      <c r="HE41" s="18"/>
      <c r="HF41" s="18"/>
      <c r="HG41" s="18"/>
      <c r="HH41" s="18"/>
      <c r="HI41" s="18"/>
      <c r="HJ41" s="18"/>
      <c r="HK41" s="18"/>
      <c r="HL41" s="18"/>
      <c r="HM41" s="18"/>
      <c r="HN41" s="18"/>
      <c r="HO41" s="18"/>
      <c r="HP41" s="18"/>
      <c r="HQ41" s="18"/>
      <c r="HR41" s="18"/>
      <c r="HS41" s="18"/>
      <c r="HT41" s="18"/>
      <c r="HU41" s="18"/>
      <c r="HV41" s="18"/>
      <c r="HW41" s="18"/>
      <c r="HX41" s="18"/>
      <c r="HY41" s="18"/>
      <c r="HZ41" s="18"/>
      <c r="IA41" s="18"/>
      <c r="IB41" s="18"/>
      <c r="IC41" s="18"/>
      <c r="ID41" s="18"/>
      <c r="IE41" s="18"/>
      <c r="IF41" s="18"/>
      <c r="IG41" s="18"/>
      <c r="IH41" s="18"/>
      <c r="II41" s="18"/>
      <c r="IJ41" s="18"/>
      <c r="IK41" s="18"/>
      <c r="IL41" s="18"/>
      <c r="IM41" s="18"/>
      <c r="IN41" s="18"/>
      <c r="IO41" s="18"/>
      <c r="IP41" s="18"/>
      <c r="IQ41" s="18"/>
      <c r="IR41" s="18"/>
      <c r="IS41" s="18"/>
      <c r="IT41" s="18"/>
      <c r="IU41" s="18"/>
      <c r="IV41" s="18"/>
      <c r="IW41" s="18"/>
      <c r="IX41" s="18"/>
      <c r="IY41" s="18"/>
      <c r="IZ41" s="18"/>
      <c r="JA41" s="18"/>
      <c r="JB41" s="18"/>
      <c r="JC41" s="18"/>
      <c r="JD41" s="18"/>
      <c r="JE41" s="18"/>
      <c r="JF41" s="18"/>
      <c r="JG41" s="18"/>
      <c r="JH41" s="18"/>
      <c r="JI41" s="18"/>
      <c r="JJ41" s="18"/>
      <c r="JK41" s="18"/>
      <c r="JL41" s="18"/>
      <c r="JM41" s="18"/>
      <c r="JN41" s="18"/>
      <c r="JO41" s="18"/>
      <c r="JP41" s="18"/>
      <c r="JQ41" s="18"/>
      <c r="JR41" s="18"/>
      <c r="JS41" s="18"/>
      <c r="JT41" s="18"/>
      <c r="JU41" s="18"/>
      <c r="JV41" s="18"/>
      <c r="JW41" s="18"/>
      <c r="JX41" s="18"/>
      <c r="JY41" s="18"/>
      <c r="JZ41" s="18"/>
      <c r="KA41" s="18"/>
      <c r="KB41" s="18"/>
      <c r="KC41" s="18"/>
      <c r="KD41" s="18"/>
      <c r="KE41" s="18"/>
      <c r="KF41" s="18"/>
      <c r="KG41" s="18"/>
      <c r="KH41" s="18"/>
      <c r="KI41" s="18"/>
      <c r="KJ41" s="18"/>
      <c r="KK41" s="18"/>
      <c r="KL41" s="18"/>
      <c r="KM41" s="18"/>
      <c r="KN41" s="18"/>
      <c r="KO41" s="18"/>
      <c r="KP41" s="18"/>
      <c r="KQ41" s="18"/>
      <c r="KR41" s="18"/>
      <c r="KS41" s="18"/>
      <c r="KT41" s="18"/>
      <c r="KU41" s="18"/>
      <c r="KV41" s="18"/>
      <c r="KW41" s="18"/>
      <c r="KX41" s="18"/>
      <c r="KY41" s="18"/>
      <c r="KZ41" s="18"/>
      <c r="LA41" s="18"/>
      <c r="LB41" s="18"/>
      <c r="LC41" s="18"/>
      <c r="LD41" s="18"/>
      <c r="LE41" s="18"/>
      <c r="LF41" s="18"/>
      <c r="LG41" s="18"/>
      <c r="LH41" s="18"/>
      <c r="LI41" s="18"/>
      <c r="LJ41" s="18"/>
      <c r="LK41" s="18"/>
      <c r="LL41" s="18"/>
      <c r="LM41" s="18"/>
      <c r="LN41" s="18"/>
      <c r="LO41" s="18"/>
      <c r="LP41" s="18"/>
      <c r="LQ41" s="18"/>
      <c r="LR41" s="18"/>
      <c r="LS41" s="18"/>
      <c r="LT41" s="18"/>
      <c r="LU41" s="18"/>
      <c r="LV41" s="18"/>
      <c r="LW41" s="18"/>
      <c r="LX41" s="18"/>
      <c r="LY41" s="18"/>
      <c r="LZ41" s="18"/>
      <c r="MA41" s="18"/>
      <c r="MB41" s="18"/>
      <c r="MC41" s="18"/>
      <c r="MD41" s="18"/>
      <c r="ME41" s="18"/>
      <c r="MF41" s="18"/>
      <c r="MG41" s="18"/>
      <c r="MH41" s="18"/>
      <c r="MI41" s="18"/>
      <c r="MJ41" s="18"/>
      <c r="MK41" s="18"/>
      <c r="ML41" s="18"/>
      <c r="MM41" s="18"/>
      <c r="MN41" s="18"/>
      <c r="MO41" s="18"/>
      <c r="MP41" s="18"/>
      <c r="MQ41" s="18"/>
      <c r="MR41" s="18"/>
      <c r="MS41" s="18"/>
      <c r="MT41" s="18"/>
      <c r="MU41" s="18"/>
      <c r="MV41" s="18"/>
      <c r="MW41" s="18"/>
      <c r="MX41" s="18"/>
      <c r="MY41" s="18"/>
      <c r="MZ41" s="18"/>
      <c r="NA41" s="18"/>
      <c r="NB41" s="18"/>
      <c r="NC41" s="18"/>
      <c r="ND41" s="18"/>
      <c r="NE41" s="18"/>
      <c r="NF41" s="18"/>
      <c r="NG41" s="18"/>
      <c r="NH41" s="18"/>
      <c r="NI41" s="18"/>
      <c r="NJ41" s="18"/>
      <c r="NK41" s="18"/>
      <c r="NL41" s="18"/>
      <c r="NM41" s="18"/>
      <c r="NN41" s="18"/>
      <c r="NO41" s="18"/>
      <c r="NP41" s="18"/>
      <c r="NQ41" s="18"/>
      <c r="NR41" s="18"/>
      <c r="NS41" s="18"/>
      <c r="NT41" s="18"/>
      <c r="NU41" s="18"/>
      <c r="NV41" s="18"/>
      <c r="NW41" s="18"/>
      <c r="NX41" s="18"/>
      <c r="NY41" s="18"/>
      <c r="NZ41" s="18"/>
      <c r="OA41" s="18"/>
      <c r="OB41" s="18"/>
      <c r="OC41" s="18"/>
      <c r="OD41" s="18"/>
      <c r="OE41" s="18"/>
      <c r="OF41" s="18"/>
      <c r="OG41" s="18"/>
      <c r="OH41" s="18"/>
      <c r="OI41" s="18"/>
      <c r="OJ41" s="18"/>
      <c r="OK41" s="18"/>
      <c r="OL41" s="18"/>
      <c r="OM41" s="18"/>
      <c r="ON41" s="18"/>
      <c r="OO41" s="18"/>
      <c r="OP41" s="18"/>
      <c r="OQ41" s="18"/>
      <c r="OR41" s="18"/>
      <c r="OS41" s="18"/>
      <c r="OT41" s="18"/>
      <c r="OU41" s="18"/>
      <c r="OV41" s="18"/>
      <c r="OW41" s="18"/>
      <c r="OX41" s="18"/>
      <c r="OY41" s="18"/>
      <c r="OZ41" s="18"/>
      <c r="PA41" s="18"/>
      <c r="PB41" s="18"/>
      <c r="PC41" s="18"/>
      <c r="PD41" s="18"/>
      <c r="PE41" s="18"/>
      <c r="PF41" s="18"/>
      <c r="PG41" s="18"/>
      <c r="PH41" s="18"/>
      <c r="PI41" s="18"/>
      <c r="PJ41" s="18"/>
      <c r="PK41" s="18"/>
      <c r="PL41" s="18"/>
      <c r="PM41" s="18"/>
      <c r="PN41" s="18"/>
      <c r="PO41" s="18"/>
      <c r="PP41" s="18"/>
      <c r="PQ41" s="18"/>
      <c r="PR41" s="18"/>
      <c r="PS41" s="18"/>
      <c r="PT41" s="18"/>
      <c r="PU41" s="18"/>
      <c r="PV41" s="18"/>
      <c r="PW41" s="18"/>
      <c r="PX41" s="18"/>
      <c r="PY41" s="18"/>
      <c r="PZ41" s="18"/>
      <c r="QA41" s="18"/>
      <c r="QB41" s="18"/>
      <c r="QC41" s="18"/>
      <c r="QD41" s="18"/>
      <c r="QE41" s="18"/>
      <c r="QF41" s="18"/>
      <c r="QG41" s="18"/>
      <c r="QH41" s="18"/>
      <c r="QI41" s="18"/>
      <c r="QJ41" s="18"/>
      <c r="QK41" s="18"/>
      <c r="QL41" s="18"/>
      <c r="QM41" s="18"/>
      <c r="QN41" s="18"/>
      <c r="QO41" s="18"/>
      <c r="QP41" s="18"/>
      <c r="QQ41" s="18"/>
      <c r="QR41" s="18"/>
      <c r="QS41" s="18"/>
      <c r="QT41" s="18"/>
      <c r="QU41" s="18"/>
      <c r="QV41" s="18"/>
      <c r="QW41" s="18"/>
      <c r="QX41" s="18"/>
      <c r="QY41" s="18"/>
      <c r="QZ41" s="18"/>
      <c r="RA41" s="18"/>
      <c r="RB41" s="18"/>
      <c r="RC41" s="18"/>
      <c r="RD41" s="18"/>
      <c r="RE41" s="18"/>
      <c r="RF41" s="18"/>
      <c r="RG41" s="18"/>
      <c r="RH41" s="18"/>
      <c r="RI41" s="18"/>
      <c r="RJ41" s="18"/>
      <c r="RK41" s="18"/>
      <c r="RL41" s="18"/>
      <c r="RM41" s="18"/>
      <c r="RN41" s="18"/>
      <c r="RO41" s="18"/>
      <c r="RP41" s="18"/>
      <c r="RQ41" s="18"/>
      <c r="RR41" s="18"/>
      <c r="RS41" s="18"/>
      <c r="RT41" s="18"/>
      <c r="RU41" s="18"/>
      <c r="RV41" s="18"/>
      <c r="RW41" s="18"/>
      <c r="RX41" s="18"/>
      <c r="RY41" s="18"/>
      <c r="RZ41" s="18"/>
      <c r="SA41" s="18"/>
      <c r="SB41" s="18"/>
      <c r="SC41" s="18"/>
      <c r="SD41" s="18"/>
      <c r="SE41" s="18"/>
      <c r="SF41" s="18"/>
      <c r="SG41" s="18"/>
      <c r="SH41" s="18"/>
      <c r="SI41" s="18"/>
      <c r="SJ41" s="18"/>
      <c r="SK41" s="18"/>
      <c r="SL41" s="18"/>
      <c r="SM41" s="18"/>
      <c r="SN41" s="18"/>
      <c r="SO41" s="18"/>
      <c r="SP41" s="18"/>
      <c r="SQ41" s="18"/>
      <c r="SR41" s="18"/>
      <c r="SS41" s="18"/>
      <c r="ST41" s="18"/>
      <c r="SU41" s="18"/>
      <c r="SV41" s="18"/>
      <c r="SW41" s="18"/>
      <c r="SX41" s="18"/>
      <c r="SY41" s="18"/>
      <c r="SZ41" s="18"/>
      <c r="TA41" s="18"/>
      <c r="TB41" s="18"/>
      <c r="TC41" s="18"/>
      <c r="TD41" s="18"/>
      <c r="TE41" s="18"/>
      <c r="TF41" s="18"/>
      <c r="TG41" s="18"/>
      <c r="TH41" s="18"/>
      <c r="TI41" s="18"/>
      <c r="TJ41" s="18"/>
      <c r="TK41" s="18"/>
      <c r="TL41" s="18"/>
      <c r="TM41" s="18"/>
      <c r="TN41" s="18"/>
      <c r="TO41" s="18"/>
      <c r="TP41" s="18"/>
      <c r="TQ41" s="18"/>
      <c r="TR41" s="18"/>
      <c r="TS41" s="18"/>
      <c r="TT41" s="18"/>
      <c r="TU41" s="18"/>
      <c r="TV41" s="18"/>
      <c r="TW41" s="18"/>
      <c r="TX41" s="18"/>
      <c r="TY41" s="18"/>
      <c r="TZ41" s="18"/>
      <c r="UA41" s="18"/>
      <c r="UB41" s="18"/>
      <c r="UC41" s="18"/>
      <c r="UD41" s="18"/>
      <c r="UE41" s="18"/>
      <c r="UF41" s="18"/>
      <c r="UG41" s="18"/>
      <c r="UH41" s="18"/>
      <c r="UI41" s="18"/>
      <c r="UJ41" s="18"/>
      <c r="UK41" s="18"/>
      <c r="UL41" s="18"/>
      <c r="UM41" s="18"/>
      <c r="UN41" s="18"/>
      <c r="UO41" s="18"/>
      <c r="UP41" s="18"/>
      <c r="UQ41" s="18"/>
      <c r="UR41" s="18"/>
      <c r="US41" s="18"/>
      <c r="UT41" s="18"/>
      <c r="UU41" s="18"/>
      <c r="UV41" s="18"/>
      <c r="UW41" s="18"/>
      <c r="UX41" s="18"/>
      <c r="UY41" s="18"/>
      <c r="UZ41" s="18"/>
      <c r="VA41" s="18"/>
      <c r="VB41" s="18"/>
      <c r="VC41" s="18"/>
      <c r="VD41" s="18"/>
      <c r="VE41" s="18"/>
      <c r="VF41" s="18"/>
      <c r="VG41" s="18"/>
      <c r="VH41" s="18"/>
      <c r="VI41" s="18"/>
      <c r="VJ41" s="18"/>
      <c r="VK41" s="18"/>
      <c r="VL41" s="18"/>
      <c r="VM41" s="18"/>
      <c r="VN41" s="18"/>
      <c r="VO41" s="18"/>
      <c r="VP41" s="18"/>
      <c r="VQ41" s="18"/>
      <c r="VR41" s="18"/>
      <c r="VS41" s="18"/>
      <c r="VT41" s="18"/>
      <c r="VU41" s="18"/>
      <c r="VV41" s="18"/>
      <c r="VW41" s="18"/>
      <c r="VX41" s="18"/>
      <c r="VY41" s="18"/>
      <c r="VZ41" s="18"/>
      <c r="WA41" s="18"/>
      <c r="WB41" s="18"/>
      <c r="WC41" s="18"/>
      <c r="WD41" s="18"/>
      <c r="WE41" s="18"/>
      <c r="WF41" s="18"/>
      <c r="WG41" s="18"/>
      <c r="WH41" s="18"/>
      <c r="WI41" s="18"/>
      <c r="WJ41" s="18"/>
      <c r="WK41" s="18"/>
      <c r="WL41" s="18"/>
      <c r="WM41" s="18"/>
      <c r="WN41" s="18"/>
      <c r="WO41" s="18"/>
      <c r="WP41" s="18"/>
      <c r="WQ41" s="18"/>
      <c r="WR41" s="18"/>
      <c r="WS41" s="18"/>
      <c r="WT41" s="18"/>
      <c r="WU41" s="18"/>
      <c r="WV41" s="18"/>
      <c r="WW41" s="18"/>
      <c r="WX41" s="18"/>
      <c r="WY41" s="18"/>
      <c r="WZ41" s="18"/>
      <c r="XA41" s="18"/>
      <c r="XB41" s="18"/>
      <c r="XC41" s="18"/>
      <c r="XD41" s="18"/>
      <c r="XE41" s="18"/>
      <c r="XF41" s="18"/>
      <c r="XG41" s="18"/>
      <c r="XH41" s="18"/>
      <c r="XI41" s="18"/>
      <c r="XJ41" s="18"/>
      <c r="XK41" s="18"/>
      <c r="XL41" s="18"/>
      <c r="XM41" s="18"/>
      <c r="XN41" s="18"/>
      <c r="XO41" s="18"/>
      <c r="XP41" s="18"/>
      <c r="XQ41" s="18"/>
      <c r="XR41" s="18"/>
      <c r="XS41" s="18"/>
      <c r="XT41" s="18"/>
      <c r="XU41" s="18"/>
      <c r="XV41" s="18"/>
      <c r="XW41" s="18"/>
      <c r="XX41" s="18"/>
      <c r="XY41" s="18"/>
      <c r="XZ41" s="18"/>
      <c r="YA41" s="18"/>
      <c r="YB41" s="18"/>
      <c r="YC41" s="18"/>
      <c r="YD41" s="18"/>
      <c r="YE41" s="18"/>
      <c r="YF41" s="18"/>
      <c r="YG41" s="18"/>
      <c r="YH41" s="18"/>
      <c r="YI41" s="18"/>
      <c r="YJ41" s="18"/>
      <c r="YK41" s="18"/>
      <c r="YL41" s="18"/>
      <c r="YM41" s="18"/>
      <c r="YN41" s="18"/>
      <c r="YO41" s="18"/>
      <c r="YP41" s="18"/>
      <c r="YQ41" s="18"/>
      <c r="YR41" s="18"/>
      <c r="YS41" s="18"/>
      <c r="YT41" s="18"/>
      <c r="YU41" s="18"/>
      <c r="YV41" s="18"/>
      <c r="YW41" s="18"/>
      <c r="YX41" s="18"/>
      <c r="YY41" s="18"/>
      <c r="YZ41" s="18"/>
      <c r="ZA41" s="18"/>
      <c r="ZB41" s="18"/>
      <c r="ZC41" s="18"/>
      <c r="ZD41" s="18"/>
      <c r="ZE41" s="18"/>
      <c r="ZF41" s="18"/>
      <c r="ZG41" s="18"/>
      <c r="ZH41" s="18"/>
      <c r="ZI41" s="18"/>
      <c r="ZJ41" s="18"/>
      <c r="ZK41" s="18"/>
      <c r="ZL41" s="18"/>
      <c r="ZM41" s="18"/>
      <c r="ZN41" s="18"/>
      <c r="ZO41" s="18"/>
      <c r="ZP41" s="18"/>
      <c r="ZQ41" s="18"/>
      <c r="ZR41" s="18"/>
      <c r="ZS41" s="18"/>
      <c r="ZT41" s="18"/>
      <c r="ZU41" s="18"/>
      <c r="ZV41" s="18"/>
      <c r="ZW41" s="18"/>
      <c r="ZX41" s="18"/>
      <c r="ZY41" s="18"/>
      <c r="ZZ41" s="18"/>
      <c r="AAA41" s="18"/>
      <c r="AAB41" s="18"/>
      <c r="AAC41" s="18"/>
      <c r="AAD41" s="18"/>
      <c r="AAE41" s="18"/>
      <c r="AAF41" s="18"/>
      <c r="AAG41" s="18"/>
      <c r="AAH41" s="18"/>
      <c r="AAI41" s="18"/>
      <c r="AAJ41" s="18"/>
      <c r="AAK41" s="18"/>
      <c r="AAL41" s="18"/>
      <c r="AAM41" s="18"/>
      <c r="AAN41" s="18"/>
      <c r="AAO41" s="18"/>
      <c r="AAP41" s="18"/>
      <c r="AAQ41" s="18"/>
      <c r="AAR41" s="18"/>
      <c r="AAS41" s="18"/>
      <c r="AAT41" s="18"/>
      <c r="AAU41" s="18"/>
      <c r="AAV41" s="18"/>
      <c r="AAW41" s="18"/>
      <c r="AAX41" s="18"/>
      <c r="AAY41" s="18"/>
      <c r="AAZ41" s="18"/>
      <c r="ABA41" s="18"/>
      <c r="ABB41" s="18"/>
      <c r="ABC41" s="18"/>
      <c r="ABD41" s="18"/>
      <c r="ABE41" s="18"/>
      <c r="ABF41" s="18"/>
      <c r="ABG41" s="18"/>
      <c r="ABH41" s="18"/>
      <c r="ABI41" s="18"/>
      <c r="ABJ41" s="18"/>
      <c r="ABK41" s="18"/>
      <c r="ABL41" s="18"/>
      <c r="ABM41" s="18"/>
      <c r="ABN41" s="18"/>
      <c r="ABO41" s="18"/>
      <c r="ABP41" s="18"/>
      <c r="ABQ41" s="18"/>
      <c r="ABR41" s="18"/>
      <c r="ABS41" s="18"/>
      <c r="ABT41" s="18"/>
      <c r="ABU41" s="18"/>
      <c r="ABV41" s="18"/>
      <c r="ABW41" s="18"/>
      <c r="ABX41" s="18"/>
      <c r="ABY41" s="18"/>
      <c r="ABZ41" s="18"/>
      <c r="ACA41" s="18"/>
      <c r="ACB41" s="18"/>
      <c r="ACC41" s="18"/>
      <c r="ACD41" s="18"/>
      <c r="ACE41" s="18"/>
      <c r="ACF41" s="18"/>
      <c r="ACG41" s="18"/>
      <c r="ACH41" s="18"/>
      <c r="ACI41" s="18"/>
      <c r="ACJ41" s="18"/>
      <c r="ACK41" s="18"/>
      <c r="ACL41" s="18"/>
      <c r="ACM41" s="18"/>
      <c r="ACN41" s="18"/>
      <c r="ACO41" s="18"/>
      <c r="ACP41" s="18"/>
      <c r="ACQ41" s="18"/>
      <c r="ACR41" s="18"/>
      <c r="ACS41" s="18"/>
      <c r="ACT41" s="18"/>
      <c r="ACU41" s="18"/>
      <c r="ACV41" s="18"/>
      <c r="ACW41" s="18"/>
      <c r="ACX41" s="18"/>
      <c r="ACY41" s="18"/>
      <c r="ACZ41" s="18"/>
      <c r="ADA41" s="18"/>
      <c r="ADB41" s="18"/>
      <c r="ADC41" s="18"/>
      <c r="ADD41" s="18"/>
      <c r="ADE41" s="18"/>
      <c r="ADF41" s="18"/>
      <c r="ADG41" s="18"/>
      <c r="ADH41" s="18"/>
      <c r="ADI41" s="18"/>
      <c r="ADJ41" s="18"/>
      <c r="ADK41" s="18"/>
      <c r="ADL41" s="18"/>
      <c r="ADM41" s="18"/>
      <c r="ADN41" s="18"/>
      <c r="ADO41" s="18"/>
      <c r="ADP41" s="18"/>
      <c r="ADQ41" s="18"/>
      <c r="ADR41" s="18"/>
      <c r="ADS41" s="18"/>
      <c r="ADT41" s="18"/>
      <c r="ADU41" s="18"/>
      <c r="ADV41" s="18"/>
      <c r="ADW41" s="18"/>
      <c r="ADX41" s="18"/>
      <c r="ADY41" s="18"/>
      <c r="ADZ41" s="18"/>
      <c r="AEA41" s="18"/>
      <c r="AEB41" s="18"/>
      <c r="AEC41" s="18"/>
      <c r="AED41" s="18"/>
      <c r="AEE41" s="18"/>
      <c r="AEF41" s="18"/>
      <c r="AEG41" s="18"/>
      <c r="AEH41" s="18"/>
      <c r="AEI41" s="18"/>
      <c r="AEJ41" s="18"/>
      <c r="AEK41" s="18"/>
      <c r="AEL41" s="18"/>
      <c r="AEM41" s="18"/>
      <c r="AEN41" s="18"/>
      <c r="AEO41" s="18"/>
      <c r="AEP41" s="18"/>
      <c r="AEQ41" s="18"/>
      <c r="AER41" s="18"/>
      <c r="AES41" s="18"/>
      <c r="AET41" s="18"/>
      <c r="AEU41" s="18"/>
      <c r="AEV41" s="18"/>
      <c r="AEW41" s="18"/>
      <c r="AEX41" s="18"/>
      <c r="AEY41" s="18"/>
      <c r="AEZ41" s="18"/>
      <c r="AFA41" s="18"/>
      <c r="AFB41" s="18"/>
      <c r="AFC41" s="18"/>
      <c r="AFD41" s="18"/>
      <c r="AFE41" s="18"/>
      <c r="AFF41" s="18"/>
      <c r="AFG41" s="18"/>
      <c r="AFH41" s="18"/>
      <c r="AFI41" s="18"/>
      <c r="AFJ41" s="18"/>
      <c r="AFK41" s="18"/>
      <c r="AFL41" s="18"/>
      <c r="AFM41" s="18"/>
      <c r="AFN41" s="18"/>
      <c r="AFO41" s="18"/>
      <c r="AFP41" s="18"/>
      <c r="AFQ41" s="18"/>
      <c r="AFR41" s="18"/>
      <c r="AFS41" s="18"/>
      <c r="AFT41" s="18"/>
      <c r="AFU41" s="18"/>
      <c r="AFV41" s="18"/>
      <c r="AFW41" s="18"/>
      <c r="AFX41" s="18"/>
      <c r="AFY41" s="18"/>
      <c r="AFZ41" s="18"/>
      <c r="AGA41" s="18"/>
      <c r="AGB41" s="18"/>
      <c r="AGC41" s="18"/>
      <c r="AGD41" s="18"/>
      <c r="AGE41" s="18"/>
      <c r="AGF41" s="18"/>
      <c r="AGG41" s="18"/>
      <c r="AGH41" s="18"/>
      <c r="AGI41" s="18"/>
      <c r="AGJ41" s="18"/>
      <c r="AGK41" s="18"/>
      <c r="AGL41" s="18"/>
      <c r="AGM41" s="18"/>
      <c r="AGN41" s="18"/>
      <c r="AGO41" s="18"/>
      <c r="AGP41" s="18"/>
      <c r="AGQ41" s="18"/>
      <c r="AGR41" s="18"/>
      <c r="AGS41" s="18"/>
      <c r="AGT41" s="18"/>
      <c r="AGU41" s="18"/>
      <c r="AGV41" s="18"/>
      <c r="AGW41" s="18"/>
      <c r="AGX41" s="18"/>
      <c r="AGY41" s="18"/>
      <c r="AGZ41" s="18"/>
      <c r="AHA41" s="18"/>
      <c r="AHB41" s="18"/>
      <c r="AHC41" s="18"/>
      <c r="AHD41" s="18"/>
      <c r="AHE41" s="18"/>
      <c r="AHF41" s="18"/>
      <c r="AHG41" s="18"/>
      <c r="AHH41" s="18"/>
      <c r="AHI41" s="18"/>
      <c r="AHJ41" s="18"/>
      <c r="AHK41" s="18"/>
      <c r="AHL41" s="18"/>
      <c r="AHM41" s="18"/>
      <c r="AHN41" s="18"/>
      <c r="AHO41" s="18"/>
      <c r="AHP41" s="18"/>
      <c r="AHQ41" s="18"/>
      <c r="AHR41" s="18"/>
      <c r="AHS41" s="18"/>
      <c r="AHT41" s="18"/>
      <c r="AHU41" s="18"/>
      <c r="AHV41" s="18"/>
      <c r="AHW41" s="18"/>
      <c r="AHX41" s="18"/>
      <c r="AHY41" s="18"/>
      <c r="AHZ41" s="18"/>
      <c r="AIA41" s="18"/>
      <c r="AIB41" s="18"/>
      <c r="AIC41" s="18"/>
      <c r="AID41" s="18"/>
      <c r="AIE41" s="18"/>
      <c r="AIF41" s="18"/>
      <c r="AIG41" s="18"/>
      <c r="AIH41" s="18"/>
      <c r="AII41" s="18"/>
      <c r="AIJ41" s="18"/>
      <c r="AIK41" s="18"/>
      <c r="AIL41" s="18"/>
      <c r="AIM41" s="18"/>
      <c r="AIN41" s="18"/>
      <c r="AIO41" s="18"/>
      <c r="AIP41" s="18"/>
      <c r="AIQ41" s="18"/>
      <c r="AIR41" s="18"/>
      <c r="AIS41" s="18"/>
      <c r="AIT41" s="18"/>
      <c r="AIU41" s="18"/>
      <c r="AIV41" s="18"/>
      <c r="AIW41" s="18"/>
      <c r="AIX41" s="18"/>
      <c r="AIY41" s="18"/>
      <c r="AIZ41" s="18"/>
      <c r="AJA41" s="18"/>
      <c r="AJB41" s="18"/>
      <c r="AJC41" s="18"/>
      <c r="AJD41" s="18"/>
      <c r="AJE41" s="18"/>
      <c r="AJF41" s="18"/>
      <c r="AJG41" s="18"/>
      <c r="AJH41" s="18"/>
      <c r="AJI41" s="18"/>
      <c r="AJJ41" s="18"/>
      <c r="AJK41" s="18"/>
      <c r="AJL41" s="18"/>
      <c r="AJM41" s="18"/>
      <c r="AJN41" s="18"/>
      <c r="AJO41" s="18"/>
      <c r="AJP41" s="18"/>
      <c r="AJQ41" s="18"/>
      <c r="AJR41" s="18"/>
      <c r="AJS41" s="18"/>
      <c r="AJT41" s="18"/>
      <c r="AJU41" s="18"/>
      <c r="AJV41" s="18"/>
      <c r="AJW41" s="18"/>
      <c r="AJX41" s="18"/>
      <c r="AJY41" s="18"/>
      <c r="AJZ41" s="18"/>
      <c r="AKA41" s="18"/>
      <c r="AKB41" s="18"/>
      <c r="AKC41" s="18"/>
      <c r="AKD41" s="18"/>
      <c r="AKE41" s="18"/>
      <c r="AKF41" s="18"/>
      <c r="AKG41" s="18"/>
      <c r="AKH41" s="18"/>
      <c r="AKI41" s="18"/>
      <c r="AKJ41" s="18"/>
      <c r="AKK41" s="18"/>
      <c r="AKL41" s="18"/>
      <c r="AKM41" s="18"/>
      <c r="AKN41" s="18"/>
      <c r="AKO41" s="18"/>
      <c r="AKP41" s="18"/>
      <c r="AKQ41" s="18"/>
      <c r="AKR41" s="18"/>
      <c r="AKS41" s="18"/>
      <c r="AKT41" s="18"/>
      <c r="AKU41" s="18"/>
      <c r="AKV41" s="18"/>
      <c r="AKW41" s="18"/>
      <c r="AKX41" s="18"/>
      <c r="AKY41" s="18"/>
      <c r="AKZ41" s="18"/>
      <c r="ALA41" s="18"/>
      <c r="ALB41" s="18"/>
      <c r="ALC41" s="18"/>
      <c r="ALD41" s="18"/>
      <c r="ALE41" s="18"/>
      <c r="ALF41" s="18"/>
      <c r="ALG41" s="18"/>
      <c r="ALH41" s="18"/>
      <c r="ALI41" s="18"/>
      <c r="ALJ41" s="18"/>
      <c r="ALK41" s="18"/>
      <c r="ALL41" s="18"/>
      <c r="ALM41" s="18"/>
      <c r="ALN41" s="18"/>
      <c r="ALO41" s="18"/>
      <c r="ALP41" s="18"/>
      <c r="ALQ41" s="18"/>
      <c r="ALR41" s="18"/>
      <c r="ALS41" s="18"/>
      <c r="ALT41" s="18"/>
      <c r="ALU41" s="18"/>
      <c r="ALV41" s="18"/>
      <c r="ALW41" s="18"/>
      <c r="ALX41" s="18"/>
      <c r="ALY41" s="18"/>
      <c r="ALZ41" s="18"/>
      <c r="AMA41" s="18"/>
      <c r="AMB41" s="18"/>
      <c r="AMC41" s="18"/>
      <c r="AMD41" s="18"/>
      <c r="AME41" s="18"/>
      <c r="AMF41" s="18"/>
      <c r="AMG41" s="18"/>
      <c r="AMH41" s="18"/>
    </row>
    <row r="42" spans="1:1022" s="23" customFormat="1" x14ac:dyDescent="0.3">
      <c r="A42" s="33">
        <v>138</v>
      </c>
      <c r="B42" s="19"/>
      <c r="C42" s="19"/>
      <c r="D42" s="57" t="s">
        <v>313</v>
      </c>
      <c r="E42" s="34" t="s">
        <v>464</v>
      </c>
      <c r="F42" s="39"/>
      <c r="G42" s="39"/>
      <c r="H42" s="38" t="s">
        <v>281</v>
      </c>
      <c r="I42" s="40"/>
      <c r="J42" s="40"/>
      <c r="K42" s="31"/>
      <c r="L42" s="40"/>
      <c r="M42" s="41"/>
      <c r="N42" s="32"/>
      <c r="O42" s="18"/>
      <c r="P42" s="36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  <c r="FF42" s="18"/>
      <c r="FG42" s="18"/>
      <c r="FH42" s="18"/>
      <c r="FI42" s="18"/>
      <c r="FJ42" s="18"/>
      <c r="FK42" s="18"/>
      <c r="FL42" s="18"/>
      <c r="FM42" s="18"/>
      <c r="FN42" s="18"/>
      <c r="FO42" s="18"/>
      <c r="FP42" s="18"/>
      <c r="FQ42" s="18"/>
      <c r="FR42" s="18"/>
      <c r="FS42" s="18"/>
      <c r="FT42" s="18"/>
      <c r="FU42" s="18"/>
      <c r="FV42" s="18"/>
      <c r="FW42" s="18"/>
      <c r="FX42" s="18"/>
      <c r="FY42" s="18"/>
      <c r="FZ42" s="18"/>
      <c r="GA42" s="18"/>
      <c r="GB42" s="18"/>
      <c r="GC42" s="18"/>
      <c r="GD42" s="18"/>
      <c r="GE42" s="18"/>
      <c r="GF42" s="18"/>
      <c r="GG42" s="18"/>
      <c r="GH42" s="18"/>
      <c r="GI42" s="18"/>
      <c r="GJ42" s="18"/>
      <c r="GK42" s="18"/>
      <c r="GL42" s="18"/>
      <c r="GM42" s="18"/>
      <c r="GN42" s="18"/>
      <c r="GO42" s="18"/>
      <c r="GP42" s="18"/>
      <c r="GQ42" s="18"/>
      <c r="GR42" s="18"/>
      <c r="GS42" s="18"/>
      <c r="GT42" s="18"/>
      <c r="GU42" s="18"/>
      <c r="GV42" s="18"/>
      <c r="GW42" s="18"/>
      <c r="GX42" s="18"/>
      <c r="GY42" s="18"/>
      <c r="GZ42" s="18"/>
      <c r="HA42" s="18"/>
      <c r="HB42" s="18"/>
      <c r="HC42" s="18"/>
      <c r="HD42" s="18"/>
      <c r="HE42" s="18"/>
      <c r="HF42" s="18"/>
      <c r="HG42" s="18"/>
      <c r="HH42" s="18"/>
      <c r="HI42" s="18"/>
      <c r="HJ42" s="18"/>
      <c r="HK42" s="18"/>
      <c r="HL42" s="18"/>
      <c r="HM42" s="18"/>
      <c r="HN42" s="18"/>
      <c r="HO42" s="18"/>
      <c r="HP42" s="18"/>
      <c r="HQ42" s="18"/>
      <c r="HR42" s="18"/>
      <c r="HS42" s="18"/>
      <c r="HT42" s="18"/>
      <c r="HU42" s="18"/>
      <c r="HV42" s="18"/>
      <c r="HW42" s="18"/>
      <c r="HX42" s="18"/>
      <c r="HY42" s="18"/>
      <c r="HZ42" s="18"/>
      <c r="IA42" s="18"/>
      <c r="IB42" s="18"/>
      <c r="IC42" s="18"/>
      <c r="ID42" s="18"/>
      <c r="IE42" s="18"/>
      <c r="IF42" s="18"/>
      <c r="IG42" s="18"/>
      <c r="IH42" s="18"/>
      <c r="II42" s="18"/>
      <c r="IJ42" s="18"/>
      <c r="IK42" s="18"/>
      <c r="IL42" s="18"/>
      <c r="IM42" s="18"/>
      <c r="IN42" s="18"/>
      <c r="IO42" s="18"/>
      <c r="IP42" s="18"/>
      <c r="IQ42" s="18"/>
      <c r="IR42" s="18"/>
      <c r="IS42" s="18"/>
      <c r="IT42" s="18"/>
      <c r="IU42" s="18"/>
      <c r="IV42" s="18"/>
      <c r="IW42" s="18"/>
      <c r="IX42" s="18"/>
      <c r="IY42" s="18"/>
      <c r="IZ42" s="18"/>
      <c r="JA42" s="18"/>
      <c r="JB42" s="18"/>
      <c r="JC42" s="18"/>
      <c r="JD42" s="18"/>
      <c r="JE42" s="18"/>
      <c r="JF42" s="18"/>
      <c r="JG42" s="18"/>
      <c r="JH42" s="18"/>
      <c r="JI42" s="18"/>
      <c r="JJ42" s="18"/>
      <c r="JK42" s="18"/>
      <c r="JL42" s="18"/>
      <c r="JM42" s="18"/>
      <c r="JN42" s="18"/>
      <c r="JO42" s="18"/>
      <c r="JP42" s="18"/>
      <c r="JQ42" s="18"/>
      <c r="JR42" s="18"/>
      <c r="JS42" s="18"/>
      <c r="JT42" s="18"/>
      <c r="JU42" s="18"/>
      <c r="JV42" s="18"/>
      <c r="JW42" s="18"/>
      <c r="JX42" s="18"/>
      <c r="JY42" s="18"/>
      <c r="JZ42" s="18"/>
      <c r="KA42" s="18"/>
      <c r="KB42" s="18"/>
      <c r="KC42" s="18"/>
      <c r="KD42" s="18"/>
      <c r="KE42" s="18"/>
      <c r="KF42" s="18"/>
      <c r="KG42" s="18"/>
      <c r="KH42" s="18"/>
      <c r="KI42" s="18"/>
      <c r="KJ42" s="18"/>
      <c r="KK42" s="18"/>
      <c r="KL42" s="18"/>
      <c r="KM42" s="18"/>
      <c r="KN42" s="18"/>
      <c r="KO42" s="18"/>
      <c r="KP42" s="18"/>
      <c r="KQ42" s="18"/>
      <c r="KR42" s="18"/>
      <c r="KS42" s="18"/>
      <c r="KT42" s="18"/>
      <c r="KU42" s="18"/>
      <c r="KV42" s="18"/>
      <c r="KW42" s="18"/>
      <c r="KX42" s="18"/>
      <c r="KY42" s="18"/>
      <c r="KZ42" s="18"/>
      <c r="LA42" s="18"/>
      <c r="LB42" s="18"/>
      <c r="LC42" s="18"/>
      <c r="LD42" s="18"/>
      <c r="LE42" s="18"/>
      <c r="LF42" s="18"/>
      <c r="LG42" s="18"/>
      <c r="LH42" s="18"/>
      <c r="LI42" s="18"/>
      <c r="LJ42" s="18"/>
      <c r="LK42" s="18"/>
      <c r="LL42" s="18"/>
      <c r="LM42" s="18"/>
      <c r="LN42" s="18"/>
      <c r="LO42" s="18"/>
      <c r="LP42" s="18"/>
      <c r="LQ42" s="18"/>
      <c r="LR42" s="18"/>
      <c r="LS42" s="18"/>
      <c r="LT42" s="18"/>
      <c r="LU42" s="18"/>
      <c r="LV42" s="18"/>
      <c r="LW42" s="18"/>
      <c r="LX42" s="18"/>
      <c r="LY42" s="18"/>
      <c r="LZ42" s="18"/>
      <c r="MA42" s="18"/>
      <c r="MB42" s="18"/>
      <c r="MC42" s="18"/>
      <c r="MD42" s="18"/>
      <c r="ME42" s="18"/>
      <c r="MF42" s="18"/>
      <c r="MG42" s="18"/>
      <c r="MH42" s="18"/>
      <c r="MI42" s="18"/>
      <c r="MJ42" s="18"/>
      <c r="MK42" s="18"/>
      <c r="ML42" s="18"/>
      <c r="MM42" s="18"/>
      <c r="MN42" s="18"/>
      <c r="MO42" s="18"/>
      <c r="MP42" s="18"/>
      <c r="MQ42" s="18"/>
      <c r="MR42" s="18"/>
      <c r="MS42" s="18"/>
      <c r="MT42" s="18"/>
      <c r="MU42" s="18"/>
      <c r="MV42" s="18"/>
      <c r="MW42" s="18"/>
      <c r="MX42" s="18"/>
      <c r="MY42" s="18"/>
      <c r="MZ42" s="18"/>
      <c r="NA42" s="18"/>
      <c r="NB42" s="18"/>
      <c r="NC42" s="18"/>
      <c r="ND42" s="18"/>
      <c r="NE42" s="18"/>
      <c r="NF42" s="18"/>
      <c r="NG42" s="18"/>
      <c r="NH42" s="18"/>
      <c r="NI42" s="18"/>
      <c r="NJ42" s="18"/>
      <c r="NK42" s="18"/>
      <c r="NL42" s="18"/>
      <c r="NM42" s="18"/>
      <c r="NN42" s="18"/>
      <c r="NO42" s="18"/>
      <c r="NP42" s="18"/>
      <c r="NQ42" s="18"/>
      <c r="NR42" s="18"/>
      <c r="NS42" s="18"/>
      <c r="NT42" s="18"/>
      <c r="NU42" s="18"/>
      <c r="NV42" s="18"/>
      <c r="NW42" s="18"/>
      <c r="NX42" s="18"/>
      <c r="NY42" s="18"/>
      <c r="NZ42" s="18"/>
      <c r="OA42" s="18"/>
      <c r="OB42" s="18"/>
      <c r="OC42" s="18"/>
      <c r="OD42" s="18"/>
      <c r="OE42" s="18"/>
      <c r="OF42" s="18"/>
      <c r="OG42" s="18"/>
      <c r="OH42" s="18"/>
      <c r="OI42" s="18"/>
      <c r="OJ42" s="18"/>
      <c r="OK42" s="18"/>
      <c r="OL42" s="18"/>
      <c r="OM42" s="18"/>
      <c r="ON42" s="18"/>
      <c r="OO42" s="18"/>
      <c r="OP42" s="18"/>
      <c r="OQ42" s="18"/>
      <c r="OR42" s="18"/>
      <c r="OS42" s="18"/>
      <c r="OT42" s="18"/>
      <c r="OU42" s="18"/>
      <c r="OV42" s="18"/>
      <c r="OW42" s="18"/>
      <c r="OX42" s="18"/>
      <c r="OY42" s="18"/>
      <c r="OZ42" s="18"/>
      <c r="PA42" s="18"/>
      <c r="PB42" s="18"/>
      <c r="PC42" s="18"/>
      <c r="PD42" s="18"/>
      <c r="PE42" s="18"/>
      <c r="PF42" s="18"/>
      <c r="PG42" s="18"/>
      <c r="PH42" s="18"/>
      <c r="PI42" s="18"/>
      <c r="PJ42" s="18"/>
      <c r="PK42" s="18"/>
      <c r="PL42" s="18"/>
      <c r="PM42" s="18"/>
      <c r="PN42" s="18"/>
      <c r="PO42" s="18"/>
      <c r="PP42" s="18"/>
      <c r="PQ42" s="18"/>
      <c r="PR42" s="18"/>
      <c r="PS42" s="18"/>
      <c r="PT42" s="18"/>
      <c r="PU42" s="18"/>
      <c r="PV42" s="18"/>
      <c r="PW42" s="18"/>
      <c r="PX42" s="18"/>
      <c r="PY42" s="18"/>
      <c r="PZ42" s="18"/>
      <c r="QA42" s="18"/>
      <c r="QB42" s="18"/>
      <c r="QC42" s="18"/>
      <c r="QD42" s="18"/>
      <c r="QE42" s="18"/>
      <c r="QF42" s="18"/>
      <c r="QG42" s="18"/>
      <c r="QH42" s="18"/>
      <c r="QI42" s="18"/>
      <c r="QJ42" s="18"/>
      <c r="QK42" s="18"/>
      <c r="QL42" s="18"/>
      <c r="QM42" s="18"/>
      <c r="QN42" s="18"/>
      <c r="QO42" s="18"/>
      <c r="QP42" s="18"/>
      <c r="QQ42" s="18"/>
      <c r="QR42" s="18"/>
      <c r="QS42" s="18"/>
      <c r="QT42" s="18"/>
      <c r="QU42" s="18"/>
      <c r="QV42" s="18"/>
      <c r="QW42" s="18"/>
      <c r="QX42" s="18"/>
      <c r="QY42" s="18"/>
      <c r="QZ42" s="18"/>
      <c r="RA42" s="18"/>
      <c r="RB42" s="18"/>
      <c r="RC42" s="18"/>
      <c r="RD42" s="18"/>
      <c r="RE42" s="18"/>
      <c r="RF42" s="18"/>
      <c r="RG42" s="18"/>
      <c r="RH42" s="18"/>
      <c r="RI42" s="18"/>
      <c r="RJ42" s="18"/>
      <c r="RK42" s="18"/>
      <c r="RL42" s="18"/>
      <c r="RM42" s="18"/>
      <c r="RN42" s="18"/>
      <c r="RO42" s="18"/>
      <c r="RP42" s="18"/>
      <c r="RQ42" s="18"/>
      <c r="RR42" s="18"/>
      <c r="RS42" s="18"/>
      <c r="RT42" s="18"/>
      <c r="RU42" s="18"/>
      <c r="RV42" s="18"/>
      <c r="RW42" s="18"/>
      <c r="RX42" s="18"/>
      <c r="RY42" s="18"/>
      <c r="RZ42" s="18"/>
      <c r="SA42" s="18"/>
      <c r="SB42" s="18"/>
      <c r="SC42" s="18"/>
      <c r="SD42" s="18"/>
      <c r="SE42" s="18"/>
      <c r="SF42" s="18"/>
      <c r="SG42" s="18"/>
      <c r="SH42" s="18"/>
      <c r="SI42" s="18"/>
      <c r="SJ42" s="18"/>
      <c r="SK42" s="18"/>
      <c r="SL42" s="18"/>
      <c r="SM42" s="18"/>
      <c r="SN42" s="18"/>
      <c r="SO42" s="18"/>
      <c r="SP42" s="18"/>
      <c r="SQ42" s="18"/>
      <c r="SR42" s="18"/>
      <c r="SS42" s="18"/>
      <c r="ST42" s="18"/>
      <c r="SU42" s="18"/>
      <c r="SV42" s="18"/>
      <c r="SW42" s="18"/>
      <c r="SX42" s="18"/>
      <c r="SY42" s="18"/>
      <c r="SZ42" s="18"/>
      <c r="TA42" s="18"/>
      <c r="TB42" s="18"/>
      <c r="TC42" s="18"/>
      <c r="TD42" s="18"/>
      <c r="TE42" s="18"/>
      <c r="TF42" s="18"/>
      <c r="TG42" s="18"/>
      <c r="TH42" s="18"/>
      <c r="TI42" s="18"/>
      <c r="TJ42" s="18"/>
      <c r="TK42" s="18"/>
      <c r="TL42" s="18"/>
      <c r="TM42" s="18"/>
      <c r="TN42" s="18"/>
      <c r="TO42" s="18"/>
      <c r="TP42" s="18"/>
      <c r="TQ42" s="18"/>
      <c r="TR42" s="18"/>
      <c r="TS42" s="18"/>
      <c r="TT42" s="18"/>
      <c r="TU42" s="18"/>
      <c r="TV42" s="18"/>
      <c r="TW42" s="18"/>
      <c r="TX42" s="18"/>
      <c r="TY42" s="18"/>
      <c r="TZ42" s="18"/>
      <c r="UA42" s="18"/>
      <c r="UB42" s="18"/>
      <c r="UC42" s="18"/>
      <c r="UD42" s="18"/>
      <c r="UE42" s="18"/>
      <c r="UF42" s="18"/>
      <c r="UG42" s="18"/>
      <c r="UH42" s="18"/>
      <c r="UI42" s="18"/>
      <c r="UJ42" s="18"/>
      <c r="UK42" s="18"/>
      <c r="UL42" s="18"/>
      <c r="UM42" s="18"/>
      <c r="UN42" s="18"/>
      <c r="UO42" s="18"/>
      <c r="UP42" s="18"/>
      <c r="UQ42" s="18"/>
      <c r="UR42" s="18"/>
      <c r="US42" s="18"/>
      <c r="UT42" s="18"/>
      <c r="UU42" s="18"/>
      <c r="UV42" s="18"/>
      <c r="UW42" s="18"/>
      <c r="UX42" s="18"/>
      <c r="UY42" s="18"/>
      <c r="UZ42" s="18"/>
      <c r="VA42" s="18"/>
      <c r="VB42" s="18"/>
      <c r="VC42" s="18"/>
      <c r="VD42" s="18"/>
      <c r="VE42" s="18"/>
      <c r="VF42" s="18"/>
      <c r="VG42" s="18"/>
      <c r="VH42" s="18"/>
      <c r="VI42" s="18"/>
      <c r="VJ42" s="18"/>
      <c r="VK42" s="18"/>
      <c r="VL42" s="18"/>
      <c r="VM42" s="18"/>
      <c r="VN42" s="18"/>
      <c r="VO42" s="18"/>
      <c r="VP42" s="18"/>
      <c r="VQ42" s="18"/>
      <c r="VR42" s="18"/>
      <c r="VS42" s="18"/>
      <c r="VT42" s="18"/>
      <c r="VU42" s="18"/>
      <c r="VV42" s="18"/>
      <c r="VW42" s="18"/>
      <c r="VX42" s="18"/>
      <c r="VY42" s="18"/>
      <c r="VZ42" s="18"/>
      <c r="WA42" s="18"/>
      <c r="WB42" s="18"/>
      <c r="WC42" s="18"/>
      <c r="WD42" s="18"/>
      <c r="WE42" s="18"/>
      <c r="WF42" s="18"/>
      <c r="WG42" s="18"/>
      <c r="WH42" s="18"/>
      <c r="WI42" s="18"/>
      <c r="WJ42" s="18"/>
      <c r="WK42" s="18"/>
      <c r="WL42" s="18"/>
      <c r="WM42" s="18"/>
      <c r="WN42" s="18"/>
      <c r="WO42" s="18"/>
      <c r="WP42" s="18"/>
      <c r="WQ42" s="18"/>
      <c r="WR42" s="18"/>
      <c r="WS42" s="18"/>
      <c r="WT42" s="18"/>
      <c r="WU42" s="18"/>
      <c r="WV42" s="18"/>
      <c r="WW42" s="18"/>
      <c r="WX42" s="18"/>
      <c r="WY42" s="18"/>
      <c r="WZ42" s="18"/>
      <c r="XA42" s="18"/>
      <c r="XB42" s="18"/>
      <c r="XC42" s="18"/>
      <c r="XD42" s="18"/>
      <c r="XE42" s="18"/>
      <c r="XF42" s="18"/>
      <c r="XG42" s="18"/>
      <c r="XH42" s="18"/>
      <c r="XI42" s="18"/>
      <c r="XJ42" s="18"/>
      <c r="XK42" s="18"/>
      <c r="XL42" s="18"/>
      <c r="XM42" s="18"/>
      <c r="XN42" s="18"/>
      <c r="XO42" s="18"/>
      <c r="XP42" s="18"/>
      <c r="XQ42" s="18"/>
      <c r="XR42" s="18"/>
      <c r="XS42" s="18"/>
      <c r="XT42" s="18"/>
      <c r="XU42" s="18"/>
      <c r="XV42" s="18"/>
      <c r="XW42" s="18"/>
      <c r="XX42" s="18"/>
      <c r="XY42" s="18"/>
      <c r="XZ42" s="18"/>
      <c r="YA42" s="18"/>
      <c r="YB42" s="18"/>
      <c r="YC42" s="18"/>
      <c r="YD42" s="18"/>
      <c r="YE42" s="18"/>
      <c r="YF42" s="18"/>
      <c r="YG42" s="18"/>
      <c r="YH42" s="18"/>
      <c r="YI42" s="18"/>
      <c r="YJ42" s="18"/>
      <c r="YK42" s="18"/>
      <c r="YL42" s="18"/>
      <c r="YM42" s="18"/>
      <c r="YN42" s="18"/>
      <c r="YO42" s="18"/>
      <c r="YP42" s="18"/>
      <c r="YQ42" s="18"/>
      <c r="YR42" s="18"/>
      <c r="YS42" s="18"/>
      <c r="YT42" s="18"/>
      <c r="YU42" s="18"/>
      <c r="YV42" s="18"/>
      <c r="YW42" s="18"/>
      <c r="YX42" s="18"/>
      <c r="YY42" s="18"/>
      <c r="YZ42" s="18"/>
      <c r="ZA42" s="18"/>
      <c r="ZB42" s="18"/>
      <c r="ZC42" s="18"/>
      <c r="ZD42" s="18"/>
      <c r="ZE42" s="18"/>
      <c r="ZF42" s="18"/>
      <c r="ZG42" s="18"/>
      <c r="ZH42" s="18"/>
      <c r="ZI42" s="18"/>
      <c r="ZJ42" s="18"/>
      <c r="ZK42" s="18"/>
      <c r="ZL42" s="18"/>
      <c r="ZM42" s="18"/>
      <c r="ZN42" s="18"/>
      <c r="ZO42" s="18"/>
      <c r="ZP42" s="18"/>
      <c r="ZQ42" s="18"/>
      <c r="ZR42" s="18"/>
      <c r="ZS42" s="18"/>
      <c r="ZT42" s="18"/>
      <c r="ZU42" s="18"/>
      <c r="ZV42" s="18"/>
      <c r="ZW42" s="18"/>
      <c r="ZX42" s="18"/>
      <c r="ZY42" s="18"/>
      <c r="ZZ42" s="18"/>
      <c r="AAA42" s="18"/>
      <c r="AAB42" s="18"/>
      <c r="AAC42" s="18"/>
      <c r="AAD42" s="18"/>
      <c r="AAE42" s="18"/>
      <c r="AAF42" s="18"/>
      <c r="AAG42" s="18"/>
      <c r="AAH42" s="18"/>
      <c r="AAI42" s="18"/>
      <c r="AAJ42" s="18"/>
      <c r="AAK42" s="18"/>
      <c r="AAL42" s="18"/>
      <c r="AAM42" s="18"/>
      <c r="AAN42" s="18"/>
      <c r="AAO42" s="18"/>
      <c r="AAP42" s="18"/>
      <c r="AAQ42" s="18"/>
      <c r="AAR42" s="18"/>
      <c r="AAS42" s="18"/>
      <c r="AAT42" s="18"/>
      <c r="AAU42" s="18"/>
      <c r="AAV42" s="18"/>
      <c r="AAW42" s="18"/>
      <c r="AAX42" s="18"/>
      <c r="AAY42" s="18"/>
      <c r="AAZ42" s="18"/>
      <c r="ABA42" s="18"/>
      <c r="ABB42" s="18"/>
      <c r="ABC42" s="18"/>
      <c r="ABD42" s="18"/>
      <c r="ABE42" s="18"/>
      <c r="ABF42" s="18"/>
      <c r="ABG42" s="18"/>
      <c r="ABH42" s="18"/>
      <c r="ABI42" s="18"/>
      <c r="ABJ42" s="18"/>
      <c r="ABK42" s="18"/>
      <c r="ABL42" s="18"/>
      <c r="ABM42" s="18"/>
      <c r="ABN42" s="18"/>
      <c r="ABO42" s="18"/>
      <c r="ABP42" s="18"/>
      <c r="ABQ42" s="18"/>
      <c r="ABR42" s="18"/>
      <c r="ABS42" s="18"/>
      <c r="ABT42" s="18"/>
      <c r="ABU42" s="18"/>
      <c r="ABV42" s="18"/>
      <c r="ABW42" s="18"/>
      <c r="ABX42" s="18"/>
      <c r="ABY42" s="18"/>
      <c r="ABZ42" s="18"/>
      <c r="ACA42" s="18"/>
      <c r="ACB42" s="18"/>
      <c r="ACC42" s="18"/>
      <c r="ACD42" s="18"/>
      <c r="ACE42" s="18"/>
      <c r="ACF42" s="18"/>
      <c r="ACG42" s="18"/>
      <c r="ACH42" s="18"/>
      <c r="ACI42" s="18"/>
      <c r="ACJ42" s="18"/>
      <c r="ACK42" s="18"/>
      <c r="ACL42" s="18"/>
      <c r="ACM42" s="18"/>
      <c r="ACN42" s="18"/>
      <c r="ACO42" s="18"/>
      <c r="ACP42" s="18"/>
      <c r="ACQ42" s="18"/>
      <c r="ACR42" s="18"/>
      <c r="ACS42" s="18"/>
      <c r="ACT42" s="18"/>
      <c r="ACU42" s="18"/>
      <c r="ACV42" s="18"/>
      <c r="ACW42" s="18"/>
      <c r="ACX42" s="18"/>
      <c r="ACY42" s="18"/>
      <c r="ACZ42" s="18"/>
      <c r="ADA42" s="18"/>
      <c r="ADB42" s="18"/>
      <c r="ADC42" s="18"/>
      <c r="ADD42" s="18"/>
      <c r="ADE42" s="18"/>
      <c r="ADF42" s="18"/>
      <c r="ADG42" s="18"/>
      <c r="ADH42" s="18"/>
      <c r="ADI42" s="18"/>
      <c r="ADJ42" s="18"/>
      <c r="ADK42" s="18"/>
      <c r="ADL42" s="18"/>
      <c r="ADM42" s="18"/>
      <c r="ADN42" s="18"/>
      <c r="ADO42" s="18"/>
      <c r="ADP42" s="18"/>
      <c r="ADQ42" s="18"/>
      <c r="ADR42" s="18"/>
      <c r="ADS42" s="18"/>
      <c r="ADT42" s="18"/>
      <c r="ADU42" s="18"/>
      <c r="ADV42" s="18"/>
      <c r="ADW42" s="18"/>
      <c r="ADX42" s="18"/>
      <c r="ADY42" s="18"/>
      <c r="ADZ42" s="18"/>
      <c r="AEA42" s="18"/>
      <c r="AEB42" s="18"/>
      <c r="AEC42" s="18"/>
      <c r="AED42" s="18"/>
      <c r="AEE42" s="18"/>
      <c r="AEF42" s="18"/>
      <c r="AEG42" s="18"/>
      <c r="AEH42" s="18"/>
      <c r="AEI42" s="18"/>
      <c r="AEJ42" s="18"/>
      <c r="AEK42" s="18"/>
      <c r="AEL42" s="18"/>
      <c r="AEM42" s="18"/>
      <c r="AEN42" s="18"/>
      <c r="AEO42" s="18"/>
      <c r="AEP42" s="18"/>
      <c r="AEQ42" s="18"/>
      <c r="AER42" s="18"/>
      <c r="AES42" s="18"/>
      <c r="AET42" s="18"/>
      <c r="AEU42" s="18"/>
      <c r="AEV42" s="18"/>
      <c r="AEW42" s="18"/>
      <c r="AEX42" s="18"/>
      <c r="AEY42" s="18"/>
      <c r="AEZ42" s="18"/>
      <c r="AFA42" s="18"/>
      <c r="AFB42" s="18"/>
      <c r="AFC42" s="18"/>
      <c r="AFD42" s="18"/>
      <c r="AFE42" s="18"/>
      <c r="AFF42" s="18"/>
      <c r="AFG42" s="18"/>
      <c r="AFH42" s="18"/>
      <c r="AFI42" s="18"/>
      <c r="AFJ42" s="18"/>
      <c r="AFK42" s="18"/>
      <c r="AFL42" s="18"/>
      <c r="AFM42" s="18"/>
      <c r="AFN42" s="18"/>
      <c r="AFO42" s="18"/>
      <c r="AFP42" s="18"/>
      <c r="AFQ42" s="18"/>
      <c r="AFR42" s="18"/>
      <c r="AFS42" s="18"/>
      <c r="AFT42" s="18"/>
      <c r="AFU42" s="18"/>
      <c r="AFV42" s="18"/>
      <c r="AFW42" s="18"/>
      <c r="AFX42" s="18"/>
      <c r="AFY42" s="18"/>
      <c r="AFZ42" s="18"/>
      <c r="AGA42" s="18"/>
      <c r="AGB42" s="18"/>
      <c r="AGC42" s="18"/>
      <c r="AGD42" s="18"/>
      <c r="AGE42" s="18"/>
      <c r="AGF42" s="18"/>
      <c r="AGG42" s="18"/>
      <c r="AGH42" s="18"/>
      <c r="AGI42" s="18"/>
      <c r="AGJ42" s="18"/>
      <c r="AGK42" s="18"/>
      <c r="AGL42" s="18"/>
      <c r="AGM42" s="18"/>
      <c r="AGN42" s="18"/>
      <c r="AGO42" s="18"/>
      <c r="AGP42" s="18"/>
      <c r="AGQ42" s="18"/>
      <c r="AGR42" s="18"/>
      <c r="AGS42" s="18"/>
      <c r="AGT42" s="18"/>
      <c r="AGU42" s="18"/>
      <c r="AGV42" s="18"/>
      <c r="AGW42" s="18"/>
      <c r="AGX42" s="18"/>
      <c r="AGY42" s="18"/>
      <c r="AGZ42" s="18"/>
      <c r="AHA42" s="18"/>
      <c r="AHB42" s="18"/>
      <c r="AHC42" s="18"/>
      <c r="AHD42" s="18"/>
      <c r="AHE42" s="18"/>
      <c r="AHF42" s="18"/>
      <c r="AHG42" s="18"/>
      <c r="AHH42" s="18"/>
      <c r="AHI42" s="18"/>
      <c r="AHJ42" s="18"/>
      <c r="AHK42" s="18"/>
      <c r="AHL42" s="18"/>
      <c r="AHM42" s="18"/>
      <c r="AHN42" s="18"/>
      <c r="AHO42" s="18"/>
      <c r="AHP42" s="18"/>
      <c r="AHQ42" s="18"/>
      <c r="AHR42" s="18"/>
      <c r="AHS42" s="18"/>
      <c r="AHT42" s="18"/>
      <c r="AHU42" s="18"/>
      <c r="AHV42" s="18"/>
      <c r="AHW42" s="18"/>
      <c r="AHX42" s="18"/>
      <c r="AHY42" s="18"/>
      <c r="AHZ42" s="18"/>
      <c r="AIA42" s="18"/>
      <c r="AIB42" s="18"/>
      <c r="AIC42" s="18"/>
      <c r="AID42" s="18"/>
      <c r="AIE42" s="18"/>
      <c r="AIF42" s="18"/>
      <c r="AIG42" s="18"/>
      <c r="AIH42" s="18"/>
      <c r="AII42" s="18"/>
      <c r="AIJ42" s="18"/>
      <c r="AIK42" s="18"/>
      <c r="AIL42" s="18"/>
      <c r="AIM42" s="18"/>
      <c r="AIN42" s="18"/>
      <c r="AIO42" s="18"/>
      <c r="AIP42" s="18"/>
      <c r="AIQ42" s="18"/>
      <c r="AIR42" s="18"/>
      <c r="AIS42" s="18"/>
      <c r="AIT42" s="18"/>
      <c r="AIU42" s="18"/>
      <c r="AIV42" s="18"/>
      <c r="AIW42" s="18"/>
      <c r="AIX42" s="18"/>
      <c r="AIY42" s="18"/>
      <c r="AIZ42" s="18"/>
      <c r="AJA42" s="18"/>
      <c r="AJB42" s="18"/>
      <c r="AJC42" s="18"/>
      <c r="AJD42" s="18"/>
      <c r="AJE42" s="18"/>
      <c r="AJF42" s="18"/>
      <c r="AJG42" s="18"/>
      <c r="AJH42" s="18"/>
      <c r="AJI42" s="18"/>
      <c r="AJJ42" s="18"/>
      <c r="AJK42" s="18"/>
      <c r="AJL42" s="18"/>
      <c r="AJM42" s="18"/>
      <c r="AJN42" s="18"/>
      <c r="AJO42" s="18"/>
      <c r="AJP42" s="18"/>
      <c r="AJQ42" s="18"/>
      <c r="AJR42" s="18"/>
      <c r="AJS42" s="18"/>
      <c r="AJT42" s="18"/>
      <c r="AJU42" s="18"/>
      <c r="AJV42" s="18"/>
      <c r="AJW42" s="18"/>
      <c r="AJX42" s="18"/>
      <c r="AJY42" s="18"/>
      <c r="AJZ42" s="18"/>
      <c r="AKA42" s="18"/>
      <c r="AKB42" s="18"/>
      <c r="AKC42" s="18"/>
      <c r="AKD42" s="18"/>
      <c r="AKE42" s="18"/>
      <c r="AKF42" s="18"/>
      <c r="AKG42" s="18"/>
      <c r="AKH42" s="18"/>
      <c r="AKI42" s="18"/>
      <c r="AKJ42" s="18"/>
      <c r="AKK42" s="18"/>
      <c r="AKL42" s="18"/>
      <c r="AKM42" s="18"/>
      <c r="AKN42" s="18"/>
      <c r="AKO42" s="18"/>
      <c r="AKP42" s="18"/>
      <c r="AKQ42" s="18"/>
      <c r="AKR42" s="18"/>
      <c r="AKS42" s="18"/>
      <c r="AKT42" s="18"/>
      <c r="AKU42" s="18"/>
      <c r="AKV42" s="18"/>
      <c r="AKW42" s="18"/>
      <c r="AKX42" s="18"/>
      <c r="AKY42" s="18"/>
      <c r="AKZ42" s="18"/>
      <c r="ALA42" s="18"/>
      <c r="ALB42" s="18"/>
      <c r="ALC42" s="18"/>
      <c r="ALD42" s="18"/>
      <c r="ALE42" s="18"/>
      <c r="ALF42" s="18"/>
      <c r="ALG42" s="18"/>
      <c r="ALH42" s="18"/>
      <c r="ALI42" s="18"/>
      <c r="ALJ42" s="18"/>
      <c r="ALK42" s="18"/>
      <c r="ALL42" s="18"/>
      <c r="ALM42" s="18"/>
      <c r="ALN42" s="18"/>
      <c r="ALO42" s="18"/>
      <c r="ALP42" s="18"/>
      <c r="ALQ42" s="18"/>
      <c r="ALR42" s="18"/>
      <c r="ALS42" s="18"/>
      <c r="ALT42" s="18"/>
      <c r="ALU42" s="18"/>
      <c r="ALV42" s="18"/>
      <c r="ALW42" s="18"/>
      <c r="ALX42" s="18"/>
      <c r="ALY42" s="18"/>
      <c r="ALZ42" s="18"/>
      <c r="AMA42" s="18"/>
      <c r="AMB42" s="18"/>
      <c r="AMC42" s="18"/>
      <c r="AMD42" s="18"/>
      <c r="AME42" s="18"/>
      <c r="AMF42" s="18"/>
      <c r="AMG42" s="18"/>
      <c r="AMH42" s="18"/>
    </row>
    <row r="43" spans="1:1022" s="23" customFormat="1" x14ac:dyDescent="0.3">
      <c r="A43" s="33">
        <v>139</v>
      </c>
      <c r="B43" s="19"/>
      <c r="C43" s="19"/>
      <c r="D43" s="58" t="s">
        <v>314</v>
      </c>
      <c r="E43" s="34" t="s">
        <v>465</v>
      </c>
      <c r="F43" s="39"/>
      <c r="G43" s="39"/>
      <c r="H43" s="38" t="s">
        <v>281</v>
      </c>
      <c r="I43" s="40"/>
      <c r="J43" s="40"/>
      <c r="K43" s="31"/>
      <c r="L43" s="40"/>
      <c r="M43" s="41"/>
      <c r="N43" s="32"/>
      <c r="O43" s="18"/>
      <c r="P43" s="36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18"/>
      <c r="BK43" s="18"/>
      <c r="BL43" s="18"/>
      <c r="BM43" s="18"/>
      <c r="BN43" s="18"/>
      <c r="BO43" s="18"/>
      <c r="BP43" s="18"/>
      <c r="BQ43" s="18"/>
      <c r="BR43" s="18"/>
      <c r="BS43" s="18"/>
      <c r="BT43" s="18"/>
      <c r="BU43" s="18"/>
      <c r="BV43" s="18"/>
      <c r="BW43" s="18"/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8"/>
      <c r="CI43" s="18"/>
      <c r="CJ43" s="18"/>
      <c r="CK43" s="18"/>
      <c r="CL43" s="18"/>
      <c r="CM43" s="18"/>
      <c r="CN43" s="18"/>
      <c r="CO43" s="18"/>
      <c r="CP43" s="18"/>
      <c r="CQ43" s="18"/>
      <c r="CR43" s="18"/>
      <c r="CS43" s="18"/>
      <c r="CT43" s="18"/>
      <c r="CU43" s="18"/>
      <c r="CV43" s="18"/>
      <c r="CW43" s="18"/>
      <c r="CX43" s="18"/>
      <c r="CY43" s="18"/>
      <c r="CZ43" s="18"/>
      <c r="DA43" s="18"/>
      <c r="DB43" s="18"/>
      <c r="DC43" s="18"/>
      <c r="DD43" s="18"/>
      <c r="DE43" s="18"/>
      <c r="DF43" s="18"/>
      <c r="DG43" s="18"/>
      <c r="DH43" s="18"/>
      <c r="DI43" s="18"/>
      <c r="DJ43" s="18"/>
      <c r="DK43" s="18"/>
      <c r="DL43" s="18"/>
      <c r="DM43" s="18"/>
      <c r="DN43" s="18"/>
      <c r="DO43" s="18"/>
      <c r="DP43" s="18"/>
      <c r="DQ43" s="18"/>
      <c r="DR43" s="18"/>
      <c r="DS43" s="18"/>
      <c r="DT43" s="18"/>
      <c r="DU43" s="18"/>
      <c r="DV43" s="18"/>
      <c r="DW43" s="18"/>
      <c r="DX43" s="18"/>
      <c r="DY43" s="18"/>
      <c r="DZ43" s="18"/>
      <c r="EA43" s="18"/>
      <c r="EB43" s="18"/>
      <c r="EC43" s="18"/>
      <c r="ED43" s="18"/>
      <c r="EE43" s="18"/>
      <c r="EF43" s="18"/>
      <c r="EG43" s="18"/>
      <c r="EH43" s="18"/>
      <c r="EI43" s="18"/>
      <c r="EJ43" s="18"/>
      <c r="EK43" s="18"/>
      <c r="EL43" s="18"/>
      <c r="EM43" s="18"/>
      <c r="EN43" s="18"/>
      <c r="EO43" s="18"/>
      <c r="EP43" s="18"/>
      <c r="EQ43" s="18"/>
      <c r="ER43" s="18"/>
      <c r="ES43" s="18"/>
      <c r="ET43" s="18"/>
      <c r="EU43" s="18"/>
      <c r="EV43" s="18"/>
      <c r="EW43" s="18"/>
      <c r="EX43" s="18"/>
      <c r="EY43" s="18"/>
      <c r="EZ43" s="18"/>
      <c r="FA43" s="18"/>
      <c r="FB43" s="18"/>
      <c r="FC43" s="18"/>
      <c r="FD43" s="18"/>
      <c r="FE43" s="18"/>
      <c r="FF43" s="18"/>
      <c r="FG43" s="18"/>
      <c r="FH43" s="18"/>
      <c r="FI43" s="18"/>
      <c r="FJ43" s="18"/>
      <c r="FK43" s="18"/>
      <c r="FL43" s="18"/>
      <c r="FM43" s="18"/>
      <c r="FN43" s="18"/>
      <c r="FO43" s="18"/>
      <c r="FP43" s="18"/>
      <c r="FQ43" s="18"/>
      <c r="FR43" s="18"/>
      <c r="FS43" s="18"/>
      <c r="FT43" s="18"/>
      <c r="FU43" s="18"/>
      <c r="FV43" s="18"/>
      <c r="FW43" s="18"/>
      <c r="FX43" s="18"/>
      <c r="FY43" s="18"/>
      <c r="FZ43" s="18"/>
      <c r="GA43" s="18"/>
      <c r="GB43" s="18"/>
      <c r="GC43" s="18"/>
      <c r="GD43" s="18"/>
      <c r="GE43" s="18"/>
      <c r="GF43" s="18"/>
      <c r="GG43" s="18"/>
      <c r="GH43" s="18"/>
      <c r="GI43" s="18"/>
      <c r="GJ43" s="18"/>
      <c r="GK43" s="18"/>
      <c r="GL43" s="18"/>
      <c r="GM43" s="18"/>
      <c r="GN43" s="18"/>
      <c r="GO43" s="18"/>
      <c r="GP43" s="18"/>
      <c r="GQ43" s="18"/>
      <c r="GR43" s="18"/>
      <c r="GS43" s="18"/>
      <c r="GT43" s="18"/>
      <c r="GU43" s="18"/>
      <c r="GV43" s="18"/>
      <c r="GW43" s="18"/>
      <c r="GX43" s="18"/>
      <c r="GY43" s="18"/>
      <c r="GZ43" s="18"/>
      <c r="HA43" s="18"/>
      <c r="HB43" s="18"/>
      <c r="HC43" s="18"/>
      <c r="HD43" s="18"/>
      <c r="HE43" s="18"/>
      <c r="HF43" s="18"/>
      <c r="HG43" s="18"/>
      <c r="HH43" s="18"/>
      <c r="HI43" s="18"/>
      <c r="HJ43" s="18"/>
      <c r="HK43" s="18"/>
      <c r="HL43" s="18"/>
      <c r="HM43" s="18"/>
      <c r="HN43" s="18"/>
      <c r="HO43" s="18"/>
      <c r="HP43" s="18"/>
      <c r="HQ43" s="18"/>
      <c r="HR43" s="18"/>
      <c r="HS43" s="18"/>
      <c r="HT43" s="18"/>
      <c r="HU43" s="18"/>
      <c r="HV43" s="18"/>
      <c r="HW43" s="18"/>
      <c r="HX43" s="18"/>
      <c r="HY43" s="18"/>
      <c r="HZ43" s="18"/>
      <c r="IA43" s="18"/>
      <c r="IB43" s="18"/>
      <c r="IC43" s="18"/>
      <c r="ID43" s="18"/>
      <c r="IE43" s="18"/>
      <c r="IF43" s="18"/>
      <c r="IG43" s="18"/>
      <c r="IH43" s="18"/>
      <c r="II43" s="18"/>
      <c r="IJ43" s="18"/>
      <c r="IK43" s="18"/>
      <c r="IL43" s="18"/>
      <c r="IM43" s="18"/>
      <c r="IN43" s="18"/>
      <c r="IO43" s="18"/>
      <c r="IP43" s="18"/>
      <c r="IQ43" s="18"/>
      <c r="IR43" s="18"/>
      <c r="IS43" s="18"/>
      <c r="IT43" s="18"/>
      <c r="IU43" s="18"/>
      <c r="IV43" s="18"/>
      <c r="IW43" s="18"/>
      <c r="IX43" s="18"/>
      <c r="IY43" s="18"/>
      <c r="IZ43" s="18"/>
      <c r="JA43" s="18"/>
      <c r="JB43" s="18"/>
      <c r="JC43" s="18"/>
      <c r="JD43" s="18"/>
      <c r="JE43" s="18"/>
      <c r="JF43" s="18"/>
      <c r="JG43" s="18"/>
      <c r="JH43" s="18"/>
      <c r="JI43" s="18"/>
      <c r="JJ43" s="18"/>
      <c r="JK43" s="18"/>
      <c r="JL43" s="18"/>
      <c r="JM43" s="18"/>
      <c r="JN43" s="18"/>
      <c r="JO43" s="18"/>
      <c r="JP43" s="18"/>
      <c r="JQ43" s="18"/>
      <c r="JR43" s="18"/>
      <c r="JS43" s="18"/>
      <c r="JT43" s="18"/>
      <c r="JU43" s="18"/>
      <c r="JV43" s="18"/>
      <c r="JW43" s="18"/>
      <c r="JX43" s="18"/>
      <c r="JY43" s="18"/>
      <c r="JZ43" s="18"/>
      <c r="KA43" s="18"/>
      <c r="KB43" s="18"/>
      <c r="KC43" s="18"/>
      <c r="KD43" s="18"/>
      <c r="KE43" s="18"/>
      <c r="KF43" s="18"/>
      <c r="KG43" s="18"/>
      <c r="KH43" s="18"/>
      <c r="KI43" s="18"/>
      <c r="KJ43" s="18"/>
      <c r="KK43" s="18"/>
      <c r="KL43" s="18"/>
      <c r="KM43" s="18"/>
      <c r="KN43" s="18"/>
      <c r="KO43" s="18"/>
      <c r="KP43" s="18"/>
      <c r="KQ43" s="18"/>
      <c r="KR43" s="18"/>
      <c r="KS43" s="18"/>
      <c r="KT43" s="18"/>
      <c r="KU43" s="18"/>
      <c r="KV43" s="18"/>
      <c r="KW43" s="18"/>
      <c r="KX43" s="18"/>
      <c r="KY43" s="18"/>
      <c r="KZ43" s="18"/>
      <c r="LA43" s="18"/>
      <c r="LB43" s="18"/>
      <c r="LC43" s="18"/>
      <c r="LD43" s="18"/>
      <c r="LE43" s="18"/>
      <c r="LF43" s="18"/>
      <c r="LG43" s="18"/>
      <c r="LH43" s="18"/>
      <c r="LI43" s="18"/>
      <c r="LJ43" s="18"/>
      <c r="LK43" s="18"/>
      <c r="LL43" s="18"/>
      <c r="LM43" s="18"/>
      <c r="LN43" s="18"/>
      <c r="LO43" s="18"/>
      <c r="LP43" s="18"/>
      <c r="LQ43" s="18"/>
      <c r="LR43" s="18"/>
      <c r="LS43" s="18"/>
      <c r="LT43" s="18"/>
      <c r="LU43" s="18"/>
      <c r="LV43" s="18"/>
      <c r="LW43" s="18"/>
      <c r="LX43" s="18"/>
      <c r="LY43" s="18"/>
      <c r="LZ43" s="18"/>
      <c r="MA43" s="18"/>
      <c r="MB43" s="18"/>
      <c r="MC43" s="18"/>
      <c r="MD43" s="18"/>
      <c r="ME43" s="18"/>
      <c r="MF43" s="18"/>
      <c r="MG43" s="18"/>
      <c r="MH43" s="18"/>
      <c r="MI43" s="18"/>
      <c r="MJ43" s="18"/>
      <c r="MK43" s="18"/>
      <c r="ML43" s="18"/>
      <c r="MM43" s="18"/>
      <c r="MN43" s="18"/>
      <c r="MO43" s="18"/>
      <c r="MP43" s="18"/>
      <c r="MQ43" s="18"/>
      <c r="MR43" s="18"/>
      <c r="MS43" s="18"/>
      <c r="MT43" s="18"/>
      <c r="MU43" s="18"/>
      <c r="MV43" s="18"/>
      <c r="MW43" s="18"/>
      <c r="MX43" s="18"/>
      <c r="MY43" s="18"/>
      <c r="MZ43" s="18"/>
      <c r="NA43" s="18"/>
      <c r="NB43" s="18"/>
      <c r="NC43" s="18"/>
      <c r="ND43" s="18"/>
      <c r="NE43" s="18"/>
      <c r="NF43" s="18"/>
      <c r="NG43" s="18"/>
      <c r="NH43" s="18"/>
      <c r="NI43" s="18"/>
      <c r="NJ43" s="18"/>
      <c r="NK43" s="18"/>
      <c r="NL43" s="18"/>
      <c r="NM43" s="18"/>
      <c r="NN43" s="18"/>
      <c r="NO43" s="18"/>
      <c r="NP43" s="18"/>
      <c r="NQ43" s="18"/>
      <c r="NR43" s="18"/>
      <c r="NS43" s="18"/>
      <c r="NT43" s="18"/>
      <c r="NU43" s="18"/>
      <c r="NV43" s="18"/>
      <c r="NW43" s="18"/>
      <c r="NX43" s="18"/>
      <c r="NY43" s="18"/>
      <c r="NZ43" s="18"/>
      <c r="OA43" s="18"/>
      <c r="OB43" s="18"/>
      <c r="OC43" s="18"/>
      <c r="OD43" s="18"/>
      <c r="OE43" s="18"/>
      <c r="OF43" s="18"/>
      <c r="OG43" s="18"/>
      <c r="OH43" s="18"/>
      <c r="OI43" s="18"/>
      <c r="OJ43" s="18"/>
      <c r="OK43" s="18"/>
      <c r="OL43" s="18"/>
      <c r="OM43" s="18"/>
      <c r="ON43" s="18"/>
      <c r="OO43" s="18"/>
      <c r="OP43" s="18"/>
      <c r="OQ43" s="18"/>
      <c r="OR43" s="18"/>
      <c r="OS43" s="18"/>
      <c r="OT43" s="18"/>
      <c r="OU43" s="18"/>
      <c r="OV43" s="18"/>
      <c r="OW43" s="18"/>
      <c r="OX43" s="18"/>
      <c r="OY43" s="18"/>
      <c r="OZ43" s="18"/>
      <c r="PA43" s="18"/>
      <c r="PB43" s="18"/>
      <c r="PC43" s="18"/>
      <c r="PD43" s="18"/>
      <c r="PE43" s="18"/>
      <c r="PF43" s="18"/>
      <c r="PG43" s="18"/>
      <c r="PH43" s="18"/>
      <c r="PI43" s="18"/>
      <c r="PJ43" s="18"/>
      <c r="PK43" s="18"/>
      <c r="PL43" s="18"/>
      <c r="PM43" s="18"/>
      <c r="PN43" s="18"/>
      <c r="PO43" s="18"/>
      <c r="PP43" s="18"/>
      <c r="PQ43" s="18"/>
      <c r="PR43" s="18"/>
      <c r="PS43" s="18"/>
      <c r="PT43" s="18"/>
      <c r="PU43" s="18"/>
      <c r="PV43" s="18"/>
      <c r="PW43" s="18"/>
      <c r="PX43" s="18"/>
      <c r="PY43" s="18"/>
      <c r="PZ43" s="18"/>
      <c r="QA43" s="18"/>
      <c r="QB43" s="18"/>
      <c r="QC43" s="18"/>
      <c r="QD43" s="18"/>
      <c r="QE43" s="18"/>
      <c r="QF43" s="18"/>
      <c r="QG43" s="18"/>
      <c r="QH43" s="18"/>
      <c r="QI43" s="18"/>
      <c r="QJ43" s="18"/>
      <c r="QK43" s="18"/>
      <c r="QL43" s="18"/>
      <c r="QM43" s="18"/>
      <c r="QN43" s="18"/>
      <c r="QO43" s="18"/>
      <c r="QP43" s="18"/>
      <c r="QQ43" s="18"/>
      <c r="QR43" s="18"/>
      <c r="QS43" s="18"/>
      <c r="QT43" s="18"/>
      <c r="QU43" s="18"/>
      <c r="QV43" s="18"/>
      <c r="QW43" s="18"/>
      <c r="QX43" s="18"/>
      <c r="QY43" s="18"/>
      <c r="QZ43" s="18"/>
      <c r="RA43" s="18"/>
      <c r="RB43" s="18"/>
      <c r="RC43" s="18"/>
      <c r="RD43" s="18"/>
      <c r="RE43" s="18"/>
      <c r="RF43" s="18"/>
      <c r="RG43" s="18"/>
      <c r="RH43" s="18"/>
      <c r="RI43" s="18"/>
      <c r="RJ43" s="18"/>
      <c r="RK43" s="18"/>
      <c r="RL43" s="18"/>
      <c r="RM43" s="18"/>
      <c r="RN43" s="18"/>
      <c r="RO43" s="18"/>
      <c r="RP43" s="18"/>
      <c r="RQ43" s="18"/>
      <c r="RR43" s="18"/>
      <c r="RS43" s="18"/>
      <c r="RT43" s="18"/>
      <c r="RU43" s="18"/>
      <c r="RV43" s="18"/>
      <c r="RW43" s="18"/>
      <c r="RX43" s="18"/>
      <c r="RY43" s="18"/>
      <c r="RZ43" s="18"/>
      <c r="SA43" s="18"/>
      <c r="SB43" s="18"/>
      <c r="SC43" s="18"/>
      <c r="SD43" s="18"/>
      <c r="SE43" s="18"/>
      <c r="SF43" s="18"/>
      <c r="SG43" s="18"/>
      <c r="SH43" s="18"/>
      <c r="SI43" s="18"/>
      <c r="SJ43" s="18"/>
      <c r="SK43" s="18"/>
      <c r="SL43" s="18"/>
      <c r="SM43" s="18"/>
      <c r="SN43" s="18"/>
      <c r="SO43" s="18"/>
      <c r="SP43" s="18"/>
      <c r="SQ43" s="18"/>
      <c r="SR43" s="18"/>
      <c r="SS43" s="18"/>
      <c r="ST43" s="18"/>
      <c r="SU43" s="18"/>
      <c r="SV43" s="18"/>
      <c r="SW43" s="18"/>
      <c r="SX43" s="18"/>
      <c r="SY43" s="18"/>
      <c r="SZ43" s="18"/>
      <c r="TA43" s="18"/>
      <c r="TB43" s="18"/>
      <c r="TC43" s="18"/>
      <c r="TD43" s="18"/>
      <c r="TE43" s="18"/>
      <c r="TF43" s="18"/>
      <c r="TG43" s="18"/>
      <c r="TH43" s="18"/>
      <c r="TI43" s="18"/>
      <c r="TJ43" s="18"/>
      <c r="TK43" s="18"/>
      <c r="TL43" s="18"/>
      <c r="TM43" s="18"/>
      <c r="TN43" s="18"/>
      <c r="TO43" s="18"/>
      <c r="TP43" s="18"/>
      <c r="TQ43" s="18"/>
      <c r="TR43" s="18"/>
      <c r="TS43" s="18"/>
      <c r="TT43" s="18"/>
      <c r="TU43" s="18"/>
      <c r="TV43" s="18"/>
      <c r="TW43" s="18"/>
      <c r="TX43" s="18"/>
      <c r="TY43" s="18"/>
      <c r="TZ43" s="18"/>
      <c r="UA43" s="18"/>
      <c r="UB43" s="18"/>
      <c r="UC43" s="18"/>
      <c r="UD43" s="18"/>
      <c r="UE43" s="18"/>
      <c r="UF43" s="18"/>
      <c r="UG43" s="18"/>
      <c r="UH43" s="18"/>
      <c r="UI43" s="18"/>
      <c r="UJ43" s="18"/>
      <c r="UK43" s="18"/>
      <c r="UL43" s="18"/>
      <c r="UM43" s="18"/>
      <c r="UN43" s="18"/>
      <c r="UO43" s="18"/>
      <c r="UP43" s="18"/>
      <c r="UQ43" s="18"/>
      <c r="UR43" s="18"/>
      <c r="US43" s="18"/>
      <c r="UT43" s="18"/>
      <c r="UU43" s="18"/>
      <c r="UV43" s="18"/>
      <c r="UW43" s="18"/>
      <c r="UX43" s="18"/>
      <c r="UY43" s="18"/>
      <c r="UZ43" s="18"/>
      <c r="VA43" s="18"/>
      <c r="VB43" s="18"/>
      <c r="VC43" s="18"/>
      <c r="VD43" s="18"/>
      <c r="VE43" s="18"/>
      <c r="VF43" s="18"/>
      <c r="VG43" s="18"/>
      <c r="VH43" s="18"/>
      <c r="VI43" s="18"/>
      <c r="VJ43" s="18"/>
      <c r="VK43" s="18"/>
      <c r="VL43" s="18"/>
      <c r="VM43" s="18"/>
      <c r="VN43" s="18"/>
      <c r="VO43" s="18"/>
      <c r="VP43" s="18"/>
      <c r="VQ43" s="18"/>
      <c r="VR43" s="18"/>
      <c r="VS43" s="18"/>
      <c r="VT43" s="18"/>
      <c r="VU43" s="18"/>
      <c r="VV43" s="18"/>
      <c r="VW43" s="18"/>
      <c r="VX43" s="18"/>
      <c r="VY43" s="18"/>
      <c r="VZ43" s="18"/>
      <c r="WA43" s="18"/>
      <c r="WB43" s="18"/>
      <c r="WC43" s="18"/>
      <c r="WD43" s="18"/>
      <c r="WE43" s="18"/>
      <c r="WF43" s="18"/>
      <c r="WG43" s="18"/>
      <c r="WH43" s="18"/>
      <c r="WI43" s="18"/>
      <c r="WJ43" s="18"/>
      <c r="WK43" s="18"/>
      <c r="WL43" s="18"/>
      <c r="WM43" s="18"/>
      <c r="WN43" s="18"/>
      <c r="WO43" s="18"/>
      <c r="WP43" s="18"/>
      <c r="WQ43" s="18"/>
      <c r="WR43" s="18"/>
      <c r="WS43" s="18"/>
      <c r="WT43" s="18"/>
      <c r="WU43" s="18"/>
      <c r="WV43" s="18"/>
      <c r="WW43" s="18"/>
      <c r="WX43" s="18"/>
      <c r="WY43" s="18"/>
      <c r="WZ43" s="18"/>
      <c r="XA43" s="18"/>
      <c r="XB43" s="18"/>
      <c r="XC43" s="18"/>
      <c r="XD43" s="18"/>
      <c r="XE43" s="18"/>
      <c r="XF43" s="18"/>
      <c r="XG43" s="18"/>
      <c r="XH43" s="18"/>
      <c r="XI43" s="18"/>
      <c r="XJ43" s="18"/>
      <c r="XK43" s="18"/>
      <c r="XL43" s="18"/>
      <c r="XM43" s="18"/>
      <c r="XN43" s="18"/>
      <c r="XO43" s="18"/>
      <c r="XP43" s="18"/>
      <c r="XQ43" s="18"/>
      <c r="XR43" s="18"/>
      <c r="XS43" s="18"/>
      <c r="XT43" s="18"/>
      <c r="XU43" s="18"/>
      <c r="XV43" s="18"/>
      <c r="XW43" s="18"/>
      <c r="XX43" s="18"/>
      <c r="XY43" s="18"/>
      <c r="XZ43" s="18"/>
      <c r="YA43" s="18"/>
      <c r="YB43" s="18"/>
      <c r="YC43" s="18"/>
      <c r="YD43" s="18"/>
      <c r="YE43" s="18"/>
      <c r="YF43" s="18"/>
      <c r="YG43" s="18"/>
      <c r="YH43" s="18"/>
      <c r="YI43" s="18"/>
      <c r="YJ43" s="18"/>
      <c r="YK43" s="18"/>
      <c r="YL43" s="18"/>
      <c r="YM43" s="18"/>
      <c r="YN43" s="18"/>
      <c r="YO43" s="18"/>
      <c r="YP43" s="18"/>
      <c r="YQ43" s="18"/>
      <c r="YR43" s="18"/>
      <c r="YS43" s="18"/>
      <c r="YT43" s="18"/>
      <c r="YU43" s="18"/>
      <c r="YV43" s="18"/>
      <c r="YW43" s="18"/>
      <c r="YX43" s="18"/>
      <c r="YY43" s="18"/>
      <c r="YZ43" s="18"/>
      <c r="ZA43" s="18"/>
      <c r="ZB43" s="18"/>
      <c r="ZC43" s="18"/>
      <c r="ZD43" s="18"/>
      <c r="ZE43" s="18"/>
      <c r="ZF43" s="18"/>
      <c r="ZG43" s="18"/>
      <c r="ZH43" s="18"/>
      <c r="ZI43" s="18"/>
      <c r="ZJ43" s="18"/>
      <c r="ZK43" s="18"/>
      <c r="ZL43" s="18"/>
      <c r="ZM43" s="18"/>
      <c r="ZN43" s="18"/>
      <c r="ZO43" s="18"/>
      <c r="ZP43" s="18"/>
      <c r="ZQ43" s="18"/>
      <c r="ZR43" s="18"/>
      <c r="ZS43" s="18"/>
      <c r="ZT43" s="18"/>
      <c r="ZU43" s="18"/>
      <c r="ZV43" s="18"/>
      <c r="ZW43" s="18"/>
      <c r="ZX43" s="18"/>
      <c r="ZY43" s="18"/>
      <c r="ZZ43" s="18"/>
      <c r="AAA43" s="18"/>
      <c r="AAB43" s="18"/>
      <c r="AAC43" s="18"/>
      <c r="AAD43" s="18"/>
      <c r="AAE43" s="18"/>
      <c r="AAF43" s="18"/>
      <c r="AAG43" s="18"/>
      <c r="AAH43" s="18"/>
      <c r="AAI43" s="18"/>
      <c r="AAJ43" s="18"/>
      <c r="AAK43" s="18"/>
      <c r="AAL43" s="18"/>
      <c r="AAM43" s="18"/>
      <c r="AAN43" s="18"/>
      <c r="AAO43" s="18"/>
      <c r="AAP43" s="18"/>
      <c r="AAQ43" s="18"/>
      <c r="AAR43" s="18"/>
      <c r="AAS43" s="18"/>
      <c r="AAT43" s="18"/>
      <c r="AAU43" s="18"/>
      <c r="AAV43" s="18"/>
      <c r="AAW43" s="18"/>
      <c r="AAX43" s="18"/>
      <c r="AAY43" s="18"/>
      <c r="AAZ43" s="18"/>
      <c r="ABA43" s="18"/>
      <c r="ABB43" s="18"/>
      <c r="ABC43" s="18"/>
      <c r="ABD43" s="18"/>
      <c r="ABE43" s="18"/>
      <c r="ABF43" s="18"/>
      <c r="ABG43" s="18"/>
      <c r="ABH43" s="18"/>
      <c r="ABI43" s="18"/>
      <c r="ABJ43" s="18"/>
      <c r="ABK43" s="18"/>
      <c r="ABL43" s="18"/>
      <c r="ABM43" s="18"/>
      <c r="ABN43" s="18"/>
      <c r="ABO43" s="18"/>
      <c r="ABP43" s="18"/>
      <c r="ABQ43" s="18"/>
      <c r="ABR43" s="18"/>
      <c r="ABS43" s="18"/>
      <c r="ABT43" s="18"/>
      <c r="ABU43" s="18"/>
      <c r="ABV43" s="18"/>
      <c r="ABW43" s="18"/>
      <c r="ABX43" s="18"/>
      <c r="ABY43" s="18"/>
      <c r="ABZ43" s="18"/>
      <c r="ACA43" s="18"/>
      <c r="ACB43" s="18"/>
      <c r="ACC43" s="18"/>
      <c r="ACD43" s="18"/>
      <c r="ACE43" s="18"/>
      <c r="ACF43" s="18"/>
      <c r="ACG43" s="18"/>
      <c r="ACH43" s="18"/>
      <c r="ACI43" s="18"/>
      <c r="ACJ43" s="18"/>
      <c r="ACK43" s="18"/>
      <c r="ACL43" s="18"/>
      <c r="ACM43" s="18"/>
      <c r="ACN43" s="18"/>
      <c r="ACO43" s="18"/>
      <c r="ACP43" s="18"/>
      <c r="ACQ43" s="18"/>
      <c r="ACR43" s="18"/>
      <c r="ACS43" s="18"/>
      <c r="ACT43" s="18"/>
      <c r="ACU43" s="18"/>
      <c r="ACV43" s="18"/>
      <c r="ACW43" s="18"/>
      <c r="ACX43" s="18"/>
      <c r="ACY43" s="18"/>
      <c r="ACZ43" s="18"/>
      <c r="ADA43" s="18"/>
      <c r="ADB43" s="18"/>
      <c r="ADC43" s="18"/>
      <c r="ADD43" s="18"/>
      <c r="ADE43" s="18"/>
      <c r="ADF43" s="18"/>
      <c r="ADG43" s="18"/>
      <c r="ADH43" s="18"/>
      <c r="ADI43" s="18"/>
      <c r="ADJ43" s="18"/>
      <c r="ADK43" s="18"/>
      <c r="ADL43" s="18"/>
      <c r="ADM43" s="18"/>
      <c r="ADN43" s="18"/>
      <c r="ADO43" s="18"/>
      <c r="ADP43" s="18"/>
      <c r="ADQ43" s="18"/>
      <c r="ADR43" s="18"/>
      <c r="ADS43" s="18"/>
      <c r="ADT43" s="18"/>
      <c r="ADU43" s="18"/>
      <c r="ADV43" s="18"/>
      <c r="ADW43" s="18"/>
      <c r="ADX43" s="18"/>
      <c r="ADY43" s="18"/>
      <c r="ADZ43" s="18"/>
      <c r="AEA43" s="18"/>
      <c r="AEB43" s="18"/>
      <c r="AEC43" s="18"/>
      <c r="AED43" s="18"/>
      <c r="AEE43" s="18"/>
      <c r="AEF43" s="18"/>
      <c r="AEG43" s="18"/>
      <c r="AEH43" s="18"/>
      <c r="AEI43" s="18"/>
      <c r="AEJ43" s="18"/>
      <c r="AEK43" s="18"/>
      <c r="AEL43" s="18"/>
      <c r="AEM43" s="18"/>
      <c r="AEN43" s="18"/>
      <c r="AEO43" s="18"/>
      <c r="AEP43" s="18"/>
      <c r="AEQ43" s="18"/>
      <c r="AER43" s="18"/>
      <c r="AES43" s="18"/>
      <c r="AET43" s="18"/>
      <c r="AEU43" s="18"/>
      <c r="AEV43" s="18"/>
      <c r="AEW43" s="18"/>
      <c r="AEX43" s="18"/>
      <c r="AEY43" s="18"/>
      <c r="AEZ43" s="18"/>
      <c r="AFA43" s="18"/>
      <c r="AFB43" s="18"/>
      <c r="AFC43" s="18"/>
      <c r="AFD43" s="18"/>
      <c r="AFE43" s="18"/>
      <c r="AFF43" s="18"/>
      <c r="AFG43" s="18"/>
      <c r="AFH43" s="18"/>
      <c r="AFI43" s="18"/>
      <c r="AFJ43" s="18"/>
      <c r="AFK43" s="18"/>
      <c r="AFL43" s="18"/>
      <c r="AFM43" s="18"/>
      <c r="AFN43" s="18"/>
      <c r="AFO43" s="18"/>
      <c r="AFP43" s="18"/>
      <c r="AFQ43" s="18"/>
      <c r="AFR43" s="18"/>
      <c r="AFS43" s="18"/>
      <c r="AFT43" s="18"/>
      <c r="AFU43" s="18"/>
      <c r="AFV43" s="18"/>
      <c r="AFW43" s="18"/>
      <c r="AFX43" s="18"/>
      <c r="AFY43" s="18"/>
      <c r="AFZ43" s="18"/>
      <c r="AGA43" s="18"/>
      <c r="AGB43" s="18"/>
      <c r="AGC43" s="18"/>
      <c r="AGD43" s="18"/>
      <c r="AGE43" s="18"/>
      <c r="AGF43" s="18"/>
      <c r="AGG43" s="18"/>
      <c r="AGH43" s="18"/>
      <c r="AGI43" s="18"/>
      <c r="AGJ43" s="18"/>
      <c r="AGK43" s="18"/>
      <c r="AGL43" s="18"/>
      <c r="AGM43" s="18"/>
      <c r="AGN43" s="18"/>
      <c r="AGO43" s="18"/>
      <c r="AGP43" s="18"/>
      <c r="AGQ43" s="18"/>
      <c r="AGR43" s="18"/>
      <c r="AGS43" s="18"/>
      <c r="AGT43" s="18"/>
      <c r="AGU43" s="18"/>
      <c r="AGV43" s="18"/>
      <c r="AGW43" s="18"/>
      <c r="AGX43" s="18"/>
      <c r="AGY43" s="18"/>
      <c r="AGZ43" s="18"/>
      <c r="AHA43" s="18"/>
      <c r="AHB43" s="18"/>
      <c r="AHC43" s="18"/>
      <c r="AHD43" s="18"/>
      <c r="AHE43" s="18"/>
      <c r="AHF43" s="18"/>
      <c r="AHG43" s="18"/>
      <c r="AHH43" s="18"/>
      <c r="AHI43" s="18"/>
      <c r="AHJ43" s="18"/>
      <c r="AHK43" s="18"/>
      <c r="AHL43" s="18"/>
      <c r="AHM43" s="18"/>
      <c r="AHN43" s="18"/>
      <c r="AHO43" s="18"/>
      <c r="AHP43" s="18"/>
      <c r="AHQ43" s="18"/>
      <c r="AHR43" s="18"/>
      <c r="AHS43" s="18"/>
      <c r="AHT43" s="18"/>
      <c r="AHU43" s="18"/>
      <c r="AHV43" s="18"/>
      <c r="AHW43" s="18"/>
      <c r="AHX43" s="18"/>
      <c r="AHY43" s="18"/>
      <c r="AHZ43" s="18"/>
      <c r="AIA43" s="18"/>
      <c r="AIB43" s="18"/>
      <c r="AIC43" s="18"/>
      <c r="AID43" s="18"/>
      <c r="AIE43" s="18"/>
      <c r="AIF43" s="18"/>
      <c r="AIG43" s="18"/>
      <c r="AIH43" s="18"/>
      <c r="AII43" s="18"/>
      <c r="AIJ43" s="18"/>
      <c r="AIK43" s="18"/>
      <c r="AIL43" s="18"/>
      <c r="AIM43" s="18"/>
      <c r="AIN43" s="18"/>
      <c r="AIO43" s="18"/>
      <c r="AIP43" s="18"/>
      <c r="AIQ43" s="18"/>
      <c r="AIR43" s="18"/>
      <c r="AIS43" s="18"/>
      <c r="AIT43" s="18"/>
      <c r="AIU43" s="18"/>
      <c r="AIV43" s="18"/>
      <c r="AIW43" s="18"/>
      <c r="AIX43" s="18"/>
      <c r="AIY43" s="18"/>
      <c r="AIZ43" s="18"/>
      <c r="AJA43" s="18"/>
      <c r="AJB43" s="18"/>
      <c r="AJC43" s="18"/>
      <c r="AJD43" s="18"/>
      <c r="AJE43" s="18"/>
      <c r="AJF43" s="18"/>
      <c r="AJG43" s="18"/>
      <c r="AJH43" s="18"/>
      <c r="AJI43" s="18"/>
      <c r="AJJ43" s="18"/>
      <c r="AJK43" s="18"/>
      <c r="AJL43" s="18"/>
      <c r="AJM43" s="18"/>
      <c r="AJN43" s="18"/>
      <c r="AJO43" s="18"/>
      <c r="AJP43" s="18"/>
      <c r="AJQ43" s="18"/>
      <c r="AJR43" s="18"/>
      <c r="AJS43" s="18"/>
      <c r="AJT43" s="18"/>
      <c r="AJU43" s="18"/>
      <c r="AJV43" s="18"/>
      <c r="AJW43" s="18"/>
      <c r="AJX43" s="18"/>
      <c r="AJY43" s="18"/>
      <c r="AJZ43" s="18"/>
      <c r="AKA43" s="18"/>
      <c r="AKB43" s="18"/>
      <c r="AKC43" s="18"/>
      <c r="AKD43" s="18"/>
      <c r="AKE43" s="18"/>
      <c r="AKF43" s="18"/>
      <c r="AKG43" s="18"/>
      <c r="AKH43" s="18"/>
      <c r="AKI43" s="18"/>
      <c r="AKJ43" s="18"/>
      <c r="AKK43" s="18"/>
      <c r="AKL43" s="18"/>
      <c r="AKM43" s="18"/>
      <c r="AKN43" s="18"/>
      <c r="AKO43" s="18"/>
      <c r="AKP43" s="18"/>
      <c r="AKQ43" s="18"/>
      <c r="AKR43" s="18"/>
      <c r="AKS43" s="18"/>
      <c r="AKT43" s="18"/>
      <c r="AKU43" s="18"/>
      <c r="AKV43" s="18"/>
      <c r="AKW43" s="18"/>
      <c r="AKX43" s="18"/>
      <c r="AKY43" s="18"/>
      <c r="AKZ43" s="18"/>
      <c r="ALA43" s="18"/>
      <c r="ALB43" s="18"/>
      <c r="ALC43" s="18"/>
      <c r="ALD43" s="18"/>
      <c r="ALE43" s="18"/>
      <c r="ALF43" s="18"/>
      <c r="ALG43" s="18"/>
      <c r="ALH43" s="18"/>
      <c r="ALI43" s="18"/>
      <c r="ALJ43" s="18"/>
      <c r="ALK43" s="18"/>
      <c r="ALL43" s="18"/>
      <c r="ALM43" s="18"/>
      <c r="ALN43" s="18"/>
      <c r="ALO43" s="18"/>
      <c r="ALP43" s="18"/>
      <c r="ALQ43" s="18"/>
      <c r="ALR43" s="18"/>
      <c r="ALS43" s="18"/>
      <c r="ALT43" s="18"/>
      <c r="ALU43" s="18"/>
      <c r="ALV43" s="18"/>
      <c r="ALW43" s="18"/>
      <c r="ALX43" s="18"/>
      <c r="ALY43" s="18"/>
      <c r="ALZ43" s="18"/>
      <c r="AMA43" s="18"/>
      <c r="AMB43" s="18"/>
      <c r="AMC43" s="18"/>
      <c r="AMD43" s="18"/>
      <c r="AME43" s="18"/>
      <c r="AMF43" s="18"/>
      <c r="AMG43" s="18"/>
      <c r="AMH43" s="18"/>
    </row>
    <row r="44" spans="1:1022" s="23" customFormat="1" x14ac:dyDescent="0.3">
      <c r="A44" s="33">
        <v>140</v>
      </c>
      <c r="B44" s="19"/>
      <c r="C44" s="19"/>
      <c r="D44" s="57" t="s">
        <v>315</v>
      </c>
      <c r="E44" s="34" t="s">
        <v>466</v>
      </c>
      <c r="F44" s="39"/>
      <c r="G44" s="39"/>
      <c r="H44" s="38" t="s">
        <v>281</v>
      </c>
      <c r="I44" s="40"/>
      <c r="J44" s="40"/>
      <c r="K44" s="31"/>
      <c r="L44" s="40"/>
      <c r="M44" s="41"/>
      <c r="N44" s="32"/>
      <c r="O44" s="18"/>
      <c r="P44" s="36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  <c r="CM44" s="18"/>
      <c r="CN44" s="18"/>
      <c r="CO44" s="18"/>
      <c r="CP44" s="18"/>
      <c r="CQ44" s="18"/>
      <c r="CR44" s="18"/>
      <c r="CS44" s="18"/>
      <c r="CT44" s="18"/>
      <c r="CU44" s="18"/>
      <c r="CV44" s="18"/>
      <c r="CW44" s="18"/>
      <c r="CX44" s="18"/>
      <c r="CY44" s="18"/>
      <c r="CZ44" s="18"/>
      <c r="DA44" s="18"/>
      <c r="DB44" s="18"/>
      <c r="DC44" s="18"/>
      <c r="DD44" s="18"/>
      <c r="DE44" s="18"/>
      <c r="DF44" s="18"/>
      <c r="DG44" s="18"/>
      <c r="DH44" s="18"/>
      <c r="DI44" s="18"/>
      <c r="DJ44" s="18"/>
      <c r="DK44" s="18"/>
      <c r="DL44" s="18"/>
      <c r="DM44" s="18"/>
      <c r="DN44" s="18"/>
      <c r="DO44" s="18"/>
      <c r="DP44" s="18"/>
      <c r="DQ44" s="18"/>
      <c r="DR44" s="18"/>
      <c r="DS44" s="18"/>
      <c r="DT44" s="18"/>
      <c r="DU44" s="18"/>
      <c r="DV44" s="18"/>
      <c r="DW44" s="18"/>
      <c r="DX44" s="18"/>
      <c r="DY44" s="18"/>
      <c r="DZ44" s="18"/>
      <c r="EA44" s="18"/>
      <c r="EB44" s="18"/>
      <c r="EC44" s="18"/>
      <c r="ED44" s="18"/>
      <c r="EE44" s="18"/>
      <c r="EF44" s="18"/>
      <c r="EG44" s="18"/>
      <c r="EH44" s="18"/>
      <c r="EI44" s="18"/>
      <c r="EJ44" s="18"/>
      <c r="EK44" s="18"/>
      <c r="EL44" s="18"/>
      <c r="EM44" s="18"/>
      <c r="EN44" s="18"/>
      <c r="EO44" s="18"/>
      <c r="EP44" s="18"/>
      <c r="EQ44" s="18"/>
      <c r="ER44" s="18"/>
      <c r="ES44" s="18"/>
      <c r="ET44" s="18"/>
      <c r="EU44" s="18"/>
      <c r="EV44" s="18"/>
      <c r="EW44" s="18"/>
      <c r="EX44" s="18"/>
      <c r="EY44" s="18"/>
      <c r="EZ44" s="18"/>
      <c r="FA44" s="18"/>
      <c r="FB44" s="18"/>
      <c r="FC44" s="18"/>
      <c r="FD44" s="18"/>
      <c r="FE44" s="18"/>
      <c r="FF44" s="18"/>
      <c r="FG44" s="18"/>
      <c r="FH44" s="18"/>
      <c r="FI44" s="18"/>
      <c r="FJ44" s="18"/>
      <c r="FK44" s="18"/>
      <c r="FL44" s="18"/>
      <c r="FM44" s="18"/>
      <c r="FN44" s="18"/>
      <c r="FO44" s="18"/>
      <c r="FP44" s="18"/>
      <c r="FQ44" s="18"/>
      <c r="FR44" s="18"/>
      <c r="FS44" s="18"/>
      <c r="FT44" s="18"/>
      <c r="FU44" s="18"/>
      <c r="FV44" s="18"/>
      <c r="FW44" s="18"/>
      <c r="FX44" s="18"/>
      <c r="FY44" s="18"/>
      <c r="FZ44" s="18"/>
      <c r="GA44" s="18"/>
      <c r="GB44" s="18"/>
      <c r="GC44" s="18"/>
      <c r="GD44" s="18"/>
      <c r="GE44" s="18"/>
      <c r="GF44" s="18"/>
      <c r="GG44" s="18"/>
      <c r="GH44" s="18"/>
      <c r="GI44" s="18"/>
      <c r="GJ44" s="18"/>
      <c r="GK44" s="18"/>
      <c r="GL44" s="18"/>
      <c r="GM44" s="18"/>
      <c r="GN44" s="18"/>
      <c r="GO44" s="18"/>
      <c r="GP44" s="18"/>
      <c r="GQ44" s="18"/>
      <c r="GR44" s="18"/>
      <c r="GS44" s="18"/>
      <c r="GT44" s="18"/>
      <c r="GU44" s="18"/>
      <c r="GV44" s="18"/>
      <c r="GW44" s="18"/>
      <c r="GX44" s="18"/>
      <c r="GY44" s="18"/>
      <c r="GZ44" s="18"/>
      <c r="HA44" s="18"/>
      <c r="HB44" s="18"/>
      <c r="HC44" s="18"/>
      <c r="HD44" s="18"/>
      <c r="HE44" s="18"/>
      <c r="HF44" s="18"/>
      <c r="HG44" s="18"/>
      <c r="HH44" s="18"/>
      <c r="HI44" s="18"/>
      <c r="HJ44" s="18"/>
      <c r="HK44" s="18"/>
      <c r="HL44" s="18"/>
      <c r="HM44" s="18"/>
      <c r="HN44" s="18"/>
      <c r="HO44" s="18"/>
      <c r="HP44" s="18"/>
      <c r="HQ44" s="18"/>
      <c r="HR44" s="18"/>
      <c r="HS44" s="18"/>
      <c r="HT44" s="18"/>
      <c r="HU44" s="18"/>
      <c r="HV44" s="18"/>
      <c r="HW44" s="18"/>
      <c r="HX44" s="18"/>
      <c r="HY44" s="18"/>
      <c r="HZ44" s="18"/>
      <c r="IA44" s="18"/>
      <c r="IB44" s="18"/>
      <c r="IC44" s="18"/>
      <c r="ID44" s="18"/>
      <c r="IE44" s="18"/>
      <c r="IF44" s="18"/>
      <c r="IG44" s="18"/>
      <c r="IH44" s="18"/>
      <c r="II44" s="18"/>
      <c r="IJ44" s="18"/>
      <c r="IK44" s="18"/>
      <c r="IL44" s="18"/>
      <c r="IM44" s="18"/>
      <c r="IN44" s="18"/>
      <c r="IO44" s="18"/>
      <c r="IP44" s="18"/>
      <c r="IQ44" s="18"/>
      <c r="IR44" s="18"/>
      <c r="IS44" s="18"/>
      <c r="IT44" s="18"/>
      <c r="IU44" s="18"/>
      <c r="IV44" s="18"/>
      <c r="IW44" s="18"/>
      <c r="IX44" s="18"/>
      <c r="IY44" s="18"/>
      <c r="IZ44" s="18"/>
      <c r="JA44" s="18"/>
      <c r="JB44" s="18"/>
      <c r="JC44" s="18"/>
      <c r="JD44" s="18"/>
      <c r="JE44" s="18"/>
      <c r="JF44" s="18"/>
      <c r="JG44" s="18"/>
      <c r="JH44" s="18"/>
      <c r="JI44" s="18"/>
      <c r="JJ44" s="18"/>
      <c r="JK44" s="18"/>
      <c r="JL44" s="18"/>
      <c r="JM44" s="18"/>
      <c r="JN44" s="18"/>
      <c r="JO44" s="18"/>
      <c r="JP44" s="18"/>
      <c r="JQ44" s="18"/>
      <c r="JR44" s="18"/>
      <c r="JS44" s="18"/>
      <c r="JT44" s="18"/>
      <c r="JU44" s="18"/>
      <c r="JV44" s="18"/>
      <c r="JW44" s="18"/>
      <c r="JX44" s="18"/>
      <c r="JY44" s="18"/>
      <c r="JZ44" s="18"/>
      <c r="KA44" s="18"/>
      <c r="KB44" s="18"/>
      <c r="KC44" s="18"/>
      <c r="KD44" s="18"/>
      <c r="KE44" s="18"/>
      <c r="KF44" s="18"/>
      <c r="KG44" s="18"/>
      <c r="KH44" s="18"/>
      <c r="KI44" s="18"/>
      <c r="KJ44" s="18"/>
      <c r="KK44" s="18"/>
      <c r="KL44" s="18"/>
      <c r="KM44" s="18"/>
      <c r="KN44" s="18"/>
      <c r="KO44" s="18"/>
      <c r="KP44" s="18"/>
      <c r="KQ44" s="18"/>
      <c r="KR44" s="18"/>
      <c r="KS44" s="18"/>
      <c r="KT44" s="18"/>
      <c r="KU44" s="18"/>
      <c r="KV44" s="18"/>
      <c r="KW44" s="18"/>
      <c r="KX44" s="18"/>
      <c r="KY44" s="18"/>
      <c r="KZ44" s="18"/>
      <c r="LA44" s="18"/>
      <c r="LB44" s="18"/>
      <c r="LC44" s="18"/>
      <c r="LD44" s="18"/>
      <c r="LE44" s="18"/>
      <c r="LF44" s="18"/>
      <c r="LG44" s="18"/>
      <c r="LH44" s="18"/>
      <c r="LI44" s="18"/>
      <c r="LJ44" s="18"/>
      <c r="LK44" s="18"/>
      <c r="LL44" s="18"/>
      <c r="LM44" s="18"/>
      <c r="LN44" s="18"/>
      <c r="LO44" s="18"/>
      <c r="LP44" s="18"/>
      <c r="LQ44" s="18"/>
      <c r="LR44" s="18"/>
      <c r="LS44" s="18"/>
      <c r="LT44" s="18"/>
      <c r="LU44" s="18"/>
      <c r="LV44" s="18"/>
      <c r="LW44" s="18"/>
      <c r="LX44" s="18"/>
      <c r="LY44" s="18"/>
      <c r="LZ44" s="18"/>
      <c r="MA44" s="18"/>
      <c r="MB44" s="18"/>
      <c r="MC44" s="18"/>
      <c r="MD44" s="18"/>
      <c r="ME44" s="18"/>
      <c r="MF44" s="18"/>
      <c r="MG44" s="18"/>
      <c r="MH44" s="18"/>
      <c r="MI44" s="18"/>
      <c r="MJ44" s="18"/>
      <c r="MK44" s="18"/>
      <c r="ML44" s="18"/>
      <c r="MM44" s="18"/>
      <c r="MN44" s="18"/>
      <c r="MO44" s="18"/>
      <c r="MP44" s="18"/>
      <c r="MQ44" s="18"/>
      <c r="MR44" s="18"/>
      <c r="MS44" s="18"/>
      <c r="MT44" s="18"/>
      <c r="MU44" s="18"/>
      <c r="MV44" s="18"/>
      <c r="MW44" s="18"/>
      <c r="MX44" s="18"/>
      <c r="MY44" s="18"/>
      <c r="MZ44" s="18"/>
      <c r="NA44" s="18"/>
      <c r="NB44" s="18"/>
      <c r="NC44" s="18"/>
      <c r="ND44" s="18"/>
      <c r="NE44" s="18"/>
      <c r="NF44" s="18"/>
      <c r="NG44" s="18"/>
      <c r="NH44" s="18"/>
      <c r="NI44" s="18"/>
      <c r="NJ44" s="18"/>
      <c r="NK44" s="18"/>
      <c r="NL44" s="18"/>
      <c r="NM44" s="18"/>
      <c r="NN44" s="18"/>
      <c r="NO44" s="18"/>
      <c r="NP44" s="18"/>
      <c r="NQ44" s="18"/>
      <c r="NR44" s="18"/>
      <c r="NS44" s="18"/>
      <c r="NT44" s="18"/>
      <c r="NU44" s="18"/>
      <c r="NV44" s="18"/>
      <c r="NW44" s="18"/>
      <c r="NX44" s="18"/>
      <c r="NY44" s="18"/>
      <c r="NZ44" s="18"/>
      <c r="OA44" s="18"/>
      <c r="OB44" s="18"/>
      <c r="OC44" s="18"/>
      <c r="OD44" s="18"/>
      <c r="OE44" s="18"/>
      <c r="OF44" s="18"/>
      <c r="OG44" s="18"/>
      <c r="OH44" s="18"/>
      <c r="OI44" s="18"/>
      <c r="OJ44" s="18"/>
      <c r="OK44" s="18"/>
      <c r="OL44" s="18"/>
      <c r="OM44" s="18"/>
      <c r="ON44" s="18"/>
      <c r="OO44" s="18"/>
      <c r="OP44" s="18"/>
      <c r="OQ44" s="18"/>
      <c r="OR44" s="18"/>
      <c r="OS44" s="18"/>
      <c r="OT44" s="18"/>
      <c r="OU44" s="18"/>
      <c r="OV44" s="18"/>
      <c r="OW44" s="18"/>
      <c r="OX44" s="18"/>
      <c r="OY44" s="18"/>
      <c r="OZ44" s="18"/>
      <c r="PA44" s="18"/>
      <c r="PB44" s="18"/>
      <c r="PC44" s="18"/>
      <c r="PD44" s="18"/>
      <c r="PE44" s="18"/>
      <c r="PF44" s="18"/>
      <c r="PG44" s="18"/>
      <c r="PH44" s="18"/>
      <c r="PI44" s="18"/>
      <c r="PJ44" s="18"/>
      <c r="PK44" s="18"/>
      <c r="PL44" s="18"/>
      <c r="PM44" s="18"/>
      <c r="PN44" s="18"/>
      <c r="PO44" s="18"/>
      <c r="PP44" s="18"/>
      <c r="PQ44" s="18"/>
      <c r="PR44" s="18"/>
      <c r="PS44" s="18"/>
      <c r="PT44" s="18"/>
      <c r="PU44" s="18"/>
      <c r="PV44" s="18"/>
      <c r="PW44" s="18"/>
      <c r="PX44" s="18"/>
      <c r="PY44" s="18"/>
      <c r="PZ44" s="18"/>
      <c r="QA44" s="18"/>
      <c r="QB44" s="18"/>
      <c r="QC44" s="18"/>
      <c r="QD44" s="18"/>
      <c r="QE44" s="18"/>
      <c r="QF44" s="18"/>
      <c r="QG44" s="18"/>
      <c r="QH44" s="18"/>
      <c r="QI44" s="18"/>
      <c r="QJ44" s="18"/>
      <c r="QK44" s="18"/>
      <c r="QL44" s="18"/>
      <c r="QM44" s="18"/>
      <c r="QN44" s="18"/>
      <c r="QO44" s="18"/>
      <c r="QP44" s="18"/>
      <c r="QQ44" s="18"/>
      <c r="QR44" s="18"/>
      <c r="QS44" s="18"/>
      <c r="QT44" s="18"/>
      <c r="QU44" s="18"/>
      <c r="QV44" s="18"/>
      <c r="QW44" s="18"/>
      <c r="QX44" s="18"/>
      <c r="QY44" s="18"/>
      <c r="QZ44" s="18"/>
      <c r="RA44" s="18"/>
      <c r="RB44" s="18"/>
      <c r="RC44" s="18"/>
      <c r="RD44" s="18"/>
      <c r="RE44" s="18"/>
      <c r="RF44" s="18"/>
      <c r="RG44" s="18"/>
      <c r="RH44" s="18"/>
      <c r="RI44" s="18"/>
      <c r="RJ44" s="18"/>
      <c r="RK44" s="18"/>
      <c r="RL44" s="18"/>
      <c r="RM44" s="18"/>
      <c r="RN44" s="18"/>
      <c r="RO44" s="18"/>
      <c r="RP44" s="18"/>
      <c r="RQ44" s="18"/>
      <c r="RR44" s="18"/>
      <c r="RS44" s="18"/>
      <c r="RT44" s="18"/>
      <c r="RU44" s="18"/>
      <c r="RV44" s="18"/>
      <c r="RW44" s="18"/>
      <c r="RX44" s="18"/>
      <c r="RY44" s="18"/>
      <c r="RZ44" s="18"/>
      <c r="SA44" s="18"/>
      <c r="SB44" s="18"/>
      <c r="SC44" s="18"/>
      <c r="SD44" s="18"/>
      <c r="SE44" s="18"/>
      <c r="SF44" s="18"/>
      <c r="SG44" s="18"/>
      <c r="SH44" s="18"/>
      <c r="SI44" s="18"/>
      <c r="SJ44" s="18"/>
      <c r="SK44" s="18"/>
      <c r="SL44" s="18"/>
      <c r="SM44" s="18"/>
      <c r="SN44" s="18"/>
      <c r="SO44" s="18"/>
      <c r="SP44" s="18"/>
      <c r="SQ44" s="18"/>
      <c r="SR44" s="18"/>
      <c r="SS44" s="18"/>
      <c r="ST44" s="18"/>
      <c r="SU44" s="18"/>
      <c r="SV44" s="18"/>
      <c r="SW44" s="18"/>
      <c r="SX44" s="18"/>
      <c r="SY44" s="18"/>
      <c r="SZ44" s="18"/>
      <c r="TA44" s="18"/>
      <c r="TB44" s="18"/>
      <c r="TC44" s="18"/>
      <c r="TD44" s="18"/>
      <c r="TE44" s="18"/>
      <c r="TF44" s="18"/>
      <c r="TG44" s="18"/>
      <c r="TH44" s="18"/>
      <c r="TI44" s="18"/>
      <c r="TJ44" s="18"/>
      <c r="TK44" s="18"/>
      <c r="TL44" s="18"/>
      <c r="TM44" s="18"/>
      <c r="TN44" s="18"/>
      <c r="TO44" s="18"/>
      <c r="TP44" s="18"/>
      <c r="TQ44" s="18"/>
      <c r="TR44" s="18"/>
      <c r="TS44" s="18"/>
      <c r="TT44" s="18"/>
      <c r="TU44" s="18"/>
      <c r="TV44" s="18"/>
      <c r="TW44" s="18"/>
      <c r="TX44" s="18"/>
      <c r="TY44" s="18"/>
      <c r="TZ44" s="18"/>
      <c r="UA44" s="18"/>
      <c r="UB44" s="18"/>
      <c r="UC44" s="18"/>
      <c r="UD44" s="18"/>
      <c r="UE44" s="18"/>
      <c r="UF44" s="18"/>
      <c r="UG44" s="18"/>
      <c r="UH44" s="18"/>
      <c r="UI44" s="18"/>
      <c r="UJ44" s="18"/>
      <c r="UK44" s="18"/>
      <c r="UL44" s="18"/>
      <c r="UM44" s="18"/>
      <c r="UN44" s="18"/>
      <c r="UO44" s="18"/>
      <c r="UP44" s="18"/>
      <c r="UQ44" s="18"/>
      <c r="UR44" s="18"/>
      <c r="US44" s="18"/>
      <c r="UT44" s="18"/>
      <c r="UU44" s="18"/>
      <c r="UV44" s="18"/>
      <c r="UW44" s="18"/>
      <c r="UX44" s="18"/>
      <c r="UY44" s="18"/>
      <c r="UZ44" s="18"/>
      <c r="VA44" s="18"/>
      <c r="VB44" s="18"/>
      <c r="VC44" s="18"/>
      <c r="VD44" s="18"/>
      <c r="VE44" s="18"/>
      <c r="VF44" s="18"/>
      <c r="VG44" s="18"/>
      <c r="VH44" s="18"/>
      <c r="VI44" s="18"/>
      <c r="VJ44" s="18"/>
      <c r="VK44" s="18"/>
      <c r="VL44" s="18"/>
      <c r="VM44" s="18"/>
      <c r="VN44" s="18"/>
      <c r="VO44" s="18"/>
      <c r="VP44" s="18"/>
      <c r="VQ44" s="18"/>
      <c r="VR44" s="18"/>
      <c r="VS44" s="18"/>
      <c r="VT44" s="18"/>
      <c r="VU44" s="18"/>
      <c r="VV44" s="18"/>
      <c r="VW44" s="18"/>
      <c r="VX44" s="18"/>
      <c r="VY44" s="18"/>
      <c r="VZ44" s="18"/>
      <c r="WA44" s="18"/>
      <c r="WB44" s="18"/>
      <c r="WC44" s="18"/>
      <c r="WD44" s="18"/>
      <c r="WE44" s="18"/>
      <c r="WF44" s="18"/>
      <c r="WG44" s="18"/>
      <c r="WH44" s="18"/>
      <c r="WI44" s="18"/>
      <c r="WJ44" s="18"/>
      <c r="WK44" s="18"/>
      <c r="WL44" s="18"/>
      <c r="WM44" s="18"/>
      <c r="WN44" s="18"/>
      <c r="WO44" s="18"/>
      <c r="WP44" s="18"/>
      <c r="WQ44" s="18"/>
      <c r="WR44" s="18"/>
      <c r="WS44" s="18"/>
      <c r="WT44" s="18"/>
      <c r="WU44" s="18"/>
      <c r="WV44" s="18"/>
      <c r="WW44" s="18"/>
      <c r="WX44" s="18"/>
      <c r="WY44" s="18"/>
      <c r="WZ44" s="18"/>
      <c r="XA44" s="18"/>
      <c r="XB44" s="18"/>
      <c r="XC44" s="18"/>
      <c r="XD44" s="18"/>
      <c r="XE44" s="18"/>
      <c r="XF44" s="18"/>
      <c r="XG44" s="18"/>
      <c r="XH44" s="18"/>
      <c r="XI44" s="18"/>
      <c r="XJ44" s="18"/>
      <c r="XK44" s="18"/>
      <c r="XL44" s="18"/>
      <c r="XM44" s="18"/>
      <c r="XN44" s="18"/>
      <c r="XO44" s="18"/>
      <c r="XP44" s="18"/>
      <c r="XQ44" s="18"/>
      <c r="XR44" s="18"/>
      <c r="XS44" s="18"/>
      <c r="XT44" s="18"/>
      <c r="XU44" s="18"/>
      <c r="XV44" s="18"/>
      <c r="XW44" s="18"/>
      <c r="XX44" s="18"/>
      <c r="XY44" s="18"/>
      <c r="XZ44" s="18"/>
      <c r="YA44" s="18"/>
      <c r="YB44" s="18"/>
      <c r="YC44" s="18"/>
      <c r="YD44" s="18"/>
      <c r="YE44" s="18"/>
      <c r="YF44" s="18"/>
      <c r="YG44" s="18"/>
      <c r="YH44" s="18"/>
      <c r="YI44" s="18"/>
      <c r="YJ44" s="18"/>
      <c r="YK44" s="18"/>
      <c r="YL44" s="18"/>
      <c r="YM44" s="18"/>
      <c r="YN44" s="18"/>
      <c r="YO44" s="18"/>
      <c r="YP44" s="18"/>
      <c r="YQ44" s="18"/>
      <c r="YR44" s="18"/>
      <c r="YS44" s="18"/>
      <c r="YT44" s="18"/>
      <c r="YU44" s="18"/>
      <c r="YV44" s="18"/>
      <c r="YW44" s="18"/>
      <c r="YX44" s="18"/>
      <c r="YY44" s="18"/>
      <c r="YZ44" s="18"/>
      <c r="ZA44" s="18"/>
      <c r="ZB44" s="18"/>
      <c r="ZC44" s="18"/>
      <c r="ZD44" s="18"/>
      <c r="ZE44" s="18"/>
      <c r="ZF44" s="18"/>
      <c r="ZG44" s="18"/>
      <c r="ZH44" s="18"/>
      <c r="ZI44" s="18"/>
      <c r="ZJ44" s="18"/>
      <c r="ZK44" s="18"/>
      <c r="ZL44" s="18"/>
      <c r="ZM44" s="18"/>
      <c r="ZN44" s="18"/>
      <c r="ZO44" s="18"/>
      <c r="ZP44" s="18"/>
      <c r="ZQ44" s="18"/>
      <c r="ZR44" s="18"/>
      <c r="ZS44" s="18"/>
      <c r="ZT44" s="18"/>
      <c r="ZU44" s="18"/>
      <c r="ZV44" s="18"/>
      <c r="ZW44" s="18"/>
      <c r="ZX44" s="18"/>
      <c r="ZY44" s="18"/>
      <c r="ZZ44" s="18"/>
      <c r="AAA44" s="18"/>
      <c r="AAB44" s="18"/>
      <c r="AAC44" s="18"/>
      <c r="AAD44" s="18"/>
      <c r="AAE44" s="18"/>
      <c r="AAF44" s="18"/>
      <c r="AAG44" s="18"/>
      <c r="AAH44" s="18"/>
      <c r="AAI44" s="18"/>
      <c r="AAJ44" s="18"/>
      <c r="AAK44" s="18"/>
      <c r="AAL44" s="18"/>
      <c r="AAM44" s="18"/>
      <c r="AAN44" s="18"/>
      <c r="AAO44" s="18"/>
      <c r="AAP44" s="18"/>
      <c r="AAQ44" s="18"/>
      <c r="AAR44" s="18"/>
      <c r="AAS44" s="18"/>
      <c r="AAT44" s="18"/>
      <c r="AAU44" s="18"/>
      <c r="AAV44" s="18"/>
      <c r="AAW44" s="18"/>
      <c r="AAX44" s="18"/>
      <c r="AAY44" s="18"/>
      <c r="AAZ44" s="18"/>
      <c r="ABA44" s="18"/>
      <c r="ABB44" s="18"/>
      <c r="ABC44" s="18"/>
      <c r="ABD44" s="18"/>
      <c r="ABE44" s="18"/>
      <c r="ABF44" s="18"/>
      <c r="ABG44" s="18"/>
      <c r="ABH44" s="18"/>
      <c r="ABI44" s="18"/>
      <c r="ABJ44" s="18"/>
      <c r="ABK44" s="18"/>
      <c r="ABL44" s="18"/>
      <c r="ABM44" s="18"/>
      <c r="ABN44" s="18"/>
      <c r="ABO44" s="18"/>
      <c r="ABP44" s="18"/>
      <c r="ABQ44" s="18"/>
      <c r="ABR44" s="18"/>
      <c r="ABS44" s="18"/>
      <c r="ABT44" s="18"/>
      <c r="ABU44" s="18"/>
      <c r="ABV44" s="18"/>
      <c r="ABW44" s="18"/>
      <c r="ABX44" s="18"/>
      <c r="ABY44" s="18"/>
      <c r="ABZ44" s="18"/>
      <c r="ACA44" s="18"/>
      <c r="ACB44" s="18"/>
      <c r="ACC44" s="18"/>
      <c r="ACD44" s="18"/>
      <c r="ACE44" s="18"/>
      <c r="ACF44" s="18"/>
      <c r="ACG44" s="18"/>
      <c r="ACH44" s="18"/>
      <c r="ACI44" s="18"/>
      <c r="ACJ44" s="18"/>
      <c r="ACK44" s="18"/>
      <c r="ACL44" s="18"/>
      <c r="ACM44" s="18"/>
      <c r="ACN44" s="18"/>
      <c r="ACO44" s="18"/>
      <c r="ACP44" s="18"/>
      <c r="ACQ44" s="18"/>
      <c r="ACR44" s="18"/>
      <c r="ACS44" s="18"/>
      <c r="ACT44" s="18"/>
      <c r="ACU44" s="18"/>
      <c r="ACV44" s="18"/>
      <c r="ACW44" s="18"/>
      <c r="ACX44" s="18"/>
      <c r="ACY44" s="18"/>
      <c r="ACZ44" s="18"/>
      <c r="ADA44" s="18"/>
      <c r="ADB44" s="18"/>
      <c r="ADC44" s="18"/>
      <c r="ADD44" s="18"/>
      <c r="ADE44" s="18"/>
      <c r="ADF44" s="18"/>
      <c r="ADG44" s="18"/>
      <c r="ADH44" s="18"/>
      <c r="ADI44" s="18"/>
      <c r="ADJ44" s="18"/>
      <c r="ADK44" s="18"/>
      <c r="ADL44" s="18"/>
      <c r="ADM44" s="18"/>
      <c r="ADN44" s="18"/>
      <c r="ADO44" s="18"/>
      <c r="ADP44" s="18"/>
      <c r="ADQ44" s="18"/>
      <c r="ADR44" s="18"/>
      <c r="ADS44" s="18"/>
      <c r="ADT44" s="18"/>
      <c r="ADU44" s="18"/>
      <c r="ADV44" s="18"/>
      <c r="ADW44" s="18"/>
      <c r="ADX44" s="18"/>
      <c r="ADY44" s="18"/>
      <c r="ADZ44" s="18"/>
      <c r="AEA44" s="18"/>
      <c r="AEB44" s="18"/>
      <c r="AEC44" s="18"/>
      <c r="AED44" s="18"/>
      <c r="AEE44" s="18"/>
      <c r="AEF44" s="18"/>
      <c r="AEG44" s="18"/>
      <c r="AEH44" s="18"/>
      <c r="AEI44" s="18"/>
      <c r="AEJ44" s="18"/>
      <c r="AEK44" s="18"/>
      <c r="AEL44" s="18"/>
      <c r="AEM44" s="18"/>
      <c r="AEN44" s="18"/>
      <c r="AEO44" s="18"/>
      <c r="AEP44" s="18"/>
      <c r="AEQ44" s="18"/>
      <c r="AER44" s="18"/>
      <c r="AES44" s="18"/>
      <c r="AET44" s="18"/>
      <c r="AEU44" s="18"/>
      <c r="AEV44" s="18"/>
      <c r="AEW44" s="18"/>
      <c r="AEX44" s="18"/>
      <c r="AEY44" s="18"/>
      <c r="AEZ44" s="18"/>
      <c r="AFA44" s="18"/>
      <c r="AFB44" s="18"/>
      <c r="AFC44" s="18"/>
      <c r="AFD44" s="18"/>
      <c r="AFE44" s="18"/>
      <c r="AFF44" s="18"/>
      <c r="AFG44" s="18"/>
      <c r="AFH44" s="18"/>
      <c r="AFI44" s="18"/>
      <c r="AFJ44" s="18"/>
      <c r="AFK44" s="18"/>
      <c r="AFL44" s="18"/>
      <c r="AFM44" s="18"/>
      <c r="AFN44" s="18"/>
      <c r="AFO44" s="18"/>
      <c r="AFP44" s="18"/>
      <c r="AFQ44" s="18"/>
      <c r="AFR44" s="18"/>
      <c r="AFS44" s="18"/>
      <c r="AFT44" s="18"/>
      <c r="AFU44" s="18"/>
      <c r="AFV44" s="18"/>
      <c r="AFW44" s="18"/>
      <c r="AFX44" s="18"/>
      <c r="AFY44" s="18"/>
      <c r="AFZ44" s="18"/>
      <c r="AGA44" s="18"/>
      <c r="AGB44" s="18"/>
      <c r="AGC44" s="18"/>
      <c r="AGD44" s="18"/>
      <c r="AGE44" s="18"/>
      <c r="AGF44" s="18"/>
      <c r="AGG44" s="18"/>
      <c r="AGH44" s="18"/>
      <c r="AGI44" s="18"/>
      <c r="AGJ44" s="18"/>
      <c r="AGK44" s="18"/>
      <c r="AGL44" s="18"/>
      <c r="AGM44" s="18"/>
      <c r="AGN44" s="18"/>
      <c r="AGO44" s="18"/>
      <c r="AGP44" s="18"/>
      <c r="AGQ44" s="18"/>
      <c r="AGR44" s="18"/>
      <c r="AGS44" s="18"/>
      <c r="AGT44" s="18"/>
      <c r="AGU44" s="18"/>
      <c r="AGV44" s="18"/>
      <c r="AGW44" s="18"/>
      <c r="AGX44" s="18"/>
      <c r="AGY44" s="18"/>
      <c r="AGZ44" s="18"/>
      <c r="AHA44" s="18"/>
      <c r="AHB44" s="18"/>
      <c r="AHC44" s="18"/>
      <c r="AHD44" s="18"/>
      <c r="AHE44" s="18"/>
      <c r="AHF44" s="18"/>
      <c r="AHG44" s="18"/>
      <c r="AHH44" s="18"/>
      <c r="AHI44" s="18"/>
      <c r="AHJ44" s="18"/>
      <c r="AHK44" s="18"/>
      <c r="AHL44" s="18"/>
      <c r="AHM44" s="18"/>
      <c r="AHN44" s="18"/>
      <c r="AHO44" s="18"/>
      <c r="AHP44" s="18"/>
      <c r="AHQ44" s="18"/>
      <c r="AHR44" s="18"/>
      <c r="AHS44" s="18"/>
      <c r="AHT44" s="18"/>
      <c r="AHU44" s="18"/>
      <c r="AHV44" s="18"/>
      <c r="AHW44" s="18"/>
      <c r="AHX44" s="18"/>
      <c r="AHY44" s="18"/>
      <c r="AHZ44" s="18"/>
      <c r="AIA44" s="18"/>
      <c r="AIB44" s="18"/>
      <c r="AIC44" s="18"/>
      <c r="AID44" s="18"/>
      <c r="AIE44" s="18"/>
      <c r="AIF44" s="18"/>
      <c r="AIG44" s="18"/>
      <c r="AIH44" s="18"/>
      <c r="AII44" s="18"/>
      <c r="AIJ44" s="18"/>
      <c r="AIK44" s="18"/>
      <c r="AIL44" s="18"/>
      <c r="AIM44" s="18"/>
      <c r="AIN44" s="18"/>
      <c r="AIO44" s="18"/>
      <c r="AIP44" s="18"/>
      <c r="AIQ44" s="18"/>
      <c r="AIR44" s="18"/>
      <c r="AIS44" s="18"/>
      <c r="AIT44" s="18"/>
      <c r="AIU44" s="18"/>
      <c r="AIV44" s="18"/>
      <c r="AIW44" s="18"/>
      <c r="AIX44" s="18"/>
      <c r="AIY44" s="18"/>
      <c r="AIZ44" s="18"/>
      <c r="AJA44" s="18"/>
      <c r="AJB44" s="18"/>
      <c r="AJC44" s="18"/>
      <c r="AJD44" s="18"/>
      <c r="AJE44" s="18"/>
      <c r="AJF44" s="18"/>
      <c r="AJG44" s="18"/>
      <c r="AJH44" s="18"/>
      <c r="AJI44" s="18"/>
      <c r="AJJ44" s="18"/>
      <c r="AJK44" s="18"/>
      <c r="AJL44" s="18"/>
      <c r="AJM44" s="18"/>
      <c r="AJN44" s="18"/>
      <c r="AJO44" s="18"/>
      <c r="AJP44" s="18"/>
      <c r="AJQ44" s="18"/>
      <c r="AJR44" s="18"/>
      <c r="AJS44" s="18"/>
      <c r="AJT44" s="18"/>
      <c r="AJU44" s="18"/>
      <c r="AJV44" s="18"/>
      <c r="AJW44" s="18"/>
      <c r="AJX44" s="18"/>
      <c r="AJY44" s="18"/>
      <c r="AJZ44" s="18"/>
      <c r="AKA44" s="18"/>
      <c r="AKB44" s="18"/>
      <c r="AKC44" s="18"/>
      <c r="AKD44" s="18"/>
      <c r="AKE44" s="18"/>
      <c r="AKF44" s="18"/>
      <c r="AKG44" s="18"/>
      <c r="AKH44" s="18"/>
      <c r="AKI44" s="18"/>
      <c r="AKJ44" s="18"/>
      <c r="AKK44" s="18"/>
      <c r="AKL44" s="18"/>
      <c r="AKM44" s="18"/>
      <c r="AKN44" s="18"/>
      <c r="AKO44" s="18"/>
      <c r="AKP44" s="18"/>
      <c r="AKQ44" s="18"/>
      <c r="AKR44" s="18"/>
      <c r="AKS44" s="18"/>
      <c r="AKT44" s="18"/>
      <c r="AKU44" s="18"/>
      <c r="AKV44" s="18"/>
      <c r="AKW44" s="18"/>
      <c r="AKX44" s="18"/>
      <c r="AKY44" s="18"/>
      <c r="AKZ44" s="18"/>
      <c r="ALA44" s="18"/>
      <c r="ALB44" s="18"/>
      <c r="ALC44" s="18"/>
      <c r="ALD44" s="18"/>
      <c r="ALE44" s="18"/>
      <c r="ALF44" s="18"/>
      <c r="ALG44" s="18"/>
      <c r="ALH44" s="18"/>
      <c r="ALI44" s="18"/>
      <c r="ALJ44" s="18"/>
      <c r="ALK44" s="18"/>
      <c r="ALL44" s="18"/>
      <c r="ALM44" s="18"/>
      <c r="ALN44" s="18"/>
      <c r="ALO44" s="18"/>
      <c r="ALP44" s="18"/>
      <c r="ALQ44" s="18"/>
      <c r="ALR44" s="18"/>
      <c r="ALS44" s="18"/>
      <c r="ALT44" s="18"/>
      <c r="ALU44" s="18"/>
      <c r="ALV44" s="18"/>
      <c r="ALW44" s="18"/>
      <c r="ALX44" s="18"/>
      <c r="ALY44" s="18"/>
      <c r="ALZ44" s="18"/>
      <c r="AMA44" s="18"/>
      <c r="AMB44" s="18"/>
      <c r="AMC44" s="18"/>
      <c r="AMD44" s="18"/>
      <c r="AME44" s="18"/>
      <c r="AMF44" s="18"/>
      <c r="AMG44" s="18"/>
      <c r="AMH44" s="18"/>
    </row>
    <row r="45" spans="1:1022" s="23" customFormat="1" x14ac:dyDescent="0.3">
      <c r="A45" s="33">
        <v>141</v>
      </c>
      <c r="B45" s="19"/>
      <c r="C45" s="19"/>
      <c r="D45" s="34" t="s">
        <v>316</v>
      </c>
      <c r="E45" s="34" t="s">
        <v>467</v>
      </c>
      <c r="F45" s="39"/>
      <c r="G45" s="39"/>
      <c r="H45" s="38" t="s">
        <v>281</v>
      </c>
      <c r="I45" s="40"/>
      <c r="J45" s="40"/>
      <c r="K45" s="31"/>
      <c r="L45" s="40"/>
      <c r="M45" s="41"/>
      <c r="N45" s="32"/>
      <c r="O45" s="18"/>
      <c r="P45" s="36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  <c r="BZ45" s="18"/>
      <c r="CA45" s="18"/>
      <c r="CB45" s="18"/>
      <c r="CC45" s="18"/>
      <c r="CD45" s="18"/>
      <c r="CE45" s="18"/>
      <c r="CF45" s="18"/>
      <c r="CG45" s="18"/>
      <c r="CH45" s="18"/>
      <c r="CI45" s="18"/>
      <c r="CJ45" s="18"/>
      <c r="CK45" s="18"/>
      <c r="CL45" s="18"/>
      <c r="CM45" s="18"/>
      <c r="CN45" s="18"/>
      <c r="CO45" s="18"/>
      <c r="CP45" s="18"/>
      <c r="CQ45" s="18"/>
      <c r="CR45" s="18"/>
      <c r="CS45" s="18"/>
      <c r="CT45" s="18"/>
      <c r="CU45" s="18"/>
      <c r="CV45" s="18"/>
      <c r="CW45" s="18"/>
      <c r="CX45" s="18"/>
      <c r="CY45" s="18"/>
      <c r="CZ45" s="18"/>
      <c r="DA45" s="18"/>
      <c r="DB45" s="18"/>
      <c r="DC45" s="18"/>
      <c r="DD45" s="18"/>
      <c r="DE45" s="18"/>
      <c r="DF45" s="18"/>
      <c r="DG45" s="18"/>
      <c r="DH45" s="18"/>
      <c r="DI45" s="18"/>
      <c r="DJ45" s="18"/>
      <c r="DK45" s="18"/>
      <c r="DL45" s="18"/>
      <c r="DM45" s="18"/>
      <c r="DN45" s="18"/>
      <c r="DO45" s="18"/>
      <c r="DP45" s="18"/>
      <c r="DQ45" s="18"/>
      <c r="DR45" s="18"/>
      <c r="DS45" s="18"/>
      <c r="DT45" s="18"/>
      <c r="DU45" s="18"/>
      <c r="DV45" s="18"/>
      <c r="DW45" s="18"/>
      <c r="DX45" s="18"/>
      <c r="DY45" s="18"/>
      <c r="DZ45" s="18"/>
      <c r="EA45" s="18"/>
      <c r="EB45" s="18"/>
      <c r="EC45" s="18"/>
      <c r="ED45" s="18"/>
      <c r="EE45" s="18"/>
      <c r="EF45" s="18"/>
      <c r="EG45" s="18"/>
      <c r="EH45" s="18"/>
      <c r="EI45" s="18"/>
      <c r="EJ45" s="18"/>
      <c r="EK45" s="18"/>
      <c r="EL45" s="18"/>
      <c r="EM45" s="18"/>
      <c r="EN45" s="18"/>
      <c r="EO45" s="18"/>
      <c r="EP45" s="18"/>
      <c r="EQ45" s="18"/>
      <c r="ER45" s="18"/>
      <c r="ES45" s="18"/>
      <c r="ET45" s="18"/>
      <c r="EU45" s="18"/>
      <c r="EV45" s="18"/>
      <c r="EW45" s="18"/>
      <c r="EX45" s="18"/>
      <c r="EY45" s="18"/>
      <c r="EZ45" s="18"/>
      <c r="FA45" s="18"/>
      <c r="FB45" s="18"/>
      <c r="FC45" s="18"/>
      <c r="FD45" s="18"/>
      <c r="FE45" s="18"/>
      <c r="FF45" s="18"/>
      <c r="FG45" s="18"/>
      <c r="FH45" s="18"/>
      <c r="FI45" s="18"/>
      <c r="FJ45" s="18"/>
      <c r="FK45" s="18"/>
      <c r="FL45" s="18"/>
      <c r="FM45" s="18"/>
      <c r="FN45" s="18"/>
      <c r="FO45" s="18"/>
      <c r="FP45" s="18"/>
      <c r="FQ45" s="18"/>
      <c r="FR45" s="18"/>
      <c r="FS45" s="18"/>
      <c r="FT45" s="18"/>
      <c r="FU45" s="18"/>
      <c r="FV45" s="18"/>
      <c r="FW45" s="18"/>
      <c r="FX45" s="18"/>
      <c r="FY45" s="18"/>
      <c r="FZ45" s="18"/>
      <c r="GA45" s="18"/>
      <c r="GB45" s="18"/>
      <c r="GC45" s="18"/>
      <c r="GD45" s="18"/>
      <c r="GE45" s="18"/>
      <c r="GF45" s="18"/>
      <c r="GG45" s="18"/>
      <c r="GH45" s="18"/>
      <c r="GI45" s="18"/>
      <c r="GJ45" s="18"/>
      <c r="GK45" s="18"/>
      <c r="GL45" s="18"/>
      <c r="GM45" s="18"/>
      <c r="GN45" s="18"/>
      <c r="GO45" s="18"/>
      <c r="GP45" s="18"/>
      <c r="GQ45" s="18"/>
      <c r="GR45" s="18"/>
      <c r="GS45" s="18"/>
      <c r="GT45" s="18"/>
      <c r="GU45" s="18"/>
      <c r="GV45" s="18"/>
      <c r="GW45" s="18"/>
      <c r="GX45" s="18"/>
      <c r="GY45" s="18"/>
      <c r="GZ45" s="18"/>
      <c r="HA45" s="18"/>
      <c r="HB45" s="18"/>
      <c r="HC45" s="18"/>
      <c r="HD45" s="18"/>
      <c r="HE45" s="18"/>
      <c r="HF45" s="18"/>
      <c r="HG45" s="18"/>
      <c r="HH45" s="18"/>
      <c r="HI45" s="18"/>
      <c r="HJ45" s="18"/>
      <c r="HK45" s="18"/>
      <c r="HL45" s="18"/>
      <c r="HM45" s="18"/>
      <c r="HN45" s="18"/>
      <c r="HO45" s="18"/>
      <c r="HP45" s="18"/>
      <c r="HQ45" s="18"/>
      <c r="HR45" s="18"/>
      <c r="HS45" s="18"/>
      <c r="HT45" s="18"/>
      <c r="HU45" s="18"/>
      <c r="HV45" s="18"/>
      <c r="HW45" s="18"/>
      <c r="HX45" s="18"/>
      <c r="HY45" s="18"/>
      <c r="HZ45" s="18"/>
      <c r="IA45" s="18"/>
      <c r="IB45" s="18"/>
      <c r="IC45" s="18"/>
      <c r="ID45" s="18"/>
      <c r="IE45" s="18"/>
      <c r="IF45" s="18"/>
      <c r="IG45" s="18"/>
      <c r="IH45" s="18"/>
      <c r="II45" s="18"/>
      <c r="IJ45" s="18"/>
      <c r="IK45" s="18"/>
      <c r="IL45" s="18"/>
      <c r="IM45" s="18"/>
      <c r="IN45" s="18"/>
      <c r="IO45" s="18"/>
      <c r="IP45" s="18"/>
      <c r="IQ45" s="18"/>
      <c r="IR45" s="18"/>
      <c r="IS45" s="18"/>
      <c r="IT45" s="18"/>
      <c r="IU45" s="18"/>
      <c r="IV45" s="18"/>
      <c r="IW45" s="18"/>
      <c r="IX45" s="18"/>
      <c r="IY45" s="18"/>
      <c r="IZ45" s="18"/>
      <c r="JA45" s="18"/>
      <c r="JB45" s="18"/>
      <c r="JC45" s="18"/>
      <c r="JD45" s="18"/>
      <c r="JE45" s="18"/>
      <c r="JF45" s="18"/>
      <c r="JG45" s="18"/>
      <c r="JH45" s="18"/>
      <c r="JI45" s="18"/>
      <c r="JJ45" s="18"/>
      <c r="JK45" s="18"/>
      <c r="JL45" s="18"/>
      <c r="JM45" s="18"/>
      <c r="JN45" s="18"/>
      <c r="JO45" s="18"/>
      <c r="JP45" s="18"/>
      <c r="JQ45" s="18"/>
      <c r="JR45" s="18"/>
      <c r="JS45" s="18"/>
      <c r="JT45" s="18"/>
      <c r="JU45" s="18"/>
      <c r="JV45" s="18"/>
      <c r="JW45" s="18"/>
      <c r="JX45" s="18"/>
      <c r="JY45" s="18"/>
      <c r="JZ45" s="18"/>
      <c r="KA45" s="18"/>
      <c r="KB45" s="18"/>
      <c r="KC45" s="18"/>
      <c r="KD45" s="18"/>
      <c r="KE45" s="18"/>
      <c r="KF45" s="18"/>
      <c r="KG45" s="18"/>
      <c r="KH45" s="18"/>
      <c r="KI45" s="18"/>
      <c r="KJ45" s="18"/>
      <c r="KK45" s="18"/>
      <c r="KL45" s="18"/>
      <c r="KM45" s="18"/>
      <c r="KN45" s="18"/>
      <c r="KO45" s="18"/>
      <c r="KP45" s="18"/>
      <c r="KQ45" s="18"/>
      <c r="KR45" s="18"/>
      <c r="KS45" s="18"/>
      <c r="KT45" s="18"/>
      <c r="KU45" s="18"/>
      <c r="KV45" s="18"/>
      <c r="KW45" s="18"/>
      <c r="KX45" s="18"/>
      <c r="KY45" s="18"/>
      <c r="KZ45" s="18"/>
      <c r="LA45" s="18"/>
      <c r="LB45" s="18"/>
      <c r="LC45" s="18"/>
      <c r="LD45" s="18"/>
      <c r="LE45" s="18"/>
      <c r="LF45" s="18"/>
      <c r="LG45" s="18"/>
      <c r="LH45" s="18"/>
      <c r="LI45" s="18"/>
      <c r="LJ45" s="18"/>
      <c r="LK45" s="18"/>
      <c r="LL45" s="18"/>
      <c r="LM45" s="18"/>
      <c r="LN45" s="18"/>
      <c r="LO45" s="18"/>
      <c r="LP45" s="18"/>
      <c r="LQ45" s="18"/>
      <c r="LR45" s="18"/>
      <c r="LS45" s="18"/>
      <c r="LT45" s="18"/>
      <c r="LU45" s="18"/>
      <c r="LV45" s="18"/>
      <c r="LW45" s="18"/>
      <c r="LX45" s="18"/>
      <c r="LY45" s="18"/>
      <c r="LZ45" s="18"/>
      <c r="MA45" s="18"/>
      <c r="MB45" s="18"/>
      <c r="MC45" s="18"/>
      <c r="MD45" s="18"/>
      <c r="ME45" s="18"/>
      <c r="MF45" s="18"/>
      <c r="MG45" s="18"/>
      <c r="MH45" s="18"/>
      <c r="MI45" s="18"/>
      <c r="MJ45" s="18"/>
      <c r="MK45" s="18"/>
      <c r="ML45" s="18"/>
      <c r="MM45" s="18"/>
      <c r="MN45" s="18"/>
      <c r="MO45" s="18"/>
      <c r="MP45" s="18"/>
      <c r="MQ45" s="18"/>
      <c r="MR45" s="18"/>
      <c r="MS45" s="18"/>
      <c r="MT45" s="18"/>
      <c r="MU45" s="18"/>
      <c r="MV45" s="18"/>
      <c r="MW45" s="18"/>
      <c r="MX45" s="18"/>
      <c r="MY45" s="18"/>
      <c r="MZ45" s="18"/>
      <c r="NA45" s="18"/>
      <c r="NB45" s="18"/>
      <c r="NC45" s="18"/>
      <c r="ND45" s="18"/>
      <c r="NE45" s="18"/>
      <c r="NF45" s="18"/>
      <c r="NG45" s="18"/>
      <c r="NH45" s="18"/>
      <c r="NI45" s="18"/>
      <c r="NJ45" s="18"/>
      <c r="NK45" s="18"/>
      <c r="NL45" s="18"/>
      <c r="NM45" s="18"/>
      <c r="NN45" s="18"/>
      <c r="NO45" s="18"/>
      <c r="NP45" s="18"/>
      <c r="NQ45" s="18"/>
      <c r="NR45" s="18"/>
      <c r="NS45" s="18"/>
      <c r="NT45" s="18"/>
      <c r="NU45" s="18"/>
      <c r="NV45" s="18"/>
      <c r="NW45" s="18"/>
      <c r="NX45" s="18"/>
      <c r="NY45" s="18"/>
      <c r="NZ45" s="18"/>
      <c r="OA45" s="18"/>
      <c r="OB45" s="18"/>
      <c r="OC45" s="18"/>
      <c r="OD45" s="18"/>
      <c r="OE45" s="18"/>
      <c r="OF45" s="18"/>
      <c r="OG45" s="18"/>
      <c r="OH45" s="18"/>
      <c r="OI45" s="18"/>
      <c r="OJ45" s="18"/>
      <c r="OK45" s="18"/>
      <c r="OL45" s="18"/>
      <c r="OM45" s="18"/>
      <c r="ON45" s="18"/>
      <c r="OO45" s="18"/>
      <c r="OP45" s="18"/>
      <c r="OQ45" s="18"/>
      <c r="OR45" s="18"/>
      <c r="OS45" s="18"/>
      <c r="OT45" s="18"/>
      <c r="OU45" s="18"/>
      <c r="OV45" s="18"/>
      <c r="OW45" s="18"/>
      <c r="OX45" s="18"/>
      <c r="OY45" s="18"/>
      <c r="OZ45" s="18"/>
      <c r="PA45" s="18"/>
      <c r="PB45" s="18"/>
      <c r="PC45" s="18"/>
      <c r="PD45" s="18"/>
      <c r="PE45" s="18"/>
      <c r="PF45" s="18"/>
      <c r="PG45" s="18"/>
      <c r="PH45" s="18"/>
      <c r="PI45" s="18"/>
      <c r="PJ45" s="18"/>
      <c r="PK45" s="18"/>
      <c r="PL45" s="18"/>
      <c r="PM45" s="18"/>
      <c r="PN45" s="18"/>
      <c r="PO45" s="18"/>
      <c r="PP45" s="18"/>
      <c r="PQ45" s="18"/>
      <c r="PR45" s="18"/>
      <c r="PS45" s="18"/>
      <c r="PT45" s="18"/>
      <c r="PU45" s="18"/>
      <c r="PV45" s="18"/>
      <c r="PW45" s="18"/>
      <c r="PX45" s="18"/>
      <c r="PY45" s="18"/>
      <c r="PZ45" s="18"/>
      <c r="QA45" s="18"/>
      <c r="QB45" s="18"/>
      <c r="QC45" s="18"/>
      <c r="QD45" s="18"/>
      <c r="QE45" s="18"/>
      <c r="QF45" s="18"/>
      <c r="QG45" s="18"/>
      <c r="QH45" s="18"/>
      <c r="QI45" s="18"/>
      <c r="QJ45" s="18"/>
      <c r="QK45" s="18"/>
      <c r="QL45" s="18"/>
      <c r="QM45" s="18"/>
      <c r="QN45" s="18"/>
      <c r="QO45" s="18"/>
      <c r="QP45" s="18"/>
      <c r="QQ45" s="18"/>
      <c r="QR45" s="18"/>
      <c r="QS45" s="18"/>
      <c r="QT45" s="18"/>
      <c r="QU45" s="18"/>
      <c r="QV45" s="18"/>
      <c r="QW45" s="18"/>
      <c r="QX45" s="18"/>
      <c r="QY45" s="18"/>
      <c r="QZ45" s="18"/>
      <c r="RA45" s="18"/>
      <c r="RB45" s="18"/>
      <c r="RC45" s="18"/>
      <c r="RD45" s="18"/>
      <c r="RE45" s="18"/>
      <c r="RF45" s="18"/>
      <c r="RG45" s="18"/>
      <c r="RH45" s="18"/>
      <c r="RI45" s="18"/>
      <c r="RJ45" s="18"/>
      <c r="RK45" s="18"/>
      <c r="RL45" s="18"/>
      <c r="RM45" s="18"/>
      <c r="RN45" s="18"/>
      <c r="RO45" s="18"/>
      <c r="RP45" s="18"/>
      <c r="RQ45" s="18"/>
      <c r="RR45" s="18"/>
      <c r="RS45" s="18"/>
      <c r="RT45" s="18"/>
      <c r="RU45" s="18"/>
      <c r="RV45" s="18"/>
      <c r="RW45" s="18"/>
      <c r="RX45" s="18"/>
      <c r="RY45" s="18"/>
      <c r="RZ45" s="18"/>
      <c r="SA45" s="18"/>
      <c r="SB45" s="18"/>
      <c r="SC45" s="18"/>
      <c r="SD45" s="18"/>
      <c r="SE45" s="18"/>
      <c r="SF45" s="18"/>
      <c r="SG45" s="18"/>
      <c r="SH45" s="18"/>
      <c r="SI45" s="18"/>
      <c r="SJ45" s="18"/>
      <c r="SK45" s="18"/>
      <c r="SL45" s="18"/>
      <c r="SM45" s="18"/>
      <c r="SN45" s="18"/>
      <c r="SO45" s="18"/>
      <c r="SP45" s="18"/>
      <c r="SQ45" s="18"/>
      <c r="SR45" s="18"/>
      <c r="SS45" s="18"/>
      <c r="ST45" s="18"/>
      <c r="SU45" s="18"/>
      <c r="SV45" s="18"/>
      <c r="SW45" s="18"/>
      <c r="SX45" s="18"/>
      <c r="SY45" s="18"/>
      <c r="SZ45" s="18"/>
      <c r="TA45" s="18"/>
      <c r="TB45" s="18"/>
      <c r="TC45" s="18"/>
      <c r="TD45" s="18"/>
      <c r="TE45" s="18"/>
      <c r="TF45" s="18"/>
      <c r="TG45" s="18"/>
      <c r="TH45" s="18"/>
      <c r="TI45" s="18"/>
      <c r="TJ45" s="18"/>
      <c r="TK45" s="18"/>
      <c r="TL45" s="18"/>
      <c r="TM45" s="18"/>
      <c r="TN45" s="18"/>
      <c r="TO45" s="18"/>
      <c r="TP45" s="18"/>
      <c r="TQ45" s="18"/>
      <c r="TR45" s="18"/>
      <c r="TS45" s="18"/>
      <c r="TT45" s="18"/>
      <c r="TU45" s="18"/>
      <c r="TV45" s="18"/>
      <c r="TW45" s="18"/>
      <c r="TX45" s="18"/>
      <c r="TY45" s="18"/>
      <c r="TZ45" s="18"/>
      <c r="UA45" s="18"/>
      <c r="UB45" s="18"/>
      <c r="UC45" s="18"/>
      <c r="UD45" s="18"/>
      <c r="UE45" s="18"/>
      <c r="UF45" s="18"/>
      <c r="UG45" s="18"/>
      <c r="UH45" s="18"/>
      <c r="UI45" s="18"/>
      <c r="UJ45" s="18"/>
      <c r="UK45" s="18"/>
      <c r="UL45" s="18"/>
      <c r="UM45" s="18"/>
      <c r="UN45" s="18"/>
      <c r="UO45" s="18"/>
      <c r="UP45" s="18"/>
      <c r="UQ45" s="18"/>
      <c r="UR45" s="18"/>
      <c r="US45" s="18"/>
      <c r="UT45" s="18"/>
      <c r="UU45" s="18"/>
      <c r="UV45" s="18"/>
      <c r="UW45" s="18"/>
      <c r="UX45" s="18"/>
      <c r="UY45" s="18"/>
      <c r="UZ45" s="18"/>
      <c r="VA45" s="18"/>
      <c r="VB45" s="18"/>
      <c r="VC45" s="18"/>
      <c r="VD45" s="18"/>
      <c r="VE45" s="18"/>
      <c r="VF45" s="18"/>
      <c r="VG45" s="18"/>
      <c r="VH45" s="18"/>
      <c r="VI45" s="18"/>
      <c r="VJ45" s="18"/>
      <c r="VK45" s="18"/>
      <c r="VL45" s="18"/>
      <c r="VM45" s="18"/>
      <c r="VN45" s="18"/>
      <c r="VO45" s="18"/>
      <c r="VP45" s="18"/>
      <c r="VQ45" s="18"/>
      <c r="VR45" s="18"/>
      <c r="VS45" s="18"/>
      <c r="VT45" s="18"/>
      <c r="VU45" s="18"/>
      <c r="VV45" s="18"/>
      <c r="VW45" s="18"/>
      <c r="VX45" s="18"/>
      <c r="VY45" s="18"/>
      <c r="VZ45" s="18"/>
      <c r="WA45" s="18"/>
      <c r="WB45" s="18"/>
      <c r="WC45" s="18"/>
      <c r="WD45" s="18"/>
      <c r="WE45" s="18"/>
      <c r="WF45" s="18"/>
      <c r="WG45" s="18"/>
      <c r="WH45" s="18"/>
      <c r="WI45" s="18"/>
      <c r="WJ45" s="18"/>
      <c r="WK45" s="18"/>
      <c r="WL45" s="18"/>
      <c r="WM45" s="18"/>
      <c r="WN45" s="18"/>
      <c r="WO45" s="18"/>
      <c r="WP45" s="18"/>
      <c r="WQ45" s="18"/>
      <c r="WR45" s="18"/>
      <c r="WS45" s="18"/>
      <c r="WT45" s="18"/>
      <c r="WU45" s="18"/>
      <c r="WV45" s="18"/>
      <c r="WW45" s="18"/>
      <c r="WX45" s="18"/>
      <c r="WY45" s="18"/>
      <c r="WZ45" s="18"/>
      <c r="XA45" s="18"/>
      <c r="XB45" s="18"/>
      <c r="XC45" s="18"/>
      <c r="XD45" s="18"/>
      <c r="XE45" s="18"/>
      <c r="XF45" s="18"/>
      <c r="XG45" s="18"/>
      <c r="XH45" s="18"/>
      <c r="XI45" s="18"/>
      <c r="XJ45" s="18"/>
      <c r="XK45" s="18"/>
      <c r="XL45" s="18"/>
      <c r="XM45" s="18"/>
      <c r="XN45" s="18"/>
      <c r="XO45" s="18"/>
      <c r="XP45" s="18"/>
      <c r="XQ45" s="18"/>
      <c r="XR45" s="18"/>
      <c r="XS45" s="18"/>
      <c r="XT45" s="18"/>
      <c r="XU45" s="18"/>
      <c r="XV45" s="18"/>
      <c r="XW45" s="18"/>
      <c r="XX45" s="18"/>
      <c r="XY45" s="18"/>
      <c r="XZ45" s="18"/>
      <c r="YA45" s="18"/>
      <c r="YB45" s="18"/>
      <c r="YC45" s="18"/>
      <c r="YD45" s="18"/>
      <c r="YE45" s="18"/>
      <c r="YF45" s="18"/>
      <c r="YG45" s="18"/>
      <c r="YH45" s="18"/>
      <c r="YI45" s="18"/>
      <c r="YJ45" s="18"/>
      <c r="YK45" s="18"/>
      <c r="YL45" s="18"/>
      <c r="YM45" s="18"/>
      <c r="YN45" s="18"/>
      <c r="YO45" s="18"/>
      <c r="YP45" s="18"/>
      <c r="YQ45" s="18"/>
      <c r="YR45" s="18"/>
      <c r="YS45" s="18"/>
      <c r="YT45" s="18"/>
      <c r="YU45" s="18"/>
      <c r="YV45" s="18"/>
      <c r="YW45" s="18"/>
      <c r="YX45" s="18"/>
      <c r="YY45" s="18"/>
      <c r="YZ45" s="18"/>
      <c r="ZA45" s="18"/>
      <c r="ZB45" s="18"/>
      <c r="ZC45" s="18"/>
      <c r="ZD45" s="18"/>
      <c r="ZE45" s="18"/>
      <c r="ZF45" s="18"/>
      <c r="ZG45" s="18"/>
      <c r="ZH45" s="18"/>
      <c r="ZI45" s="18"/>
      <c r="ZJ45" s="18"/>
      <c r="ZK45" s="18"/>
      <c r="ZL45" s="18"/>
      <c r="ZM45" s="18"/>
      <c r="ZN45" s="18"/>
      <c r="ZO45" s="18"/>
      <c r="ZP45" s="18"/>
      <c r="ZQ45" s="18"/>
      <c r="ZR45" s="18"/>
      <c r="ZS45" s="18"/>
      <c r="ZT45" s="18"/>
      <c r="ZU45" s="18"/>
      <c r="ZV45" s="18"/>
      <c r="ZW45" s="18"/>
      <c r="ZX45" s="18"/>
      <c r="ZY45" s="18"/>
      <c r="ZZ45" s="18"/>
      <c r="AAA45" s="18"/>
      <c r="AAB45" s="18"/>
      <c r="AAC45" s="18"/>
      <c r="AAD45" s="18"/>
      <c r="AAE45" s="18"/>
      <c r="AAF45" s="18"/>
      <c r="AAG45" s="18"/>
      <c r="AAH45" s="18"/>
      <c r="AAI45" s="18"/>
      <c r="AAJ45" s="18"/>
      <c r="AAK45" s="18"/>
      <c r="AAL45" s="18"/>
      <c r="AAM45" s="18"/>
      <c r="AAN45" s="18"/>
      <c r="AAO45" s="18"/>
      <c r="AAP45" s="18"/>
      <c r="AAQ45" s="18"/>
      <c r="AAR45" s="18"/>
      <c r="AAS45" s="18"/>
      <c r="AAT45" s="18"/>
      <c r="AAU45" s="18"/>
      <c r="AAV45" s="18"/>
      <c r="AAW45" s="18"/>
      <c r="AAX45" s="18"/>
      <c r="AAY45" s="18"/>
      <c r="AAZ45" s="18"/>
      <c r="ABA45" s="18"/>
      <c r="ABB45" s="18"/>
      <c r="ABC45" s="18"/>
      <c r="ABD45" s="18"/>
      <c r="ABE45" s="18"/>
      <c r="ABF45" s="18"/>
      <c r="ABG45" s="18"/>
      <c r="ABH45" s="18"/>
      <c r="ABI45" s="18"/>
      <c r="ABJ45" s="18"/>
      <c r="ABK45" s="18"/>
      <c r="ABL45" s="18"/>
      <c r="ABM45" s="18"/>
      <c r="ABN45" s="18"/>
      <c r="ABO45" s="18"/>
      <c r="ABP45" s="18"/>
      <c r="ABQ45" s="18"/>
      <c r="ABR45" s="18"/>
      <c r="ABS45" s="18"/>
      <c r="ABT45" s="18"/>
      <c r="ABU45" s="18"/>
      <c r="ABV45" s="18"/>
      <c r="ABW45" s="18"/>
      <c r="ABX45" s="18"/>
      <c r="ABY45" s="18"/>
      <c r="ABZ45" s="18"/>
      <c r="ACA45" s="18"/>
      <c r="ACB45" s="18"/>
      <c r="ACC45" s="18"/>
      <c r="ACD45" s="18"/>
      <c r="ACE45" s="18"/>
      <c r="ACF45" s="18"/>
      <c r="ACG45" s="18"/>
      <c r="ACH45" s="18"/>
      <c r="ACI45" s="18"/>
      <c r="ACJ45" s="18"/>
      <c r="ACK45" s="18"/>
      <c r="ACL45" s="18"/>
      <c r="ACM45" s="18"/>
      <c r="ACN45" s="18"/>
      <c r="ACO45" s="18"/>
      <c r="ACP45" s="18"/>
      <c r="ACQ45" s="18"/>
      <c r="ACR45" s="18"/>
      <c r="ACS45" s="18"/>
      <c r="ACT45" s="18"/>
      <c r="ACU45" s="18"/>
      <c r="ACV45" s="18"/>
      <c r="ACW45" s="18"/>
      <c r="ACX45" s="18"/>
      <c r="ACY45" s="18"/>
      <c r="ACZ45" s="18"/>
      <c r="ADA45" s="18"/>
      <c r="ADB45" s="18"/>
      <c r="ADC45" s="18"/>
      <c r="ADD45" s="18"/>
      <c r="ADE45" s="18"/>
      <c r="ADF45" s="18"/>
      <c r="ADG45" s="18"/>
      <c r="ADH45" s="18"/>
      <c r="ADI45" s="18"/>
      <c r="ADJ45" s="18"/>
      <c r="ADK45" s="18"/>
      <c r="ADL45" s="18"/>
      <c r="ADM45" s="18"/>
      <c r="ADN45" s="18"/>
      <c r="ADO45" s="18"/>
      <c r="ADP45" s="18"/>
      <c r="ADQ45" s="18"/>
      <c r="ADR45" s="18"/>
      <c r="ADS45" s="18"/>
      <c r="ADT45" s="18"/>
      <c r="ADU45" s="18"/>
      <c r="ADV45" s="18"/>
      <c r="ADW45" s="18"/>
      <c r="ADX45" s="18"/>
      <c r="ADY45" s="18"/>
      <c r="ADZ45" s="18"/>
      <c r="AEA45" s="18"/>
      <c r="AEB45" s="18"/>
      <c r="AEC45" s="18"/>
      <c r="AED45" s="18"/>
      <c r="AEE45" s="18"/>
      <c r="AEF45" s="18"/>
      <c r="AEG45" s="18"/>
      <c r="AEH45" s="18"/>
      <c r="AEI45" s="18"/>
      <c r="AEJ45" s="18"/>
      <c r="AEK45" s="18"/>
      <c r="AEL45" s="18"/>
      <c r="AEM45" s="18"/>
      <c r="AEN45" s="18"/>
      <c r="AEO45" s="18"/>
      <c r="AEP45" s="18"/>
      <c r="AEQ45" s="18"/>
      <c r="AER45" s="18"/>
      <c r="AES45" s="18"/>
      <c r="AET45" s="18"/>
      <c r="AEU45" s="18"/>
      <c r="AEV45" s="18"/>
      <c r="AEW45" s="18"/>
      <c r="AEX45" s="18"/>
      <c r="AEY45" s="18"/>
      <c r="AEZ45" s="18"/>
      <c r="AFA45" s="18"/>
      <c r="AFB45" s="18"/>
      <c r="AFC45" s="18"/>
      <c r="AFD45" s="18"/>
      <c r="AFE45" s="18"/>
      <c r="AFF45" s="18"/>
      <c r="AFG45" s="18"/>
      <c r="AFH45" s="18"/>
      <c r="AFI45" s="18"/>
      <c r="AFJ45" s="18"/>
      <c r="AFK45" s="18"/>
      <c r="AFL45" s="18"/>
      <c r="AFM45" s="18"/>
      <c r="AFN45" s="18"/>
      <c r="AFO45" s="18"/>
      <c r="AFP45" s="18"/>
      <c r="AFQ45" s="18"/>
      <c r="AFR45" s="18"/>
      <c r="AFS45" s="18"/>
      <c r="AFT45" s="18"/>
      <c r="AFU45" s="18"/>
      <c r="AFV45" s="18"/>
      <c r="AFW45" s="18"/>
      <c r="AFX45" s="18"/>
      <c r="AFY45" s="18"/>
      <c r="AFZ45" s="18"/>
      <c r="AGA45" s="18"/>
      <c r="AGB45" s="18"/>
      <c r="AGC45" s="18"/>
      <c r="AGD45" s="18"/>
      <c r="AGE45" s="18"/>
      <c r="AGF45" s="18"/>
      <c r="AGG45" s="18"/>
      <c r="AGH45" s="18"/>
      <c r="AGI45" s="18"/>
      <c r="AGJ45" s="18"/>
      <c r="AGK45" s="18"/>
      <c r="AGL45" s="18"/>
      <c r="AGM45" s="18"/>
      <c r="AGN45" s="18"/>
      <c r="AGO45" s="18"/>
      <c r="AGP45" s="18"/>
      <c r="AGQ45" s="18"/>
      <c r="AGR45" s="18"/>
      <c r="AGS45" s="18"/>
      <c r="AGT45" s="18"/>
      <c r="AGU45" s="18"/>
      <c r="AGV45" s="18"/>
      <c r="AGW45" s="18"/>
      <c r="AGX45" s="18"/>
      <c r="AGY45" s="18"/>
      <c r="AGZ45" s="18"/>
      <c r="AHA45" s="18"/>
      <c r="AHB45" s="18"/>
      <c r="AHC45" s="18"/>
      <c r="AHD45" s="18"/>
      <c r="AHE45" s="18"/>
      <c r="AHF45" s="18"/>
      <c r="AHG45" s="18"/>
      <c r="AHH45" s="18"/>
      <c r="AHI45" s="18"/>
      <c r="AHJ45" s="18"/>
      <c r="AHK45" s="18"/>
      <c r="AHL45" s="18"/>
      <c r="AHM45" s="18"/>
      <c r="AHN45" s="18"/>
      <c r="AHO45" s="18"/>
      <c r="AHP45" s="18"/>
      <c r="AHQ45" s="18"/>
      <c r="AHR45" s="18"/>
      <c r="AHS45" s="18"/>
      <c r="AHT45" s="18"/>
      <c r="AHU45" s="18"/>
      <c r="AHV45" s="18"/>
      <c r="AHW45" s="18"/>
      <c r="AHX45" s="18"/>
      <c r="AHY45" s="18"/>
      <c r="AHZ45" s="18"/>
      <c r="AIA45" s="18"/>
      <c r="AIB45" s="18"/>
      <c r="AIC45" s="18"/>
      <c r="AID45" s="18"/>
      <c r="AIE45" s="18"/>
      <c r="AIF45" s="18"/>
      <c r="AIG45" s="18"/>
      <c r="AIH45" s="18"/>
      <c r="AII45" s="18"/>
      <c r="AIJ45" s="18"/>
      <c r="AIK45" s="18"/>
      <c r="AIL45" s="18"/>
      <c r="AIM45" s="18"/>
      <c r="AIN45" s="18"/>
      <c r="AIO45" s="18"/>
      <c r="AIP45" s="18"/>
      <c r="AIQ45" s="18"/>
      <c r="AIR45" s="18"/>
      <c r="AIS45" s="18"/>
      <c r="AIT45" s="18"/>
      <c r="AIU45" s="18"/>
      <c r="AIV45" s="18"/>
      <c r="AIW45" s="18"/>
      <c r="AIX45" s="18"/>
      <c r="AIY45" s="18"/>
      <c r="AIZ45" s="18"/>
      <c r="AJA45" s="18"/>
      <c r="AJB45" s="18"/>
      <c r="AJC45" s="18"/>
      <c r="AJD45" s="18"/>
      <c r="AJE45" s="18"/>
      <c r="AJF45" s="18"/>
      <c r="AJG45" s="18"/>
      <c r="AJH45" s="18"/>
      <c r="AJI45" s="18"/>
      <c r="AJJ45" s="18"/>
      <c r="AJK45" s="18"/>
      <c r="AJL45" s="18"/>
      <c r="AJM45" s="18"/>
      <c r="AJN45" s="18"/>
      <c r="AJO45" s="18"/>
      <c r="AJP45" s="18"/>
      <c r="AJQ45" s="18"/>
      <c r="AJR45" s="18"/>
      <c r="AJS45" s="18"/>
      <c r="AJT45" s="18"/>
      <c r="AJU45" s="18"/>
      <c r="AJV45" s="18"/>
      <c r="AJW45" s="18"/>
      <c r="AJX45" s="18"/>
      <c r="AJY45" s="18"/>
      <c r="AJZ45" s="18"/>
      <c r="AKA45" s="18"/>
      <c r="AKB45" s="18"/>
      <c r="AKC45" s="18"/>
      <c r="AKD45" s="18"/>
      <c r="AKE45" s="18"/>
      <c r="AKF45" s="18"/>
      <c r="AKG45" s="18"/>
      <c r="AKH45" s="18"/>
      <c r="AKI45" s="18"/>
      <c r="AKJ45" s="18"/>
      <c r="AKK45" s="18"/>
      <c r="AKL45" s="18"/>
      <c r="AKM45" s="18"/>
      <c r="AKN45" s="18"/>
      <c r="AKO45" s="18"/>
      <c r="AKP45" s="18"/>
      <c r="AKQ45" s="18"/>
      <c r="AKR45" s="18"/>
      <c r="AKS45" s="18"/>
      <c r="AKT45" s="18"/>
      <c r="AKU45" s="18"/>
      <c r="AKV45" s="18"/>
      <c r="AKW45" s="18"/>
      <c r="AKX45" s="18"/>
      <c r="AKY45" s="18"/>
      <c r="AKZ45" s="18"/>
      <c r="ALA45" s="18"/>
      <c r="ALB45" s="18"/>
      <c r="ALC45" s="18"/>
      <c r="ALD45" s="18"/>
      <c r="ALE45" s="18"/>
      <c r="ALF45" s="18"/>
      <c r="ALG45" s="18"/>
      <c r="ALH45" s="18"/>
      <c r="ALI45" s="18"/>
      <c r="ALJ45" s="18"/>
      <c r="ALK45" s="18"/>
      <c r="ALL45" s="18"/>
      <c r="ALM45" s="18"/>
      <c r="ALN45" s="18"/>
      <c r="ALO45" s="18"/>
      <c r="ALP45" s="18"/>
      <c r="ALQ45" s="18"/>
      <c r="ALR45" s="18"/>
      <c r="ALS45" s="18"/>
      <c r="ALT45" s="18"/>
      <c r="ALU45" s="18"/>
      <c r="ALV45" s="18"/>
      <c r="ALW45" s="18"/>
      <c r="ALX45" s="18"/>
      <c r="ALY45" s="18"/>
      <c r="ALZ45" s="18"/>
      <c r="AMA45" s="18"/>
      <c r="AMB45" s="18"/>
      <c r="AMC45" s="18"/>
      <c r="AMD45" s="18"/>
      <c r="AME45" s="18"/>
      <c r="AMF45" s="18"/>
      <c r="AMG45" s="18"/>
      <c r="AMH45" s="18"/>
    </row>
    <row r="46" spans="1:1022" s="23" customFormat="1" ht="26.85" customHeight="1" x14ac:dyDescent="0.3">
      <c r="A46" s="33">
        <v>142</v>
      </c>
      <c r="B46" s="19"/>
      <c r="C46" s="19"/>
      <c r="D46" s="59" t="s">
        <v>317</v>
      </c>
      <c r="E46" s="34" t="s">
        <v>468</v>
      </c>
      <c r="F46" s="39"/>
      <c r="G46" s="39"/>
      <c r="I46" s="40"/>
      <c r="J46" s="40"/>
      <c r="K46" s="31"/>
      <c r="L46" s="38" t="s">
        <v>281</v>
      </c>
      <c r="M46" s="41"/>
      <c r="N46" s="32"/>
      <c r="O46" s="18"/>
      <c r="P46" s="36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18"/>
      <c r="BK46" s="18"/>
      <c r="BL46" s="18"/>
      <c r="BM46" s="18"/>
      <c r="BN46" s="18"/>
      <c r="BO46" s="18"/>
      <c r="BP46" s="18"/>
      <c r="BQ46" s="18"/>
      <c r="BR46" s="18"/>
      <c r="BS46" s="18"/>
      <c r="BT46" s="18"/>
      <c r="BU46" s="18"/>
      <c r="BV46" s="18"/>
      <c r="BW46" s="18"/>
      <c r="BX46" s="18"/>
      <c r="BY46" s="18"/>
      <c r="BZ46" s="18"/>
      <c r="CA46" s="18"/>
      <c r="CB46" s="18"/>
      <c r="CC46" s="18"/>
      <c r="CD46" s="18"/>
      <c r="CE46" s="18"/>
      <c r="CF46" s="18"/>
      <c r="CG46" s="18"/>
      <c r="CH46" s="18"/>
      <c r="CI46" s="18"/>
      <c r="CJ46" s="18"/>
      <c r="CK46" s="18"/>
      <c r="CL46" s="18"/>
      <c r="CM46" s="18"/>
      <c r="CN46" s="18"/>
      <c r="CO46" s="18"/>
      <c r="CP46" s="18"/>
      <c r="CQ46" s="18"/>
      <c r="CR46" s="18"/>
      <c r="CS46" s="18"/>
      <c r="CT46" s="18"/>
      <c r="CU46" s="18"/>
      <c r="CV46" s="18"/>
      <c r="CW46" s="18"/>
      <c r="CX46" s="18"/>
      <c r="CY46" s="18"/>
      <c r="CZ46" s="18"/>
      <c r="DA46" s="18"/>
      <c r="DB46" s="18"/>
      <c r="DC46" s="18"/>
      <c r="DD46" s="18"/>
      <c r="DE46" s="18"/>
      <c r="DF46" s="18"/>
      <c r="DG46" s="18"/>
      <c r="DH46" s="18"/>
      <c r="DI46" s="18"/>
      <c r="DJ46" s="18"/>
      <c r="DK46" s="18"/>
      <c r="DL46" s="18"/>
      <c r="DM46" s="18"/>
      <c r="DN46" s="18"/>
      <c r="DO46" s="18"/>
      <c r="DP46" s="18"/>
      <c r="DQ46" s="18"/>
      <c r="DR46" s="18"/>
      <c r="DS46" s="18"/>
      <c r="DT46" s="18"/>
      <c r="DU46" s="18"/>
      <c r="DV46" s="18"/>
      <c r="DW46" s="18"/>
      <c r="DX46" s="18"/>
      <c r="DY46" s="18"/>
      <c r="DZ46" s="18"/>
      <c r="EA46" s="18"/>
      <c r="EB46" s="18"/>
      <c r="EC46" s="18"/>
      <c r="ED46" s="18"/>
      <c r="EE46" s="18"/>
      <c r="EF46" s="18"/>
      <c r="EG46" s="18"/>
      <c r="EH46" s="18"/>
      <c r="EI46" s="18"/>
      <c r="EJ46" s="18"/>
      <c r="EK46" s="18"/>
      <c r="EL46" s="18"/>
      <c r="EM46" s="18"/>
      <c r="EN46" s="18"/>
      <c r="EO46" s="18"/>
      <c r="EP46" s="18"/>
      <c r="EQ46" s="18"/>
      <c r="ER46" s="18"/>
      <c r="ES46" s="18"/>
      <c r="ET46" s="18"/>
      <c r="EU46" s="18"/>
      <c r="EV46" s="18"/>
      <c r="EW46" s="18"/>
      <c r="EX46" s="18"/>
      <c r="EY46" s="18"/>
      <c r="EZ46" s="18"/>
      <c r="FA46" s="18"/>
      <c r="FB46" s="18"/>
      <c r="FC46" s="18"/>
      <c r="FD46" s="18"/>
      <c r="FE46" s="18"/>
      <c r="FF46" s="18"/>
      <c r="FG46" s="18"/>
      <c r="FH46" s="18"/>
      <c r="FI46" s="18"/>
      <c r="FJ46" s="18"/>
      <c r="FK46" s="18"/>
      <c r="FL46" s="18"/>
      <c r="FM46" s="18"/>
      <c r="FN46" s="18"/>
      <c r="FO46" s="18"/>
      <c r="FP46" s="18"/>
      <c r="FQ46" s="18"/>
      <c r="FR46" s="18"/>
      <c r="FS46" s="18"/>
      <c r="FT46" s="18"/>
      <c r="FU46" s="18"/>
      <c r="FV46" s="18"/>
      <c r="FW46" s="18"/>
      <c r="FX46" s="18"/>
      <c r="FY46" s="18"/>
      <c r="FZ46" s="18"/>
      <c r="GA46" s="18"/>
      <c r="GB46" s="18"/>
      <c r="GC46" s="18"/>
      <c r="GD46" s="18"/>
      <c r="GE46" s="18"/>
      <c r="GF46" s="18"/>
      <c r="GG46" s="18"/>
      <c r="GH46" s="18"/>
      <c r="GI46" s="18"/>
      <c r="GJ46" s="18"/>
      <c r="GK46" s="18"/>
      <c r="GL46" s="18"/>
      <c r="GM46" s="18"/>
      <c r="GN46" s="18"/>
      <c r="GO46" s="18"/>
      <c r="GP46" s="18"/>
      <c r="GQ46" s="18"/>
      <c r="GR46" s="18"/>
      <c r="GS46" s="18"/>
      <c r="GT46" s="18"/>
      <c r="GU46" s="18"/>
      <c r="GV46" s="18"/>
      <c r="GW46" s="18"/>
      <c r="GX46" s="18"/>
      <c r="GY46" s="18"/>
      <c r="GZ46" s="18"/>
      <c r="HA46" s="18"/>
      <c r="HB46" s="18"/>
      <c r="HC46" s="18"/>
      <c r="HD46" s="18"/>
      <c r="HE46" s="18"/>
      <c r="HF46" s="18"/>
      <c r="HG46" s="18"/>
      <c r="HH46" s="18"/>
      <c r="HI46" s="18"/>
      <c r="HJ46" s="18"/>
      <c r="HK46" s="18"/>
      <c r="HL46" s="18"/>
      <c r="HM46" s="18"/>
      <c r="HN46" s="18"/>
      <c r="HO46" s="18"/>
      <c r="HP46" s="18"/>
      <c r="HQ46" s="18"/>
      <c r="HR46" s="18"/>
      <c r="HS46" s="18"/>
      <c r="HT46" s="18"/>
      <c r="HU46" s="18"/>
      <c r="HV46" s="18"/>
      <c r="HW46" s="18"/>
      <c r="HX46" s="18"/>
      <c r="HY46" s="18"/>
      <c r="HZ46" s="18"/>
      <c r="IA46" s="18"/>
      <c r="IB46" s="18"/>
      <c r="IC46" s="18"/>
      <c r="ID46" s="18"/>
      <c r="IE46" s="18"/>
      <c r="IF46" s="18"/>
      <c r="IG46" s="18"/>
      <c r="IH46" s="18"/>
      <c r="II46" s="18"/>
      <c r="IJ46" s="18"/>
      <c r="IK46" s="18"/>
      <c r="IL46" s="18"/>
      <c r="IM46" s="18"/>
      <c r="IN46" s="18"/>
      <c r="IO46" s="18"/>
      <c r="IP46" s="18"/>
      <c r="IQ46" s="18"/>
      <c r="IR46" s="18"/>
      <c r="IS46" s="18"/>
      <c r="IT46" s="18"/>
      <c r="IU46" s="18"/>
      <c r="IV46" s="18"/>
      <c r="IW46" s="18"/>
      <c r="IX46" s="18"/>
      <c r="IY46" s="18"/>
      <c r="IZ46" s="18"/>
      <c r="JA46" s="18"/>
      <c r="JB46" s="18"/>
      <c r="JC46" s="18"/>
      <c r="JD46" s="18"/>
      <c r="JE46" s="18"/>
      <c r="JF46" s="18"/>
      <c r="JG46" s="18"/>
      <c r="JH46" s="18"/>
      <c r="JI46" s="18"/>
      <c r="JJ46" s="18"/>
      <c r="JK46" s="18"/>
      <c r="JL46" s="18"/>
      <c r="JM46" s="18"/>
      <c r="JN46" s="18"/>
      <c r="JO46" s="18"/>
      <c r="JP46" s="18"/>
      <c r="JQ46" s="18"/>
      <c r="JR46" s="18"/>
      <c r="JS46" s="18"/>
      <c r="JT46" s="18"/>
      <c r="JU46" s="18"/>
      <c r="JV46" s="18"/>
      <c r="JW46" s="18"/>
      <c r="JX46" s="18"/>
      <c r="JY46" s="18"/>
      <c r="JZ46" s="18"/>
      <c r="KA46" s="18"/>
      <c r="KB46" s="18"/>
      <c r="KC46" s="18"/>
      <c r="KD46" s="18"/>
      <c r="KE46" s="18"/>
      <c r="KF46" s="18"/>
      <c r="KG46" s="18"/>
      <c r="KH46" s="18"/>
      <c r="KI46" s="18"/>
      <c r="KJ46" s="18"/>
      <c r="KK46" s="18"/>
      <c r="KL46" s="18"/>
      <c r="KM46" s="18"/>
      <c r="KN46" s="18"/>
      <c r="KO46" s="18"/>
      <c r="KP46" s="18"/>
      <c r="KQ46" s="18"/>
      <c r="KR46" s="18"/>
      <c r="KS46" s="18"/>
      <c r="KT46" s="18"/>
      <c r="KU46" s="18"/>
      <c r="KV46" s="18"/>
      <c r="KW46" s="18"/>
      <c r="KX46" s="18"/>
      <c r="KY46" s="18"/>
      <c r="KZ46" s="18"/>
      <c r="LA46" s="18"/>
      <c r="LB46" s="18"/>
      <c r="LC46" s="18"/>
      <c r="LD46" s="18"/>
      <c r="LE46" s="18"/>
      <c r="LF46" s="18"/>
      <c r="LG46" s="18"/>
      <c r="LH46" s="18"/>
      <c r="LI46" s="18"/>
      <c r="LJ46" s="18"/>
      <c r="LK46" s="18"/>
      <c r="LL46" s="18"/>
      <c r="LM46" s="18"/>
      <c r="LN46" s="18"/>
      <c r="LO46" s="18"/>
      <c r="LP46" s="18"/>
      <c r="LQ46" s="18"/>
      <c r="LR46" s="18"/>
      <c r="LS46" s="18"/>
      <c r="LT46" s="18"/>
      <c r="LU46" s="18"/>
      <c r="LV46" s="18"/>
      <c r="LW46" s="18"/>
      <c r="LX46" s="18"/>
      <c r="LY46" s="18"/>
      <c r="LZ46" s="18"/>
      <c r="MA46" s="18"/>
      <c r="MB46" s="18"/>
      <c r="MC46" s="18"/>
      <c r="MD46" s="18"/>
      <c r="ME46" s="18"/>
      <c r="MF46" s="18"/>
      <c r="MG46" s="18"/>
      <c r="MH46" s="18"/>
      <c r="MI46" s="18"/>
      <c r="MJ46" s="18"/>
      <c r="MK46" s="18"/>
      <c r="ML46" s="18"/>
      <c r="MM46" s="18"/>
      <c r="MN46" s="18"/>
      <c r="MO46" s="18"/>
      <c r="MP46" s="18"/>
      <c r="MQ46" s="18"/>
      <c r="MR46" s="18"/>
      <c r="MS46" s="18"/>
      <c r="MT46" s="18"/>
      <c r="MU46" s="18"/>
      <c r="MV46" s="18"/>
      <c r="MW46" s="18"/>
      <c r="MX46" s="18"/>
      <c r="MY46" s="18"/>
      <c r="MZ46" s="18"/>
      <c r="NA46" s="18"/>
      <c r="NB46" s="18"/>
      <c r="NC46" s="18"/>
      <c r="ND46" s="18"/>
      <c r="NE46" s="18"/>
      <c r="NF46" s="18"/>
      <c r="NG46" s="18"/>
      <c r="NH46" s="18"/>
      <c r="NI46" s="18"/>
      <c r="NJ46" s="18"/>
      <c r="NK46" s="18"/>
      <c r="NL46" s="18"/>
      <c r="NM46" s="18"/>
      <c r="NN46" s="18"/>
      <c r="NO46" s="18"/>
      <c r="NP46" s="18"/>
      <c r="NQ46" s="18"/>
      <c r="NR46" s="18"/>
      <c r="NS46" s="18"/>
      <c r="NT46" s="18"/>
      <c r="NU46" s="18"/>
      <c r="NV46" s="18"/>
      <c r="NW46" s="18"/>
      <c r="NX46" s="18"/>
      <c r="NY46" s="18"/>
      <c r="NZ46" s="18"/>
      <c r="OA46" s="18"/>
      <c r="OB46" s="18"/>
      <c r="OC46" s="18"/>
      <c r="OD46" s="18"/>
      <c r="OE46" s="18"/>
      <c r="OF46" s="18"/>
      <c r="OG46" s="18"/>
      <c r="OH46" s="18"/>
      <c r="OI46" s="18"/>
      <c r="OJ46" s="18"/>
      <c r="OK46" s="18"/>
      <c r="OL46" s="18"/>
      <c r="OM46" s="18"/>
      <c r="ON46" s="18"/>
      <c r="OO46" s="18"/>
      <c r="OP46" s="18"/>
      <c r="OQ46" s="18"/>
      <c r="OR46" s="18"/>
      <c r="OS46" s="18"/>
      <c r="OT46" s="18"/>
      <c r="OU46" s="18"/>
      <c r="OV46" s="18"/>
      <c r="OW46" s="18"/>
      <c r="OX46" s="18"/>
      <c r="OY46" s="18"/>
      <c r="OZ46" s="18"/>
      <c r="PA46" s="18"/>
      <c r="PB46" s="18"/>
      <c r="PC46" s="18"/>
      <c r="PD46" s="18"/>
      <c r="PE46" s="18"/>
      <c r="PF46" s="18"/>
      <c r="PG46" s="18"/>
      <c r="PH46" s="18"/>
      <c r="PI46" s="18"/>
      <c r="PJ46" s="18"/>
      <c r="PK46" s="18"/>
      <c r="PL46" s="18"/>
      <c r="PM46" s="18"/>
      <c r="PN46" s="18"/>
      <c r="PO46" s="18"/>
      <c r="PP46" s="18"/>
      <c r="PQ46" s="18"/>
      <c r="PR46" s="18"/>
      <c r="PS46" s="18"/>
      <c r="PT46" s="18"/>
      <c r="PU46" s="18"/>
      <c r="PV46" s="18"/>
      <c r="PW46" s="18"/>
      <c r="PX46" s="18"/>
      <c r="PY46" s="18"/>
      <c r="PZ46" s="18"/>
      <c r="QA46" s="18"/>
      <c r="QB46" s="18"/>
      <c r="QC46" s="18"/>
      <c r="QD46" s="18"/>
      <c r="QE46" s="18"/>
      <c r="QF46" s="18"/>
      <c r="QG46" s="18"/>
      <c r="QH46" s="18"/>
      <c r="QI46" s="18"/>
      <c r="QJ46" s="18"/>
      <c r="QK46" s="18"/>
      <c r="QL46" s="18"/>
      <c r="QM46" s="18"/>
      <c r="QN46" s="18"/>
      <c r="QO46" s="18"/>
      <c r="QP46" s="18"/>
      <c r="QQ46" s="18"/>
      <c r="QR46" s="18"/>
      <c r="QS46" s="18"/>
      <c r="QT46" s="18"/>
      <c r="QU46" s="18"/>
      <c r="QV46" s="18"/>
      <c r="QW46" s="18"/>
      <c r="QX46" s="18"/>
      <c r="QY46" s="18"/>
      <c r="QZ46" s="18"/>
      <c r="RA46" s="18"/>
      <c r="RB46" s="18"/>
      <c r="RC46" s="18"/>
      <c r="RD46" s="18"/>
      <c r="RE46" s="18"/>
      <c r="RF46" s="18"/>
      <c r="RG46" s="18"/>
      <c r="RH46" s="18"/>
      <c r="RI46" s="18"/>
      <c r="RJ46" s="18"/>
      <c r="RK46" s="18"/>
      <c r="RL46" s="18"/>
      <c r="RM46" s="18"/>
      <c r="RN46" s="18"/>
      <c r="RO46" s="18"/>
      <c r="RP46" s="18"/>
      <c r="RQ46" s="18"/>
      <c r="RR46" s="18"/>
      <c r="RS46" s="18"/>
      <c r="RT46" s="18"/>
      <c r="RU46" s="18"/>
      <c r="RV46" s="18"/>
      <c r="RW46" s="18"/>
      <c r="RX46" s="18"/>
      <c r="RY46" s="18"/>
      <c r="RZ46" s="18"/>
      <c r="SA46" s="18"/>
      <c r="SB46" s="18"/>
      <c r="SC46" s="18"/>
      <c r="SD46" s="18"/>
      <c r="SE46" s="18"/>
      <c r="SF46" s="18"/>
      <c r="SG46" s="18"/>
      <c r="SH46" s="18"/>
      <c r="SI46" s="18"/>
      <c r="SJ46" s="18"/>
      <c r="SK46" s="18"/>
      <c r="SL46" s="18"/>
      <c r="SM46" s="18"/>
      <c r="SN46" s="18"/>
      <c r="SO46" s="18"/>
      <c r="SP46" s="18"/>
      <c r="SQ46" s="18"/>
      <c r="SR46" s="18"/>
      <c r="SS46" s="18"/>
      <c r="ST46" s="18"/>
      <c r="SU46" s="18"/>
      <c r="SV46" s="18"/>
      <c r="SW46" s="18"/>
      <c r="SX46" s="18"/>
      <c r="SY46" s="18"/>
      <c r="SZ46" s="18"/>
      <c r="TA46" s="18"/>
      <c r="TB46" s="18"/>
      <c r="TC46" s="18"/>
      <c r="TD46" s="18"/>
      <c r="TE46" s="18"/>
      <c r="TF46" s="18"/>
      <c r="TG46" s="18"/>
      <c r="TH46" s="18"/>
      <c r="TI46" s="18"/>
      <c r="TJ46" s="18"/>
      <c r="TK46" s="18"/>
      <c r="TL46" s="18"/>
      <c r="TM46" s="18"/>
      <c r="TN46" s="18"/>
      <c r="TO46" s="18"/>
      <c r="TP46" s="18"/>
      <c r="TQ46" s="18"/>
      <c r="TR46" s="18"/>
      <c r="TS46" s="18"/>
      <c r="TT46" s="18"/>
      <c r="TU46" s="18"/>
      <c r="TV46" s="18"/>
      <c r="TW46" s="18"/>
      <c r="TX46" s="18"/>
      <c r="TY46" s="18"/>
      <c r="TZ46" s="18"/>
      <c r="UA46" s="18"/>
      <c r="UB46" s="18"/>
      <c r="UC46" s="18"/>
      <c r="UD46" s="18"/>
      <c r="UE46" s="18"/>
      <c r="UF46" s="18"/>
      <c r="UG46" s="18"/>
      <c r="UH46" s="18"/>
      <c r="UI46" s="18"/>
      <c r="UJ46" s="18"/>
      <c r="UK46" s="18"/>
      <c r="UL46" s="18"/>
      <c r="UM46" s="18"/>
      <c r="UN46" s="18"/>
      <c r="UO46" s="18"/>
      <c r="UP46" s="18"/>
      <c r="UQ46" s="18"/>
      <c r="UR46" s="18"/>
      <c r="US46" s="18"/>
      <c r="UT46" s="18"/>
      <c r="UU46" s="18"/>
      <c r="UV46" s="18"/>
      <c r="UW46" s="18"/>
      <c r="UX46" s="18"/>
      <c r="UY46" s="18"/>
      <c r="UZ46" s="18"/>
      <c r="VA46" s="18"/>
      <c r="VB46" s="18"/>
      <c r="VC46" s="18"/>
      <c r="VD46" s="18"/>
      <c r="VE46" s="18"/>
      <c r="VF46" s="18"/>
      <c r="VG46" s="18"/>
      <c r="VH46" s="18"/>
      <c r="VI46" s="18"/>
      <c r="VJ46" s="18"/>
      <c r="VK46" s="18"/>
      <c r="VL46" s="18"/>
      <c r="VM46" s="18"/>
      <c r="VN46" s="18"/>
      <c r="VO46" s="18"/>
      <c r="VP46" s="18"/>
      <c r="VQ46" s="18"/>
      <c r="VR46" s="18"/>
      <c r="VS46" s="18"/>
      <c r="VT46" s="18"/>
      <c r="VU46" s="18"/>
      <c r="VV46" s="18"/>
      <c r="VW46" s="18"/>
      <c r="VX46" s="18"/>
      <c r="VY46" s="18"/>
      <c r="VZ46" s="18"/>
      <c r="WA46" s="18"/>
      <c r="WB46" s="18"/>
      <c r="WC46" s="18"/>
      <c r="WD46" s="18"/>
      <c r="WE46" s="18"/>
      <c r="WF46" s="18"/>
      <c r="WG46" s="18"/>
      <c r="WH46" s="18"/>
      <c r="WI46" s="18"/>
      <c r="WJ46" s="18"/>
      <c r="WK46" s="18"/>
      <c r="WL46" s="18"/>
      <c r="WM46" s="18"/>
      <c r="WN46" s="18"/>
      <c r="WO46" s="18"/>
      <c r="WP46" s="18"/>
      <c r="WQ46" s="18"/>
      <c r="WR46" s="18"/>
      <c r="WS46" s="18"/>
      <c r="WT46" s="18"/>
      <c r="WU46" s="18"/>
      <c r="WV46" s="18"/>
      <c r="WW46" s="18"/>
      <c r="WX46" s="18"/>
      <c r="WY46" s="18"/>
      <c r="WZ46" s="18"/>
      <c r="XA46" s="18"/>
      <c r="XB46" s="18"/>
      <c r="XC46" s="18"/>
      <c r="XD46" s="18"/>
      <c r="XE46" s="18"/>
      <c r="XF46" s="18"/>
      <c r="XG46" s="18"/>
      <c r="XH46" s="18"/>
      <c r="XI46" s="18"/>
      <c r="XJ46" s="18"/>
      <c r="XK46" s="18"/>
      <c r="XL46" s="18"/>
      <c r="XM46" s="18"/>
      <c r="XN46" s="18"/>
      <c r="XO46" s="18"/>
      <c r="XP46" s="18"/>
      <c r="XQ46" s="18"/>
      <c r="XR46" s="18"/>
      <c r="XS46" s="18"/>
      <c r="XT46" s="18"/>
      <c r="XU46" s="18"/>
      <c r="XV46" s="18"/>
      <c r="XW46" s="18"/>
      <c r="XX46" s="18"/>
      <c r="XY46" s="18"/>
      <c r="XZ46" s="18"/>
      <c r="YA46" s="18"/>
      <c r="YB46" s="18"/>
      <c r="YC46" s="18"/>
      <c r="YD46" s="18"/>
      <c r="YE46" s="18"/>
      <c r="YF46" s="18"/>
      <c r="YG46" s="18"/>
      <c r="YH46" s="18"/>
      <c r="YI46" s="18"/>
      <c r="YJ46" s="18"/>
      <c r="YK46" s="18"/>
      <c r="YL46" s="18"/>
      <c r="YM46" s="18"/>
      <c r="YN46" s="18"/>
      <c r="YO46" s="18"/>
      <c r="YP46" s="18"/>
      <c r="YQ46" s="18"/>
      <c r="YR46" s="18"/>
      <c r="YS46" s="18"/>
      <c r="YT46" s="18"/>
      <c r="YU46" s="18"/>
      <c r="YV46" s="18"/>
      <c r="YW46" s="18"/>
      <c r="YX46" s="18"/>
      <c r="YY46" s="18"/>
      <c r="YZ46" s="18"/>
      <c r="ZA46" s="18"/>
      <c r="ZB46" s="18"/>
      <c r="ZC46" s="18"/>
      <c r="ZD46" s="18"/>
      <c r="ZE46" s="18"/>
      <c r="ZF46" s="18"/>
      <c r="ZG46" s="18"/>
      <c r="ZH46" s="18"/>
      <c r="ZI46" s="18"/>
      <c r="ZJ46" s="18"/>
      <c r="ZK46" s="18"/>
      <c r="ZL46" s="18"/>
      <c r="ZM46" s="18"/>
      <c r="ZN46" s="18"/>
      <c r="ZO46" s="18"/>
      <c r="ZP46" s="18"/>
      <c r="ZQ46" s="18"/>
      <c r="ZR46" s="18"/>
      <c r="ZS46" s="18"/>
      <c r="ZT46" s="18"/>
      <c r="ZU46" s="18"/>
      <c r="ZV46" s="18"/>
      <c r="ZW46" s="18"/>
      <c r="ZX46" s="18"/>
      <c r="ZY46" s="18"/>
      <c r="ZZ46" s="18"/>
      <c r="AAA46" s="18"/>
      <c r="AAB46" s="18"/>
      <c r="AAC46" s="18"/>
      <c r="AAD46" s="18"/>
      <c r="AAE46" s="18"/>
      <c r="AAF46" s="18"/>
      <c r="AAG46" s="18"/>
      <c r="AAH46" s="18"/>
      <c r="AAI46" s="18"/>
      <c r="AAJ46" s="18"/>
      <c r="AAK46" s="18"/>
      <c r="AAL46" s="18"/>
      <c r="AAM46" s="18"/>
      <c r="AAN46" s="18"/>
      <c r="AAO46" s="18"/>
      <c r="AAP46" s="18"/>
      <c r="AAQ46" s="18"/>
      <c r="AAR46" s="18"/>
      <c r="AAS46" s="18"/>
      <c r="AAT46" s="18"/>
      <c r="AAU46" s="18"/>
      <c r="AAV46" s="18"/>
      <c r="AAW46" s="18"/>
      <c r="AAX46" s="18"/>
      <c r="AAY46" s="18"/>
      <c r="AAZ46" s="18"/>
      <c r="ABA46" s="18"/>
      <c r="ABB46" s="18"/>
      <c r="ABC46" s="18"/>
      <c r="ABD46" s="18"/>
      <c r="ABE46" s="18"/>
      <c r="ABF46" s="18"/>
      <c r="ABG46" s="18"/>
      <c r="ABH46" s="18"/>
      <c r="ABI46" s="18"/>
      <c r="ABJ46" s="18"/>
      <c r="ABK46" s="18"/>
      <c r="ABL46" s="18"/>
      <c r="ABM46" s="18"/>
      <c r="ABN46" s="18"/>
      <c r="ABO46" s="18"/>
      <c r="ABP46" s="18"/>
      <c r="ABQ46" s="18"/>
      <c r="ABR46" s="18"/>
      <c r="ABS46" s="18"/>
      <c r="ABT46" s="18"/>
      <c r="ABU46" s="18"/>
      <c r="ABV46" s="18"/>
      <c r="ABW46" s="18"/>
      <c r="ABX46" s="18"/>
      <c r="ABY46" s="18"/>
      <c r="ABZ46" s="18"/>
      <c r="ACA46" s="18"/>
      <c r="ACB46" s="18"/>
      <c r="ACC46" s="18"/>
      <c r="ACD46" s="18"/>
      <c r="ACE46" s="18"/>
      <c r="ACF46" s="18"/>
      <c r="ACG46" s="18"/>
      <c r="ACH46" s="18"/>
      <c r="ACI46" s="18"/>
      <c r="ACJ46" s="18"/>
      <c r="ACK46" s="18"/>
      <c r="ACL46" s="18"/>
      <c r="ACM46" s="18"/>
      <c r="ACN46" s="18"/>
      <c r="ACO46" s="18"/>
      <c r="ACP46" s="18"/>
      <c r="ACQ46" s="18"/>
      <c r="ACR46" s="18"/>
      <c r="ACS46" s="18"/>
      <c r="ACT46" s="18"/>
      <c r="ACU46" s="18"/>
      <c r="ACV46" s="18"/>
      <c r="ACW46" s="18"/>
      <c r="ACX46" s="18"/>
      <c r="ACY46" s="18"/>
      <c r="ACZ46" s="18"/>
      <c r="ADA46" s="18"/>
      <c r="ADB46" s="18"/>
      <c r="ADC46" s="18"/>
      <c r="ADD46" s="18"/>
      <c r="ADE46" s="18"/>
      <c r="ADF46" s="18"/>
      <c r="ADG46" s="18"/>
      <c r="ADH46" s="18"/>
      <c r="ADI46" s="18"/>
      <c r="ADJ46" s="18"/>
      <c r="ADK46" s="18"/>
      <c r="ADL46" s="18"/>
      <c r="ADM46" s="18"/>
      <c r="ADN46" s="18"/>
      <c r="ADO46" s="18"/>
      <c r="ADP46" s="18"/>
      <c r="ADQ46" s="18"/>
      <c r="ADR46" s="18"/>
      <c r="ADS46" s="18"/>
      <c r="ADT46" s="18"/>
      <c r="ADU46" s="18"/>
      <c r="ADV46" s="18"/>
      <c r="ADW46" s="18"/>
      <c r="ADX46" s="18"/>
      <c r="ADY46" s="18"/>
      <c r="ADZ46" s="18"/>
      <c r="AEA46" s="18"/>
      <c r="AEB46" s="18"/>
      <c r="AEC46" s="18"/>
      <c r="AED46" s="18"/>
      <c r="AEE46" s="18"/>
      <c r="AEF46" s="18"/>
      <c r="AEG46" s="18"/>
      <c r="AEH46" s="18"/>
      <c r="AEI46" s="18"/>
      <c r="AEJ46" s="18"/>
      <c r="AEK46" s="18"/>
      <c r="AEL46" s="18"/>
      <c r="AEM46" s="18"/>
      <c r="AEN46" s="18"/>
      <c r="AEO46" s="18"/>
      <c r="AEP46" s="18"/>
      <c r="AEQ46" s="18"/>
      <c r="AER46" s="18"/>
      <c r="AES46" s="18"/>
      <c r="AET46" s="18"/>
      <c r="AEU46" s="18"/>
      <c r="AEV46" s="18"/>
      <c r="AEW46" s="18"/>
      <c r="AEX46" s="18"/>
      <c r="AEY46" s="18"/>
      <c r="AEZ46" s="18"/>
      <c r="AFA46" s="18"/>
      <c r="AFB46" s="18"/>
      <c r="AFC46" s="18"/>
      <c r="AFD46" s="18"/>
      <c r="AFE46" s="18"/>
      <c r="AFF46" s="18"/>
      <c r="AFG46" s="18"/>
      <c r="AFH46" s="18"/>
      <c r="AFI46" s="18"/>
      <c r="AFJ46" s="18"/>
      <c r="AFK46" s="18"/>
      <c r="AFL46" s="18"/>
      <c r="AFM46" s="18"/>
      <c r="AFN46" s="18"/>
      <c r="AFO46" s="18"/>
      <c r="AFP46" s="18"/>
      <c r="AFQ46" s="18"/>
      <c r="AFR46" s="18"/>
      <c r="AFS46" s="18"/>
      <c r="AFT46" s="18"/>
      <c r="AFU46" s="18"/>
      <c r="AFV46" s="18"/>
      <c r="AFW46" s="18"/>
      <c r="AFX46" s="18"/>
      <c r="AFY46" s="18"/>
      <c r="AFZ46" s="18"/>
      <c r="AGA46" s="18"/>
      <c r="AGB46" s="18"/>
      <c r="AGC46" s="18"/>
      <c r="AGD46" s="18"/>
      <c r="AGE46" s="18"/>
      <c r="AGF46" s="18"/>
      <c r="AGG46" s="18"/>
      <c r="AGH46" s="18"/>
      <c r="AGI46" s="18"/>
      <c r="AGJ46" s="18"/>
      <c r="AGK46" s="18"/>
      <c r="AGL46" s="18"/>
      <c r="AGM46" s="18"/>
      <c r="AGN46" s="18"/>
      <c r="AGO46" s="18"/>
      <c r="AGP46" s="18"/>
      <c r="AGQ46" s="18"/>
      <c r="AGR46" s="18"/>
      <c r="AGS46" s="18"/>
      <c r="AGT46" s="18"/>
      <c r="AGU46" s="18"/>
      <c r="AGV46" s="18"/>
      <c r="AGW46" s="18"/>
      <c r="AGX46" s="18"/>
      <c r="AGY46" s="18"/>
      <c r="AGZ46" s="18"/>
      <c r="AHA46" s="18"/>
      <c r="AHB46" s="18"/>
      <c r="AHC46" s="18"/>
      <c r="AHD46" s="18"/>
      <c r="AHE46" s="18"/>
      <c r="AHF46" s="18"/>
      <c r="AHG46" s="18"/>
      <c r="AHH46" s="18"/>
      <c r="AHI46" s="18"/>
      <c r="AHJ46" s="18"/>
      <c r="AHK46" s="18"/>
      <c r="AHL46" s="18"/>
      <c r="AHM46" s="18"/>
      <c r="AHN46" s="18"/>
      <c r="AHO46" s="18"/>
      <c r="AHP46" s="18"/>
      <c r="AHQ46" s="18"/>
      <c r="AHR46" s="18"/>
      <c r="AHS46" s="18"/>
      <c r="AHT46" s="18"/>
      <c r="AHU46" s="18"/>
      <c r="AHV46" s="18"/>
      <c r="AHW46" s="18"/>
      <c r="AHX46" s="18"/>
      <c r="AHY46" s="18"/>
      <c r="AHZ46" s="18"/>
      <c r="AIA46" s="18"/>
      <c r="AIB46" s="18"/>
      <c r="AIC46" s="18"/>
      <c r="AID46" s="18"/>
      <c r="AIE46" s="18"/>
      <c r="AIF46" s="18"/>
      <c r="AIG46" s="18"/>
      <c r="AIH46" s="18"/>
      <c r="AII46" s="18"/>
      <c r="AIJ46" s="18"/>
      <c r="AIK46" s="18"/>
      <c r="AIL46" s="18"/>
      <c r="AIM46" s="18"/>
      <c r="AIN46" s="18"/>
      <c r="AIO46" s="18"/>
      <c r="AIP46" s="18"/>
      <c r="AIQ46" s="18"/>
      <c r="AIR46" s="18"/>
      <c r="AIS46" s="18"/>
      <c r="AIT46" s="18"/>
      <c r="AIU46" s="18"/>
      <c r="AIV46" s="18"/>
      <c r="AIW46" s="18"/>
      <c r="AIX46" s="18"/>
      <c r="AIY46" s="18"/>
      <c r="AIZ46" s="18"/>
      <c r="AJA46" s="18"/>
      <c r="AJB46" s="18"/>
      <c r="AJC46" s="18"/>
      <c r="AJD46" s="18"/>
      <c r="AJE46" s="18"/>
      <c r="AJF46" s="18"/>
      <c r="AJG46" s="18"/>
      <c r="AJH46" s="18"/>
      <c r="AJI46" s="18"/>
      <c r="AJJ46" s="18"/>
      <c r="AJK46" s="18"/>
      <c r="AJL46" s="18"/>
      <c r="AJM46" s="18"/>
      <c r="AJN46" s="18"/>
      <c r="AJO46" s="18"/>
      <c r="AJP46" s="18"/>
      <c r="AJQ46" s="18"/>
      <c r="AJR46" s="18"/>
      <c r="AJS46" s="18"/>
      <c r="AJT46" s="18"/>
      <c r="AJU46" s="18"/>
      <c r="AJV46" s="18"/>
      <c r="AJW46" s="18"/>
      <c r="AJX46" s="18"/>
      <c r="AJY46" s="18"/>
      <c r="AJZ46" s="18"/>
      <c r="AKA46" s="18"/>
      <c r="AKB46" s="18"/>
      <c r="AKC46" s="18"/>
      <c r="AKD46" s="18"/>
      <c r="AKE46" s="18"/>
      <c r="AKF46" s="18"/>
      <c r="AKG46" s="18"/>
      <c r="AKH46" s="18"/>
      <c r="AKI46" s="18"/>
      <c r="AKJ46" s="18"/>
      <c r="AKK46" s="18"/>
      <c r="AKL46" s="18"/>
      <c r="AKM46" s="18"/>
      <c r="AKN46" s="18"/>
      <c r="AKO46" s="18"/>
      <c r="AKP46" s="18"/>
      <c r="AKQ46" s="18"/>
      <c r="AKR46" s="18"/>
      <c r="AKS46" s="18"/>
      <c r="AKT46" s="18"/>
      <c r="AKU46" s="18"/>
      <c r="AKV46" s="18"/>
      <c r="AKW46" s="18"/>
      <c r="AKX46" s="18"/>
      <c r="AKY46" s="18"/>
      <c r="AKZ46" s="18"/>
      <c r="ALA46" s="18"/>
      <c r="ALB46" s="18"/>
      <c r="ALC46" s="18"/>
      <c r="ALD46" s="18"/>
      <c r="ALE46" s="18"/>
      <c r="ALF46" s="18"/>
      <c r="ALG46" s="18"/>
      <c r="ALH46" s="18"/>
      <c r="ALI46" s="18"/>
      <c r="ALJ46" s="18"/>
      <c r="ALK46" s="18"/>
      <c r="ALL46" s="18"/>
      <c r="ALM46" s="18"/>
      <c r="ALN46" s="18"/>
      <c r="ALO46" s="18"/>
      <c r="ALP46" s="18"/>
      <c r="ALQ46" s="18"/>
      <c r="ALR46" s="18"/>
      <c r="ALS46" s="18"/>
      <c r="ALT46" s="18"/>
      <c r="ALU46" s="18"/>
      <c r="ALV46" s="18"/>
      <c r="ALW46" s="18"/>
      <c r="ALX46" s="18"/>
      <c r="ALY46" s="18"/>
      <c r="ALZ46" s="18"/>
      <c r="AMA46" s="18"/>
      <c r="AMB46" s="18"/>
      <c r="AMC46" s="18"/>
      <c r="AMD46" s="18"/>
      <c r="AME46" s="18"/>
      <c r="AMF46" s="18"/>
      <c r="AMG46" s="18"/>
      <c r="AMH46" s="18"/>
    </row>
    <row r="47" spans="1:1022" s="23" customFormat="1" ht="14.1" customHeight="1" x14ac:dyDescent="0.3">
      <c r="A47" s="33">
        <v>143</v>
      </c>
      <c r="B47" s="19"/>
      <c r="C47" s="19"/>
      <c r="D47" s="57" t="s">
        <v>318</v>
      </c>
      <c r="E47" s="34" t="s">
        <v>469</v>
      </c>
      <c r="F47" s="39"/>
      <c r="G47" s="39"/>
      <c r="I47" s="40"/>
      <c r="J47" s="40"/>
      <c r="K47" s="31"/>
      <c r="L47" s="38" t="s">
        <v>281</v>
      </c>
      <c r="M47" s="41"/>
      <c r="N47" s="32"/>
      <c r="O47" s="18"/>
      <c r="P47" s="36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  <c r="CM47" s="18"/>
      <c r="CN47" s="18"/>
      <c r="CO47" s="18"/>
      <c r="CP47" s="18"/>
      <c r="CQ47" s="18"/>
      <c r="CR47" s="18"/>
      <c r="CS47" s="18"/>
      <c r="CT47" s="18"/>
      <c r="CU47" s="18"/>
      <c r="CV47" s="18"/>
      <c r="CW47" s="18"/>
      <c r="CX47" s="18"/>
      <c r="CY47" s="18"/>
      <c r="CZ47" s="18"/>
      <c r="DA47" s="18"/>
      <c r="DB47" s="18"/>
      <c r="DC47" s="18"/>
      <c r="DD47" s="18"/>
      <c r="DE47" s="18"/>
      <c r="DF47" s="18"/>
      <c r="DG47" s="18"/>
      <c r="DH47" s="18"/>
      <c r="DI47" s="18"/>
      <c r="DJ47" s="18"/>
      <c r="DK47" s="18"/>
      <c r="DL47" s="18"/>
      <c r="DM47" s="18"/>
      <c r="DN47" s="18"/>
      <c r="DO47" s="18"/>
      <c r="DP47" s="18"/>
      <c r="DQ47" s="18"/>
      <c r="DR47" s="18"/>
      <c r="DS47" s="18"/>
      <c r="DT47" s="18"/>
      <c r="DU47" s="18"/>
      <c r="DV47" s="18"/>
      <c r="DW47" s="18"/>
      <c r="DX47" s="18"/>
      <c r="DY47" s="18"/>
      <c r="DZ47" s="18"/>
      <c r="EA47" s="18"/>
      <c r="EB47" s="18"/>
      <c r="EC47" s="18"/>
      <c r="ED47" s="18"/>
      <c r="EE47" s="18"/>
      <c r="EF47" s="18"/>
      <c r="EG47" s="18"/>
      <c r="EH47" s="18"/>
      <c r="EI47" s="18"/>
      <c r="EJ47" s="18"/>
      <c r="EK47" s="18"/>
      <c r="EL47" s="18"/>
      <c r="EM47" s="18"/>
      <c r="EN47" s="18"/>
      <c r="EO47" s="18"/>
      <c r="EP47" s="18"/>
      <c r="EQ47" s="18"/>
      <c r="ER47" s="18"/>
      <c r="ES47" s="18"/>
      <c r="ET47" s="18"/>
      <c r="EU47" s="18"/>
      <c r="EV47" s="18"/>
      <c r="EW47" s="18"/>
      <c r="EX47" s="18"/>
      <c r="EY47" s="18"/>
      <c r="EZ47" s="18"/>
      <c r="FA47" s="18"/>
      <c r="FB47" s="18"/>
      <c r="FC47" s="18"/>
      <c r="FD47" s="18"/>
      <c r="FE47" s="18"/>
      <c r="FF47" s="18"/>
      <c r="FG47" s="18"/>
      <c r="FH47" s="18"/>
      <c r="FI47" s="18"/>
      <c r="FJ47" s="18"/>
      <c r="FK47" s="18"/>
      <c r="FL47" s="18"/>
      <c r="FM47" s="18"/>
      <c r="FN47" s="18"/>
      <c r="FO47" s="18"/>
      <c r="FP47" s="18"/>
      <c r="FQ47" s="18"/>
      <c r="FR47" s="18"/>
      <c r="FS47" s="18"/>
      <c r="FT47" s="18"/>
      <c r="FU47" s="18"/>
      <c r="FV47" s="18"/>
      <c r="FW47" s="18"/>
      <c r="FX47" s="18"/>
      <c r="FY47" s="18"/>
      <c r="FZ47" s="18"/>
      <c r="GA47" s="18"/>
      <c r="GB47" s="18"/>
      <c r="GC47" s="18"/>
      <c r="GD47" s="18"/>
      <c r="GE47" s="18"/>
      <c r="GF47" s="18"/>
      <c r="GG47" s="18"/>
      <c r="GH47" s="18"/>
      <c r="GI47" s="18"/>
      <c r="GJ47" s="18"/>
      <c r="GK47" s="18"/>
      <c r="GL47" s="18"/>
      <c r="GM47" s="18"/>
      <c r="GN47" s="18"/>
      <c r="GO47" s="18"/>
      <c r="GP47" s="18"/>
      <c r="GQ47" s="18"/>
      <c r="GR47" s="18"/>
      <c r="GS47" s="18"/>
      <c r="GT47" s="18"/>
      <c r="GU47" s="18"/>
      <c r="GV47" s="18"/>
      <c r="GW47" s="18"/>
      <c r="GX47" s="18"/>
      <c r="GY47" s="18"/>
      <c r="GZ47" s="18"/>
      <c r="HA47" s="18"/>
      <c r="HB47" s="18"/>
      <c r="HC47" s="18"/>
      <c r="HD47" s="18"/>
      <c r="HE47" s="18"/>
      <c r="HF47" s="18"/>
      <c r="HG47" s="18"/>
      <c r="HH47" s="18"/>
      <c r="HI47" s="18"/>
      <c r="HJ47" s="18"/>
      <c r="HK47" s="18"/>
      <c r="HL47" s="18"/>
      <c r="HM47" s="18"/>
      <c r="HN47" s="18"/>
      <c r="HO47" s="18"/>
      <c r="HP47" s="18"/>
      <c r="HQ47" s="18"/>
      <c r="HR47" s="18"/>
      <c r="HS47" s="18"/>
      <c r="HT47" s="18"/>
      <c r="HU47" s="18"/>
      <c r="HV47" s="18"/>
      <c r="HW47" s="18"/>
      <c r="HX47" s="18"/>
      <c r="HY47" s="18"/>
      <c r="HZ47" s="18"/>
      <c r="IA47" s="18"/>
      <c r="IB47" s="18"/>
      <c r="IC47" s="18"/>
      <c r="ID47" s="18"/>
      <c r="IE47" s="18"/>
      <c r="IF47" s="18"/>
      <c r="IG47" s="18"/>
      <c r="IH47" s="18"/>
      <c r="II47" s="18"/>
      <c r="IJ47" s="18"/>
      <c r="IK47" s="18"/>
      <c r="IL47" s="18"/>
      <c r="IM47" s="18"/>
      <c r="IN47" s="18"/>
      <c r="IO47" s="18"/>
      <c r="IP47" s="18"/>
      <c r="IQ47" s="18"/>
      <c r="IR47" s="18"/>
      <c r="IS47" s="18"/>
      <c r="IT47" s="18"/>
      <c r="IU47" s="18"/>
      <c r="IV47" s="18"/>
      <c r="IW47" s="18"/>
      <c r="IX47" s="18"/>
      <c r="IY47" s="18"/>
      <c r="IZ47" s="18"/>
      <c r="JA47" s="18"/>
      <c r="JB47" s="18"/>
      <c r="JC47" s="18"/>
      <c r="JD47" s="18"/>
      <c r="JE47" s="18"/>
      <c r="JF47" s="18"/>
      <c r="JG47" s="18"/>
      <c r="JH47" s="18"/>
      <c r="JI47" s="18"/>
      <c r="JJ47" s="18"/>
      <c r="JK47" s="18"/>
      <c r="JL47" s="18"/>
      <c r="JM47" s="18"/>
      <c r="JN47" s="18"/>
      <c r="JO47" s="18"/>
      <c r="JP47" s="18"/>
      <c r="JQ47" s="18"/>
      <c r="JR47" s="18"/>
      <c r="JS47" s="18"/>
      <c r="JT47" s="18"/>
      <c r="JU47" s="18"/>
      <c r="JV47" s="18"/>
      <c r="JW47" s="18"/>
      <c r="JX47" s="18"/>
      <c r="JY47" s="18"/>
      <c r="JZ47" s="18"/>
      <c r="KA47" s="18"/>
      <c r="KB47" s="18"/>
      <c r="KC47" s="18"/>
      <c r="KD47" s="18"/>
      <c r="KE47" s="18"/>
      <c r="KF47" s="18"/>
      <c r="KG47" s="18"/>
      <c r="KH47" s="18"/>
      <c r="KI47" s="18"/>
      <c r="KJ47" s="18"/>
      <c r="KK47" s="18"/>
      <c r="KL47" s="18"/>
      <c r="KM47" s="18"/>
      <c r="KN47" s="18"/>
      <c r="KO47" s="18"/>
      <c r="KP47" s="18"/>
      <c r="KQ47" s="18"/>
      <c r="KR47" s="18"/>
      <c r="KS47" s="18"/>
      <c r="KT47" s="18"/>
      <c r="KU47" s="18"/>
      <c r="KV47" s="18"/>
      <c r="KW47" s="18"/>
      <c r="KX47" s="18"/>
      <c r="KY47" s="18"/>
      <c r="KZ47" s="18"/>
      <c r="LA47" s="18"/>
      <c r="LB47" s="18"/>
      <c r="LC47" s="18"/>
      <c r="LD47" s="18"/>
      <c r="LE47" s="18"/>
      <c r="LF47" s="18"/>
      <c r="LG47" s="18"/>
      <c r="LH47" s="18"/>
      <c r="LI47" s="18"/>
      <c r="LJ47" s="18"/>
      <c r="LK47" s="18"/>
      <c r="LL47" s="18"/>
      <c r="LM47" s="18"/>
      <c r="LN47" s="18"/>
      <c r="LO47" s="18"/>
      <c r="LP47" s="18"/>
      <c r="LQ47" s="18"/>
      <c r="LR47" s="18"/>
      <c r="LS47" s="18"/>
      <c r="LT47" s="18"/>
      <c r="LU47" s="18"/>
      <c r="LV47" s="18"/>
      <c r="LW47" s="18"/>
      <c r="LX47" s="18"/>
      <c r="LY47" s="18"/>
      <c r="LZ47" s="18"/>
      <c r="MA47" s="18"/>
      <c r="MB47" s="18"/>
      <c r="MC47" s="18"/>
      <c r="MD47" s="18"/>
      <c r="ME47" s="18"/>
      <c r="MF47" s="18"/>
      <c r="MG47" s="18"/>
      <c r="MH47" s="18"/>
      <c r="MI47" s="18"/>
      <c r="MJ47" s="18"/>
      <c r="MK47" s="18"/>
      <c r="ML47" s="18"/>
      <c r="MM47" s="18"/>
      <c r="MN47" s="18"/>
      <c r="MO47" s="18"/>
      <c r="MP47" s="18"/>
      <c r="MQ47" s="18"/>
      <c r="MR47" s="18"/>
      <c r="MS47" s="18"/>
      <c r="MT47" s="18"/>
      <c r="MU47" s="18"/>
      <c r="MV47" s="18"/>
      <c r="MW47" s="18"/>
      <c r="MX47" s="18"/>
      <c r="MY47" s="18"/>
      <c r="MZ47" s="18"/>
      <c r="NA47" s="18"/>
      <c r="NB47" s="18"/>
      <c r="NC47" s="18"/>
      <c r="ND47" s="18"/>
      <c r="NE47" s="18"/>
      <c r="NF47" s="18"/>
      <c r="NG47" s="18"/>
      <c r="NH47" s="18"/>
      <c r="NI47" s="18"/>
      <c r="NJ47" s="18"/>
      <c r="NK47" s="18"/>
      <c r="NL47" s="18"/>
      <c r="NM47" s="18"/>
      <c r="NN47" s="18"/>
      <c r="NO47" s="18"/>
      <c r="NP47" s="18"/>
      <c r="NQ47" s="18"/>
      <c r="NR47" s="18"/>
      <c r="NS47" s="18"/>
      <c r="NT47" s="18"/>
      <c r="NU47" s="18"/>
      <c r="NV47" s="18"/>
      <c r="NW47" s="18"/>
      <c r="NX47" s="18"/>
      <c r="NY47" s="18"/>
      <c r="NZ47" s="18"/>
      <c r="OA47" s="18"/>
      <c r="OB47" s="18"/>
      <c r="OC47" s="18"/>
      <c r="OD47" s="18"/>
      <c r="OE47" s="18"/>
      <c r="OF47" s="18"/>
      <c r="OG47" s="18"/>
      <c r="OH47" s="18"/>
      <c r="OI47" s="18"/>
      <c r="OJ47" s="18"/>
      <c r="OK47" s="18"/>
      <c r="OL47" s="18"/>
      <c r="OM47" s="18"/>
      <c r="ON47" s="18"/>
      <c r="OO47" s="18"/>
      <c r="OP47" s="18"/>
      <c r="OQ47" s="18"/>
      <c r="OR47" s="18"/>
      <c r="OS47" s="18"/>
      <c r="OT47" s="18"/>
      <c r="OU47" s="18"/>
      <c r="OV47" s="18"/>
      <c r="OW47" s="18"/>
      <c r="OX47" s="18"/>
      <c r="OY47" s="18"/>
      <c r="OZ47" s="18"/>
      <c r="PA47" s="18"/>
      <c r="PB47" s="18"/>
      <c r="PC47" s="18"/>
      <c r="PD47" s="18"/>
      <c r="PE47" s="18"/>
      <c r="PF47" s="18"/>
      <c r="PG47" s="18"/>
      <c r="PH47" s="18"/>
      <c r="PI47" s="18"/>
      <c r="PJ47" s="18"/>
      <c r="PK47" s="18"/>
      <c r="PL47" s="18"/>
      <c r="PM47" s="18"/>
      <c r="PN47" s="18"/>
      <c r="PO47" s="18"/>
      <c r="PP47" s="18"/>
      <c r="PQ47" s="18"/>
      <c r="PR47" s="18"/>
      <c r="PS47" s="18"/>
      <c r="PT47" s="18"/>
      <c r="PU47" s="18"/>
      <c r="PV47" s="18"/>
      <c r="PW47" s="18"/>
      <c r="PX47" s="18"/>
      <c r="PY47" s="18"/>
      <c r="PZ47" s="18"/>
      <c r="QA47" s="18"/>
      <c r="QB47" s="18"/>
      <c r="QC47" s="18"/>
      <c r="QD47" s="18"/>
      <c r="QE47" s="18"/>
      <c r="QF47" s="18"/>
      <c r="QG47" s="18"/>
      <c r="QH47" s="18"/>
      <c r="QI47" s="18"/>
      <c r="QJ47" s="18"/>
      <c r="QK47" s="18"/>
      <c r="QL47" s="18"/>
      <c r="QM47" s="18"/>
      <c r="QN47" s="18"/>
      <c r="QO47" s="18"/>
      <c r="QP47" s="18"/>
      <c r="QQ47" s="18"/>
      <c r="QR47" s="18"/>
      <c r="QS47" s="18"/>
      <c r="QT47" s="18"/>
      <c r="QU47" s="18"/>
      <c r="QV47" s="18"/>
      <c r="QW47" s="18"/>
      <c r="QX47" s="18"/>
      <c r="QY47" s="18"/>
      <c r="QZ47" s="18"/>
      <c r="RA47" s="18"/>
      <c r="RB47" s="18"/>
      <c r="RC47" s="18"/>
      <c r="RD47" s="18"/>
      <c r="RE47" s="18"/>
      <c r="RF47" s="18"/>
      <c r="RG47" s="18"/>
      <c r="RH47" s="18"/>
      <c r="RI47" s="18"/>
      <c r="RJ47" s="18"/>
      <c r="RK47" s="18"/>
      <c r="RL47" s="18"/>
      <c r="RM47" s="18"/>
      <c r="RN47" s="18"/>
      <c r="RO47" s="18"/>
      <c r="RP47" s="18"/>
      <c r="RQ47" s="18"/>
      <c r="RR47" s="18"/>
      <c r="RS47" s="18"/>
      <c r="RT47" s="18"/>
      <c r="RU47" s="18"/>
      <c r="RV47" s="18"/>
      <c r="RW47" s="18"/>
      <c r="RX47" s="18"/>
      <c r="RY47" s="18"/>
      <c r="RZ47" s="18"/>
      <c r="SA47" s="18"/>
      <c r="SB47" s="18"/>
      <c r="SC47" s="18"/>
      <c r="SD47" s="18"/>
      <c r="SE47" s="18"/>
      <c r="SF47" s="18"/>
      <c r="SG47" s="18"/>
      <c r="SH47" s="18"/>
      <c r="SI47" s="18"/>
      <c r="SJ47" s="18"/>
      <c r="SK47" s="18"/>
      <c r="SL47" s="18"/>
      <c r="SM47" s="18"/>
      <c r="SN47" s="18"/>
      <c r="SO47" s="18"/>
      <c r="SP47" s="18"/>
      <c r="SQ47" s="18"/>
      <c r="SR47" s="18"/>
      <c r="SS47" s="18"/>
      <c r="ST47" s="18"/>
      <c r="SU47" s="18"/>
      <c r="SV47" s="18"/>
      <c r="SW47" s="18"/>
      <c r="SX47" s="18"/>
      <c r="SY47" s="18"/>
      <c r="SZ47" s="18"/>
      <c r="TA47" s="18"/>
      <c r="TB47" s="18"/>
      <c r="TC47" s="18"/>
      <c r="TD47" s="18"/>
      <c r="TE47" s="18"/>
      <c r="TF47" s="18"/>
      <c r="TG47" s="18"/>
      <c r="TH47" s="18"/>
      <c r="TI47" s="18"/>
      <c r="TJ47" s="18"/>
      <c r="TK47" s="18"/>
      <c r="TL47" s="18"/>
      <c r="TM47" s="18"/>
      <c r="TN47" s="18"/>
      <c r="TO47" s="18"/>
      <c r="TP47" s="18"/>
      <c r="TQ47" s="18"/>
      <c r="TR47" s="18"/>
      <c r="TS47" s="18"/>
      <c r="TT47" s="18"/>
      <c r="TU47" s="18"/>
      <c r="TV47" s="18"/>
      <c r="TW47" s="18"/>
      <c r="TX47" s="18"/>
      <c r="TY47" s="18"/>
      <c r="TZ47" s="18"/>
      <c r="UA47" s="18"/>
      <c r="UB47" s="18"/>
      <c r="UC47" s="18"/>
      <c r="UD47" s="18"/>
      <c r="UE47" s="18"/>
      <c r="UF47" s="18"/>
      <c r="UG47" s="18"/>
      <c r="UH47" s="18"/>
      <c r="UI47" s="18"/>
      <c r="UJ47" s="18"/>
      <c r="UK47" s="18"/>
      <c r="UL47" s="18"/>
      <c r="UM47" s="18"/>
      <c r="UN47" s="18"/>
      <c r="UO47" s="18"/>
      <c r="UP47" s="18"/>
      <c r="UQ47" s="18"/>
      <c r="UR47" s="18"/>
      <c r="US47" s="18"/>
      <c r="UT47" s="18"/>
      <c r="UU47" s="18"/>
      <c r="UV47" s="18"/>
      <c r="UW47" s="18"/>
      <c r="UX47" s="18"/>
      <c r="UY47" s="18"/>
      <c r="UZ47" s="18"/>
      <c r="VA47" s="18"/>
      <c r="VB47" s="18"/>
      <c r="VC47" s="18"/>
      <c r="VD47" s="18"/>
      <c r="VE47" s="18"/>
      <c r="VF47" s="18"/>
      <c r="VG47" s="18"/>
      <c r="VH47" s="18"/>
      <c r="VI47" s="18"/>
      <c r="VJ47" s="18"/>
      <c r="VK47" s="18"/>
      <c r="VL47" s="18"/>
      <c r="VM47" s="18"/>
      <c r="VN47" s="18"/>
      <c r="VO47" s="18"/>
      <c r="VP47" s="18"/>
      <c r="VQ47" s="18"/>
      <c r="VR47" s="18"/>
      <c r="VS47" s="18"/>
      <c r="VT47" s="18"/>
      <c r="VU47" s="18"/>
      <c r="VV47" s="18"/>
      <c r="VW47" s="18"/>
      <c r="VX47" s="18"/>
      <c r="VY47" s="18"/>
      <c r="VZ47" s="18"/>
      <c r="WA47" s="18"/>
      <c r="WB47" s="18"/>
      <c r="WC47" s="18"/>
      <c r="WD47" s="18"/>
      <c r="WE47" s="18"/>
      <c r="WF47" s="18"/>
      <c r="WG47" s="18"/>
      <c r="WH47" s="18"/>
      <c r="WI47" s="18"/>
      <c r="WJ47" s="18"/>
      <c r="WK47" s="18"/>
      <c r="WL47" s="18"/>
      <c r="WM47" s="18"/>
      <c r="WN47" s="18"/>
      <c r="WO47" s="18"/>
      <c r="WP47" s="18"/>
      <c r="WQ47" s="18"/>
      <c r="WR47" s="18"/>
      <c r="WS47" s="18"/>
      <c r="WT47" s="18"/>
      <c r="WU47" s="18"/>
      <c r="WV47" s="18"/>
      <c r="WW47" s="18"/>
      <c r="WX47" s="18"/>
      <c r="WY47" s="18"/>
      <c r="WZ47" s="18"/>
      <c r="XA47" s="18"/>
      <c r="XB47" s="18"/>
      <c r="XC47" s="18"/>
      <c r="XD47" s="18"/>
      <c r="XE47" s="18"/>
      <c r="XF47" s="18"/>
      <c r="XG47" s="18"/>
      <c r="XH47" s="18"/>
      <c r="XI47" s="18"/>
      <c r="XJ47" s="18"/>
      <c r="XK47" s="18"/>
      <c r="XL47" s="18"/>
      <c r="XM47" s="18"/>
      <c r="XN47" s="18"/>
      <c r="XO47" s="18"/>
      <c r="XP47" s="18"/>
      <c r="XQ47" s="18"/>
      <c r="XR47" s="18"/>
      <c r="XS47" s="18"/>
      <c r="XT47" s="18"/>
      <c r="XU47" s="18"/>
      <c r="XV47" s="18"/>
      <c r="XW47" s="18"/>
      <c r="XX47" s="18"/>
      <c r="XY47" s="18"/>
      <c r="XZ47" s="18"/>
      <c r="YA47" s="18"/>
      <c r="YB47" s="18"/>
      <c r="YC47" s="18"/>
      <c r="YD47" s="18"/>
      <c r="YE47" s="18"/>
      <c r="YF47" s="18"/>
      <c r="YG47" s="18"/>
      <c r="YH47" s="18"/>
      <c r="YI47" s="18"/>
      <c r="YJ47" s="18"/>
      <c r="YK47" s="18"/>
      <c r="YL47" s="18"/>
      <c r="YM47" s="18"/>
      <c r="YN47" s="18"/>
      <c r="YO47" s="18"/>
      <c r="YP47" s="18"/>
      <c r="YQ47" s="18"/>
      <c r="YR47" s="18"/>
      <c r="YS47" s="18"/>
      <c r="YT47" s="18"/>
      <c r="YU47" s="18"/>
      <c r="YV47" s="18"/>
      <c r="YW47" s="18"/>
      <c r="YX47" s="18"/>
      <c r="YY47" s="18"/>
      <c r="YZ47" s="18"/>
      <c r="ZA47" s="18"/>
      <c r="ZB47" s="18"/>
      <c r="ZC47" s="18"/>
      <c r="ZD47" s="18"/>
      <c r="ZE47" s="18"/>
      <c r="ZF47" s="18"/>
      <c r="ZG47" s="18"/>
      <c r="ZH47" s="18"/>
      <c r="ZI47" s="18"/>
      <c r="ZJ47" s="18"/>
      <c r="ZK47" s="18"/>
      <c r="ZL47" s="18"/>
      <c r="ZM47" s="18"/>
      <c r="ZN47" s="18"/>
      <c r="ZO47" s="18"/>
      <c r="ZP47" s="18"/>
      <c r="ZQ47" s="18"/>
      <c r="ZR47" s="18"/>
      <c r="ZS47" s="18"/>
      <c r="ZT47" s="18"/>
      <c r="ZU47" s="18"/>
      <c r="ZV47" s="18"/>
      <c r="ZW47" s="18"/>
      <c r="ZX47" s="18"/>
      <c r="ZY47" s="18"/>
      <c r="ZZ47" s="18"/>
      <c r="AAA47" s="18"/>
      <c r="AAB47" s="18"/>
      <c r="AAC47" s="18"/>
      <c r="AAD47" s="18"/>
      <c r="AAE47" s="18"/>
      <c r="AAF47" s="18"/>
      <c r="AAG47" s="18"/>
      <c r="AAH47" s="18"/>
      <c r="AAI47" s="18"/>
      <c r="AAJ47" s="18"/>
      <c r="AAK47" s="18"/>
      <c r="AAL47" s="18"/>
      <c r="AAM47" s="18"/>
      <c r="AAN47" s="18"/>
      <c r="AAO47" s="18"/>
      <c r="AAP47" s="18"/>
      <c r="AAQ47" s="18"/>
      <c r="AAR47" s="18"/>
      <c r="AAS47" s="18"/>
      <c r="AAT47" s="18"/>
      <c r="AAU47" s="18"/>
      <c r="AAV47" s="18"/>
      <c r="AAW47" s="18"/>
      <c r="AAX47" s="18"/>
      <c r="AAY47" s="18"/>
      <c r="AAZ47" s="18"/>
      <c r="ABA47" s="18"/>
      <c r="ABB47" s="18"/>
      <c r="ABC47" s="18"/>
      <c r="ABD47" s="18"/>
      <c r="ABE47" s="18"/>
      <c r="ABF47" s="18"/>
      <c r="ABG47" s="18"/>
      <c r="ABH47" s="18"/>
      <c r="ABI47" s="18"/>
      <c r="ABJ47" s="18"/>
      <c r="ABK47" s="18"/>
      <c r="ABL47" s="18"/>
      <c r="ABM47" s="18"/>
      <c r="ABN47" s="18"/>
      <c r="ABO47" s="18"/>
      <c r="ABP47" s="18"/>
      <c r="ABQ47" s="18"/>
      <c r="ABR47" s="18"/>
      <c r="ABS47" s="18"/>
      <c r="ABT47" s="18"/>
      <c r="ABU47" s="18"/>
      <c r="ABV47" s="18"/>
      <c r="ABW47" s="18"/>
      <c r="ABX47" s="18"/>
      <c r="ABY47" s="18"/>
      <c r="ABZ47" s="18"/>
      <c r="ACA47" s="18"/>
      <c r="ACB47" s="18"/>
      <c r="ACC47" s="18"/>
      <c r="ACD47" s="18"/>
      <c r="ACE47" s="18"/>
      <c r="ACF47" s="18"/>
      <c r="ACG47" s="18"/>
      <c r="ACH47" s="18"/>
      <c r="ACI47" s="18"/>
      <c r="ACJ47" s="18"/>
      <c r="ACK47" s="18"/>
      <c r="ACL47" s="18"/>
      <c r="ACM47" s="18"/>
      <c r="ACN47" s="18"/>
      <c r="ACO47" s="18"/>
      <c r="ACP47" s="18"/>
      <c r="ACQ47" s="18"/>
      <c r="ACR47" s="18"/>
      <c r="ACS47" s="18"/>
      <c r="ACT47" s="18"/>
      <c r="ACU47" s="18"/>
      <c r="ACV47" s="18"/>
      <c r="ACW47" s="18"/>
      <c r="ACX47" s="18"/>
      <c r="ACY47" s="18"/>
      <c r="ACZ47" s="18"/>
      <c r="ADA47" s="18"/>
      <c r="ADB47" s="18"/>
      <c r="ADC47" s="18"/>
      <c r="ADD47" s="18"/>
      <c r="ADE47" s="18"/>
      <c r="ADF47" s="18"/>
      <c r="ADG47" s="18"/>
      <c r="ADH47" s="18"/>
      <c r="ADI47" s="18"/>
      <c r="ADJ47" s="18"/>
      <c r="ADK47" s="18"/>
      <c r="ADL47" s="18"/>
      <c r="ADM47" s="18"/>
      <c r="ADN47" s="18"/>
      <c r="ADO47" s="18"/>
      <c r="ADP47" s="18"/>
      <c r="ADQ47" s="18"/>
      <c r="ADR47" s="18"/>
      <c r="ADS47" s="18"/>
      <c r="ADT47" s="18"/>
      <c r="ADU47" s="18"/>
      <c r="ADV47" s="18"/>
      <c r="ADW47" s="18"/>
      <c r="ADX47" s="18"/>
      <c r="ADY47" s="18"/>
      <c r="ADZ47" s="18"/>
      <c r="AEA47" s="18"/>
      <c r="AEB47" s="18"/>
      <c r="AEC47" s="18"/>
      <c r="AED47" s="18"/>
      <c r="AEE47" s="18"/>
      <c r="AEF47" s="18"/>
      <c r="AEG47" s="18"/>
      <c r="AEH47" s="18"/>
      <c r="AEI47" s="18"/>
      <c r="AEJ47" s="18"/>
      <c r="AEK47" s="18"/>
      <c r="AEL47" s="18"/>
      <c r="AEM47" s="18"/>
      <c r="AEN47" s="18"/>
      <c r="AEO47" s="18"/>
      <c r="AEP47" s="18"/>
      <c r="AEQ47" s="18"/>
      <c r="AER47" s="18"/>
      <c r="AES47" s="18"/>
      <c r="AET47" s="18"/>
      <c r="AEU47" s="18"/>
      <c r="AEV47" s="18"/>
      <c r="AEW47" s="18"/>
      <c r="AEX47" s="18"/>
      <c r="AEY47" s="18"/>
      <c r="AEZ47" s="18"/>
      <c r="AFA47" s="18"/>
      <c r="AFB47" s="18"/>
      <c r="AFC47" s="18"/>
      <c r="AFD47" s="18"/>
      <c r="AFE47" s="18"/>
      <c r="AFF47" s="18"/>
      <c r="AFG47" s="18"/>
      <c r="AFH47" s="18"/>
      <c r="AFI47" s="18"/>
      <c r="AFJ47" s="18"/>
      <c r="AFK47" s="18"/>
      <c r="AFL47" s="18"/>
      <c r="AFM47" s="18"/>
      <c r="AFN47" s="18"/>
      <c r="AFO47" s="18"/>
      <c r="AFP47" s="18"/>
      <c r="AFQ47" s="18"/>
      <c r="AFR47" s="18"/>
      <c r="AFS47" s="18"/>
      <c r="AFT47" s="18"/>
      <c r="AFU47" s="18"/>
      <c r="AFV47" s="18"/>
      <c r="AFW47" s="18"/>
      <c r="AFX47" s="18"/>
      <c r="AFY47" s="18"/>
      <c r="AFZ47" s="18"/>
      <c r="AGA47" s="18"/>
      <c r="AGB47" s="18"/>
      <c r="AGC47" s="18"/>
      <c r="AGD47" s="18"/>
      <c r="AGE47" s="18"/>
      <c r="AGF47" s="18"/>
      <c r="AGG47" s="18"/>
      <c r="AGH47" s="18"/>
      <c r="AGI47" s="18"/>
      <c r="AGJ47" s="18"/>
      <c r="AGK47" s="18"/>
      <c r="AGL47" s="18"/>
      <c r="AGM47" s="18"/>
      <c r="AGN47" s="18"/>
      <c r="AGO47" s="18"/>
      <c r="AGP47" s="18"/>
      <c r="AGQ47" s="18"/>
      <c r="AGR47" s="18"/>
      <c r="AGS47" s="18"/>
      <c r="AGT47" s="18"/>
      <c r="AGU47" s="18"/>
      <c r="AGV47" s="18"/>
      <c r="AGW47" s="18"/>
      <c r="AGX47" s="18"/>
      <c r="AGY47" s="18"/>
      <c r="AGZ47" s="18"/>
      <c r="AHA47" s="18"/>
      <c r="AHB47" s="18"/>
      <c r="AHC47" s="18"/>
      <c r="AHD47" s="18"/>
      <c r="AHE47" s="18"/>
      <c r="AHF47" s="18"/>
      <c r="AHG47" s="18"/>
      <c r="AHH47" s="18"/>
      <c r="AHI47" s="18"/>
      <c r="AHJ47" s="18"/>
      <c r="AHK47" s="18"/>
      <c r="AHL47" s="18"/>
      <c r="AHM47" s="18"/>
      <c r="AHN47" s="18"/>
      <c r="AHO47" s="18"/>
      <c r="AHP47" s="18"/>
      <c r="AHQ47" s="18"/>
      <c r="AHR47" s="18"/>
      <c r="AHS47" s="18"/>
      <c r="AHT47" s="18"/>
      <c r="AHU47" s="18"/>
      <c r="AHV47" s="18"/>
      <c r="AHW47" s="18"/>
      <c r="AHX47" s="18"/>
      <c r="AHY47" s="18"/>
      <c r="AHZ47" s="18"/>
      <c r="AIA47" s="18"/>
      <c r="AIB47" s="18"/>
      <c r="AIC47" s="18"/>
      <c r="AID47" s="18"/>
      <c r="AIE47" s="18"/>
      <c r="AIF47" s="18"/>
      <c r="AIG47" s="18"/>
      <c r="AIH47" s="18"/>
      <c r="AII47" s="18"/>
      <c r="AIJ47" s="18"/>
      <c r="AIK47" s="18"/>
      <c r="AIL47" s="18"/>
      <c r="AIM47" s="18"/>
      <c r="AIN47" s="18"/>
      <c r="AIO47" s="18"/>
      <c r="AIP47" s="18"/>
      <c r="AIQ47" s="18"/>
      <c r="AIR47" s="18"/>
      <c r="AIS47" s="18"/>
      <c r="AIT47" s="18"/>
      <c r="AIU47" s="18"/>
      <c r="AIV47" s="18"/>
      <c r="AIW47" s="18"/>
      <c r="AIX47" s="18"/>
      <c r="AIY47" s="18"/>
      <c r="AIZ47" s="18"/>
      <c r="AJA47" s="18"/>
      <c r="AJB47" s="18"/>
      <c r="AJC47" s="18"/>
      <c r="AJD47" s="18"/>
      <c r="AJE47" s="18"/>
      <c r="AJF47" s="18"/>
      <c r="AJG47" s="18"/>
      <c r="AJH47" s="18"/>
      <c r="AJI47" s="18"/>
      <c r="AJJ47" s="18"/>
      <c r="AJK47" s="18"/>
      <c r="AJL47" s="18"/>
      <c r="AJM47" s="18"/>
      <c r="AJN47" s="18"/>
      <c r="AJO47" s="18"/>
      <c r="AJP47" s="18"/>
      <c r="AJQ47" s="18"/>
      <c r="AJR47" s="18"/>
      <c r="AJS47" s="18"/>
      <c r="AJT47" s="18"/>
      <c r="AJU47" s="18"/>
      <c r="AJV47" s="18"/>
      <c r="AJW47" s="18"/>
      <c r="AJX47" s="18"/>
      <c r="AJY47" s="18"/>
      <c r="AJZ47" s="18"/>
      <c r="AKA47" s="18"/>
      <c r="AKB47" s="18"/>
      <c r="AKC47" s="18"/>
      <c r="AKD47" s="18"/>
      <c r="AKE47" s="18"/>
      <c r="AKF47" s="18"/>
      <c r="AKG47" s="18"/>
      <c r="AKH47" s="18"/>
      <c r="AKI47" s="18"/>
      <c r="AKJ47" s="18"/>
      <c r="AKK47" s="18"/>
      <c r="AKL47" s="18"/>
      <c r="AKM47" s="18"/>
      <c r="AKN47" s="18"/>
      <c r="AKO47" s="18"/>
      <c r="AKP47" s="18"/>
      <c r="AKQ47" s="18"/>
      <c r="AKR47" s="18"/>
      <c r="AKS47" s="18"/>
      <c r="AKT47" s="18"/>
      <c r="AKU47" s="18"/>
      <c r="AKV47" s="18"/>
      <c r="AKW47" s="18"/>
      <c r="AKX47" s="18"/>
      <c r="AKY47" s="18"/>
      <c r="AKZ47" s="18"/>
      <c r="ALA47" s="18"/>
      <c r="ALB47" s="18"/>
      <c r="ALC47" s="18"/>
      <c r="ALD47" s="18"/>
      <c r="ALE47" s="18"/>
      <c r="ALF47" s="18"/>
      <c r="ALG47" s="18"/>
      <c r="ALH47" s="18"/>
      <c r="ALI47" s="18"/>
      <c r="ALJ47" s="18"/>
      <c r="ALK47" s="18"/>
      <c r="ALL47" s="18"/>
      <c r="ALM47" s="18"/>
      <c r="ALN47" s="18"/>
      <c r="ALO47" s="18"/>
      <c r="ALP47" s="18"/>
      <c r="ALQ47" s="18"/>
      <c r="ALR47" s="18"/>
      <c r="ALS47" s="18"/>
      <c r="ALT47" s="18"/>
      <c r="ALU47" s="18"/>
      <c r="ALV47" s="18"/>
      <c r="ALW47" s="18"/>
      <c r="ALX47" s="18"/>
      <c r="ALY47" s="18"/>
      <c r="ALZ47" s="18"/>
      <c r="AMA47" s="18"/>
      <c r="AMB47" s="18"/>
      <c r="AMC47" s="18"/>
      <c r="AMD47" s="18"/>
      <c r="AME47" s="18"/>
      <c r="AMF47" s="18"/>
      <c r="AMG47" s="18"/>
      <c r="AMH47" s="18"/>
    </row>
    <row r="48" spans="1:1022" s="23" customFormat="1" x14ac:dyDescent="0.3">
      <c r="A48" s="33">
        <v>144</v>
      </c>
      <c r="B48" s="19"/>
      <c r="C48" s="19"/>
      <c r="D48" s="34" t="s">
        <v>319</v>
      </c>
      <c r="E48" s="34" t="s">
        <v>470</v>
      </c>
      <c r="F48" s="39"/>
      <c r="G48" s="39"/>
      <c r="H48" s="38" t="s">
        <v>281</v>
      </c>
      <c r="I48" s="40"/>
      <c r="J48" s="40"/>
      <c r="K48" s="31"/>
      <c r="L48" s="40"/>
      <c r="M48" s="41"/>
      <c r="N48" s="32"/>
      <c r="O48" s="18"/>
      <c r="P48" s="36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  <c r="CM48" s="18"/>
      <c r="CN48" s="18"/>
      <c r="CO48" s="18"/>
      <c r="CP48" s="18"/>
      <c r="CQ48" s="18"/>
      <c r="CR48" s="18"/>
      <c r="CS48" s="18"/>
      <c r="CT48" s="18"/>
      <c r="CU48" s="18"/>
      <c r="CV48" s="18"/>
      <c r="CW48" s="18"/>
      <c r="CX48" s="18"/>
      <c r="CY48" s="18"/>
      <c r="CZ48" s="18"/>
      <c r="DA48" s="18"/>
      <c r="DB48" s="18"/>
      <c r="DC48" s="18"/>
      <c r="DD48" s="18"/>
      <c r="DE48" s="18"/>
      <c r="DF48" s="18"/>
      <c r="DG48" s="18"/>
      <c r="DH48" s="18"/>
      <c r="DI48" s="18"/>
      <c r="DJ48" s="18"/>
      <c r="DK48" s="18"/>
      <c r="DL48" s="18"/>
      <c r="DM48" s="18"/>
      <c r="DN48" s="18"/>
      <c r="DO48" s="18"/>
      <c r="DP48" s="18"/>
      <c r="DQ48" s="18"/>
      <c r="DR48" s="18"/>
      <c r="DS48" s="18"/>
      <c r="DT48" s="18"/>
      <c r="DU48" s="18"/>
      <c r="DV48" s="18"/>
      <c r="DW48" s="18"/>
      <c r="DX48" s="18"/>
      <c r="DY48" s="18"/>
      <c r="DZ48" s="18"/>
      <c r="EA48" s="18"/>
      <c r="EB48" s="18"/>
      <c r="EC48" s="18"/>
      <c r="ED48" s="18"/>
      <c r="EE48" s="18"/>
      <c r="EF48" s="18"/>
      <c r="EG48" s="18"/>
      <c r="EH48" s="18"/>
      <c r="EI48" s="18"/>
      <c r="EJ48" s="18"/>
      <c r="EK48" s="18"/>
      <c r="EL48" s="18"/>
      <c r="EM48" s="18"/>
      <c r="EN48" s="18"/>
      <c r="EO48" s="18"/>
      <c r="EP48" s="18"/>
      <c r="EQ48" s="18"/>
      <c r="ER48" s="18"/>
      <c r="ES48" s="18"/>
      <c r="ET48" s="18"/>
      <c r="EU48" s="18"/>
      <c r="EV48" s="18"/>
      <c r="EW48" s="18"/>
      <c r="EX48" s="18"/>
      <c r="EY48" s="18"/>
      <c r="EZ48" s="18"/>
      <c r="FA48" s="18"/>
      <c r="FB48" s="18"/>
      <c r="FC48" s="18"/>
      <c r="FD48" s="18"/>
      <c r="FE48" s="18"/>
      <c r="FF48" s="18"/>
      <c r="FG48" s="18"/>
      <c r="FH48" s="18"/>
      <c r="FI48" s="18"/>
      <c r="FJ48" s="18"/>
      <c r="FK48" s="18"/>
      <c r="FL48" s="18"/>
      <c r="FM48" s="18"/>
      <c r="FN48" s="18"/>
      <c r="FO48" s="18"/>
      <c r="FP48" s="18"/>
      <c r="FQ48" s="18"/>
      <c r="FR48" s="18"/>
      <c r="FS48" s="18"/>
      <c r="FT48" s="18"/>
      <c r="FU48" s="18"/>
      <c r="FV48" s="18"/>
      <c r="FW48" s="18"/>
      <c r="FX48" s="18"/>
      <c r="FY48" s="18"/>
      <c r="FZ48" s="18"/>
      <c r="GA48" s="18"/>
      <c r="GB48" s="18"/>
      <c r="GC48" s="18"/>
      <c r="GD48" s="18"/>
      <c r="GE48" s="18"/>
      <c r="GF48" s="18"/>
      <c r="GG48" s="18"/>
      <c r="GH48" s="18"/>
      <c r="GI48" s="18"/>
      <c r="GJ48" s="18"/>
      <c r="GK48" s="18"/>
      <c r="GL48" s="18"/>
      <c r="GM48" s="18"/>
      <c r="GN48" s="18"/>
      <c r="GO48" s="18"/>
      <c r="GP48" s="18"/>
      <c r="GQ48" s="18"/>
      <c r="GR48" s="18"/>
      <c r="GS48" s="18"/>
      <c r="GT48" s="18"/>
      <c r="GU48" s="18"/>
      <c r="GV48" s="18"/>
      <c r="GW48" s="18"/>
      <c r="GX48" s="18"/>
      <c r="GY48" s="18"/>
      <c r="GZ48" s="18"/>
      <c r="HA48" s="18"/>
      <c r="HB48" s="18"/>
      <c r="HC48" s="18"/>
      <c r="HD48" s="18"/>
      <c r="HE48" s="18"/>
      <c r="HF48" s="18"/>
      <c r="HG48" s="18"/>
      <c r="HH48" s="18"/>
      <c r="HI48" s="18"/>
      <c r="HJ48" s="18"/>
      <c r="HK48" s="18"/>
      <c r="HL48" s="18"/>
      <c r="HM48" s="18"/>
      <c r="HN48" s="18"/>
      <c r="HO48" s="18"/>
      <c r="HP48" s="18"/>
      <c r="HQ48" s="18"/>
      <c r="HR48" s="18"/>
      <c r="HS48" s="18"/>
      <c r="HT48" s="18"/>
      <c r="HU48" s="18"/>
      <c r="HV48" s="18"/>
      <c r="HW48" s="18"/>
      <c r="HX48" s="18"/>
      <c r="HY48" s="18"/>
      <c r="HZ48" s="18"/>
      <c r="IA48" s="18"/>
      <c r="IB48" s="18"/>
      <c r="IC48" s="18"/>
      <c r="ID48" s="18"/>
      <c r="IE48" s="18"/>
      <c r="IF48" s="18"/>
      <c r="IG48" s="18"/>
      <c r="IH48" s="18"/>
      <c r="II48" s="18"/>
      <c r="IJ48" s="18"/>
      <c r="IK48" s="18"/>
      <c r="IL48" s="18"/>
      <c r="IM48" s="18"/>
      <c r="IN48" s="18"/>
      <c r="IO48" s="18"/>
      <c r="IP48" s="18"/>
      <c r="IQ48" s="18"/>
      <c r="IR48" s="18"/>
      <c r="IS48" s="18"/>
      <c r="IT48" s="18"/>
      <c r="IU48" s="18"/>
      <c r="IV48" s="18"/>
      <c r="IW48" s="18"/>
      <c r="IX48" s="18"/>
      <c r="IY48" s="18"/>
      <c r="IZ48" s="18"/>
      <c r="JA48" s="18"/>
      <c r="JB48" s="18"/>
      <c r="JC48" s="18"/>
      <c r="JD48" s="18"/>
      <c r="JE48" s="18"/>
      <c r="JF48" s="18"/>
      <c r="JG48" s="18"/>
      <c r="JH48" s="18"/>
      <c r="JI48" s="18"/>
      <c r="JJ48" s="18"/>
      <c r="JK48" s="18"/>
      <c r="JL48" s="18"/>
      <c r="JM48" s="18"/>
      <c r="JN48" s="18"/>
      <c r="JO48" s="18"/>
      <c r="JP48" s="18"/>
      <c r="JQ48" s="18"/>
      <c r="JR48" s="18"/>
      <c r="JS48" s="18"/>
      <c r="JT48" s="18"/>
      <c r="JU48" s="18"/>
      <c r="JV48" s="18"/>
      <c r="JW48" s="18"/>
      <c r="JX48" s="18"/>
      <c r="JY48" s="18"/>
      <c r="JZ48" s="18"/>
      <c r="KA48" s="18"/>
      <c r="KB48" s="18"/>
      <c r="KC48" s="18"/>
      <c r="KD48" s="18"/>
      <c r="KE48" s="18"/>
      <c r="KF48" s="18"/>
      <c r="KG48" s="18"/>
      <c r="KH48" s="18"/>
      <c r="KI48" s="18"/>
      <c r="KJ48" s="18"/>
      <c r="KK48" s="18"/>
      <c r="KL48" s="18"/>
      <c r="KM48" s="18"/>
      <c r="KN48" s="18"/>
      <c r="KO48" s="18"/>
      <c r="KP48" s="18"/>
      <c r="KQ48" s="18"/>
      <c r="KR48" s="18"/>
      <c r="KS48" s="18"/>
      <c r="KT48" s="18"/>
      <c r="KU48" s="18"/>
      <c r="KV48" s="18"/>
      <c r="KW48" s="18"/>
      <c r="KX48" s="18"/>
      <c r="KY48" s="18"/>
      <c r="KZ48" s="18"/>
      <c r="LA48" s="18"/>
      <c r="LB48" s="18"/>
      <c r="LC48" s="18"/>
      <c r="LD48" s="18"/>
      <c r="LE48" s="18"/>
      <c r="LF48" s="18"/>
      <c r="LG48" s="18"/>
      <c r="LH48" s="18"/>
      <c r="LI48" s="18"/>
      <c r="LJ48" s="18"/>
      <c r="LK48" s="18"/>
      <c r="LL48" s="18"/>
      <c r="LM48" s="18"/>
      <c r="LN48" s="18"/>
      <c r="LO48" s="18"/>
      <c r="LP48" s="18"/>
      <c r="LQ48" s="18"/>
      <c r="LR48" s="18"/>
      <c r="LS48" s="18"/>
      <c r="LT48" s="18"/>
      <c r="LU48" s="18"/>
      <c r="LV48" s="18"/>
      <c r="LW48" s="18"/>
      <c r="LX48" s="18"/>
      <c r="LY48" s="18"/>
      <c r="LZ48" s="18"/>
      <c r="MA48" s="18"/>
      <c r="MB48" s="18"/>
      <c r="MC48" s="18"/>
      <c r="MD48" s="18"/>
      <c r="ME48" s="18"/>
      <c r="MF48" s="18"/>
      <c r="MG48" s="18"/>
      <c r="MH48" s="18"/>
      <c r="MI48" s="18"/>
      <c r="MJ48" s="18"/>
      <c r="MK48" s="18"/>
      <c r="ML48" s="18"/>
      <c r="MM48" s="18"/>
      <c r="MN48" s="18"/>
      <c r="MO48" s="18"/>
      <c r="MP48" s="18"/>
      <c r="MQ48" s="18"/>
      <c r="MR48" s="18"/>
      <c r="MS48" s="18"/>
      <c r="MT48" s="18"/>
      <c r="MU48" s="18"/>
      <c r="MV48" s="18"/>
      <c r="MW48" s="18"/>
      <c r="MX48" s="18"/>
      <c r="MY48" s="18"/>
      <c r="MZ48" s="18"/>
      <c r="NA48" s="18"/>
      <c r="NB48" s="18"/>
      <c r="NC48" s="18"/>
      <c r="ND48" s="18"/>
      <c r="NE48" s="18"/>
      <c r="NF48" s="18"/>
      <c r="NG48" s="18"/>
      <c r="NH48" s="18"/>
      <c r="NI48" s="18"/>
      <c r="NJ48" s="18"/>
      <c r="NK48" s="18"/>
      <c r="NL48" s="18"/>
      <c r="NM48" s="18"/>
      <c r="NN48" s="18"/>
      <c r="NO48" s="18"/>
      <c r="NP48" s="18"/>
      <c r="NQ48" s="18"/>
      <c r="NR48" s="18"/>
      <c r="NS48" s="18"/>
      <c r="NT48" s="18"/>
      <c r="NU48" s="18"/>
      <c r="NV48" s="18"/>
      <c r="NW48" s="18"/>
      <c r="NX48" s="18"/>
      <c r="NY48" s="18"/>
      <c r="NZ48" s="18"/>
      <c r="OA48" s="18"/>
      <c r="OB48" s="18"/>
      <c r="OC48" s="18"/>
      <c r="OD48" s="18"/>
      <c r="OE48" s="18"/>
      <c r="OF48" s="18"/>
      <c r="OG48" s="18"/>
      <c r="OH48" s="18"/>
      <c r="OI48" s="18"/>
      <c r="OJ48" s="18"/>
      <c r="OK48" s="18"/>
      <c r="OL48" s="18"/>
      <c r="OM48" s="18"/>
      <c r="ON48" s="18"/>
      <c r="OO48" s="18"/>
      <c r="OP48" s="18"/>
      <c r="OQ48" s="18"/>
      <c r="OR48" s="18"/>
      <c r="OS48" s="18"/>
      <c r="OT48" s="18"/>
      <c r="OU48" s="18"/>
      <c r="OV48" s="18"/>
      <c r="OW48" s="18"/>
      <c r="OX48" s="18"/>
      <c r="OY48" s="18"/>
      <c r="OZ48" s="18"/>
      <c r="PA48" s="18"/>
      <c r="PB48" s="18"/>
      <c r="PC48" s="18"/>
      <c r="PD48" s="18"/>
      <c r="PE48" s="18"/>
      <c r="PF48" s="18"/>
      <c r="PG48" s="18"/>
      <c r="PH48" s="18"/>
      <c r="PI48" s="18"/>
      <c r="PJ48" s="18"/>
      <c r="PK48" s="18"/>
      <c r="PL48" s="18"/>
      <c r="PM48" s="18"/>
      <c r="PN48" s="18"/>
      <c r="PO48" s="18"/>
      <c r="PP48" s="18"/>
      <c r="PQ48" s="18"/>
      <c r="PR48" s="18"/>
      <c r="PS48" s="18"/>
      <c r="PT48" s="18"/>
      <c r="PU48" s="18"/>
      <c r="PV48" s="18"/>
      <c r="PW48" s="18"/>
      <c r="PX48" s="18"/>
      <c r="PY48" s="18"/>
      <c r="PZ48" s="18"/>
      <c r="QA48" s="18"/>
      <c r="QB48" s="18"/>
      <c r="QC48" s="18"/>
      <c r="QD48" s="18"/>
      <c r="QE48" s="18"/>
      <c r="QF48" s="18"/>
      <c r="QG48" s="18"/>
      <c r="QH48" s="18"/>
      <c r="QI48" s="18"/>
      <c r="QJ48" s="18"/>
      <c r="QK48" s="18"/>
      <c r="QL48" s="18"/>
      <c r="QM48" s="18"/>
      <c r="QN48" s="18"/>
      <c r="QO48" s="18"/>
      <c r="QP48" s="18"/>
      <c r="QQ48" s="18"/>
      <c r="QR48" s="18"/>
      <c r="QS48" s="18"/>
      <c r="QT48" s="18"/>
      <c r="QU48" s="18"/>
      <c r="QV48" s="18"/>
      <c r="QW48" s="18"/>
      <c r="QX48" s="18"/>
      <c r="QY48" s="18"/>
      <c r="QZ48" s="18"/>
      <c r="RA48" s="18"/>
      <c r="RB48" s="18"/>
      <c r="RC48" s="18"/>
      <c r="RD48" s="18"/>
      <c r="RE48" s="18"/>
      <c r="RF48" s="18"/>
      <c r="RG48" s="18"/>
      <c r="RH48" s="18"/>
      <c r="RI48" s="18"/>
      <c r="RJ48" s="18"/>
      <c r="RK48" s="18"/>
      <c r="RL48" s="18"/>
      <c r="RM48" s="18"/>
      <c r="RN48" s="18"/>
      <c r="RO48" s="18"/>
      <c r="RP48" s="18"/>
      <c r="RQ48" s="18"/>
      <c r="RR48" s="18"/>
      <c r="RS48" s="18"/>
      <c r="RT48" s="18"/>
      <c r="RU48" s="18"/>
      <c r="RV48" s="18"/>
      <c r="RW48" s="18"/>
      <c r="RX48" s="18"/>
      <c r="RY48" s="18"/>
      <c r="RZ48" s="18"/>
      <c r="SA48" s="18"/>
      <c r="SB48" s="18"/>
      <c r="SC48" s="18"/>
      <c r="SD48" s="18"/>
      <c r="SE48" s="18"/>
      <c r="SF48" s="18"/>
      <c r="SG48" s="18"/>
      <c r="SH48" s="18"/>
      <c r="SI48" s="18"/>
      <c r="SJ48" s="18"/>
      <c r="SK48" s="18"/>
      <c r="SL48" s="18"/>
      <c r="SM48" s="18"/>
      <c r="SN48" s="18"/>
      <c r="SO48" s="18"/>
      <c r="SP48" s="18"/>
      <c r="SQ48" s="18"/>
      <c r="SR48" s="18"/>
      <c r="SS48" s="18"/>
      <c r="ST48" s="18"/>
      <c r="SU48" s="18"/>
      <c r="SV48" s="18"/>
      <c r="SW48" s="18"/>
      <c r="SX48" s="18"/>
      <c r="SY48" s="18"/>
      <c r="SZ48" s="18"/>
      <c r="TA48" s="18"/>
      <c r="TB48" s="18"/>
      <c r="TC48" s="18"/>
      <c r="TD48" s="18"/>
      <c r="TE48" s="18"/>
      <c r="TF48" s="18"/>
      <c r="TG48" s="18"/>
      <c r="TH48" s="18"/>
      <c r="TI48" s="18"/>
      <c r="TJ48" s="18"/>
      <c r="TK48" s="18"/>
      <c r="TL48" s="18"/>
      <c r="TM48" s="18"/>
      <c r="TN48" s="18"/>
      <c r="TO48" s="18"/>
      <c r="TP48" s="18"/>
      <c r="TQ48" s="18"/>
      <c r="TR48" s="18"/>
      <c r="TS48" s="18"/>
      <c r="TT48" s="18"/>
      <c r="TU48" s="18"/>
      <c r="TV48" s="18"/>
      <c r="TW48" s="18"/>
      <c r="TX48" s="18"/>
      <c r="TY48" s="18"/>
      <c r="TZ48" s="18"/>
      <c r="UA48" s="18"/>
      <c r="UB48" s="18"/>
      <c r="UC48" s="18"/>
      <c r="UD48" s="18"/>
      <c r="UE48" s="18"/>
      <c r="UF48" s="18"/>
      <c r="UG48" s="18"/>
      <c r="UH48" s="18"/>
      <c r="UI48" s="18"/>
      <c r="UJ48" s="18"/>
      <c r="UK48" s="18"/>
      <c r="UL48" s="18"/>
      <c r="UM48" s="18"/>
      <c r="UN48" s="18"/>
      <c r="UO48" s="18"/>
      <c r="UP48" s="18"/>
      <c r="UQ48" s="18"/>
      <c r="UR48" s="18"/>
      <c r="US48" s="18"/>
      <c r="UT48" s="18"/>
      <c r="UU48" s="18"/>
      <c r="UV48" s="18"/>
      <c r="UW48" s="18"/>
      <c r="UX48" s="18"/>
      <c r="UY48" s="18"/>
      <c r="UZ48" s="18"/>
      <c r="VA48" s="18"/>
      <c r="VB48" s="18"/>
      <c r="VC48" s="18"/>
      <c r="VD48" s="18"/>
      <c r="VE48" s="18"/>
      <c r="VF48" s="18"/>
      <c r="VG48" s="18"/>
      <c r="VH48" s="18"/>
      <c r="VI48" s="18"/>
      <c r="VJ48" s="18"/>
      <c r="VK48" s="18"/>
      <c r="VL48" s="18"/>
      <c r="VM48" s="18"/>
      <c r="VN48" s="18"/>
      <c r="VO48" s="18"/>
      <c r="VP48" s="18"/>
      <c r="VQ48" s="18"/>
      <c r="VR48" s="18"/>
      <c r="VS48" s="18"/>
      <c r="VT48" s="18"/>
      <c r="VU48" s="18"/>
      <c r="VV48" s="18"/>
      <c r="VW48" s="18"/>
      <c r="VX48" s="18"/>
      <c r="VY48" s="18"/>
      <c r="VZ48" s="18"/>
      <c r="WA48" s="18"/>
      <c r="WB48" s="18"/>
      <c r="WC48" s="18"/>
      <c r="WD48" s="18"/>
      <c r="WE48" s="18"/>
      <c r="WF48" s="18"/>
      <c r="WG48" s="18"/>
      <c r="WH48" s="18"/>
      <c r="WI48" s="18"/>
      <c r="WJ48" s="18"/>
      <c r="WK48" s="18"/>
      <c r="WL48" s="18"/>
      <c r="WM48" s="18"/>
      <c r="WN48" s="18"/>
      <c r="WO48" s="18"/>
      <c r="WP48" s="18"/>
      <c r="WQ48" s="18"/>
      <c r="WR48" s="18"/>
      <c r="WS48" s="18"/>
      <c r="WT48" s="18"/>
      <c r="WU48" s="18"/>
      <c r="WV48" s="18"/>
      <c r="WW48" s="18"/>
      <c r="WX48" s="18"/>
      <c r="WY48" s="18"/>
      <c r="WZ48" s="18"/>
      <c r="XA48" s="18"/>
      <c r="XB48" s="18"/>
      <c r="XC48" s="18"/>
      <c r="XD48" s="18"/>
      <c r="XE48" s="18"/>
      <c r="XF48" s="18"/>
      <c r="XG48" s="18"/>
      <c r="XH48" s="18"/>
      <c r="XI48" s="18"/>
      <c r="XJ48" s="18"/>
      <c r="XK48" s="18"/>
      <c r="XL48" s="18"/>
      <c r="XM48" s="18"/>
      <c r="XN48" s="18"/>
      <c r="XO48" s="18"/>
      <c r="XP48" s="18"/>
      <c r="XQ48" s="18"/>
      <c r="XR48" s="18"/>
      <c r="XS48" s="18"/>
      <c r="XT48" s="18"/>
      <c r="XU48" s="18"/>
      <c r="XV48" s="18"/>
      <c r="XW48" s="18"/>
      <c r="XX48" s="18"/>
      <c r="XY48" s="18"/>
      <c r="XZ48" s="18"/>
      <c r="YA48" s="18"/>
      <c r="YB48" s="18"/>
      <c r="YC48" s="18"/>
      <c r="YD48" s="18"/>
      <c r="YE48" s="18"/>
      <c r="YF48" s="18"/>
      <c r="YG48" s="18"/>
      <c r="YH48" s="18"/>
      <c r="YI48" s="18"/>
      <c r="YJ48" s="18"/>
      <c r="YK48" s="18"/>
      <c r="YL48" s="18"/>
      <c r="YM48" s="18"/>
      <c r="YN48" s="18"/>
      <c r="YO48" s="18"/>
      <c r="YP48" s="18"/>
      <c r="YQ48" s="18"/>
      <c r="YR48" s="18"/>
      <c r="YS48" s="18"/>
      <c r="YT48" s="18"/>
      <c r="YU48" s="18"/>
      <c r="YV48" s="18"/>
      <c r="YW48" s="18"/>
      <c r="YX48" s="18"/>
      <c r="YY48" s="18"/>
      <c r="YZ48" s="18"/>
      <c r="ZA48" s="18"/>
      <c r="ZB48" s="18"/>
      <c r="ZC48" s="18"/>
      <c r="ZD48" s="18"/>
      <c r="ZE48" s="18"/>
      <c r="ZF48" s="18"/>
      <c r="ZG48" s="18"/>
      <c r="ZH48" s="18"/>
      <c r="ZI48" s="18"/>
      <c r="ZJ48" s="18"/>
      <c r="ZK48" s="18"/>
      <c r="ZL48" s="18"/>
      <c r="ZM48" s="18"/>
      <c r="ZN48" s="18"/>
      <c r="ZO48" s="18"/>
      <c r="ZP48" s="18"/>
      <c r="ZQ48" s="18"/>
      <c r="ZR48" s="18"/>
      <c r="ZS48" s="18"/>
      <c r="ZT48" s="18"/>
      <c r="ZU48" s="18"/>
      <c r="ZV48" s="18"/>
      <c r="ZW48" s="18"/>
      <c r="ZX48" s="18"/>
      <c r="ZY48" s="18"/>
      <c r="ZZ48" s="18"/>
      <c r="AAA48" s="18"/>
      <c r="AAB48" s="18"/>
      <c r="AAC48" s="18"/>
      <c r="AAD48" s="18"/>
      <c r="AAE48" s="18"/>
      <c r="AAF48" s="18"/>
      <c r="AAG48" s="18"/>
      <c r="AAH48" s="18"/>
      <c r="AAI48" s="18"/>
      <c r="AAJ48" s="18"/>
      <c r="AAK48" s="18"/>
      <c r="AAL48" s="18"/>
      <c r="AAM48" s="18"/>
      <c r="AAN48" s="18"/>
      <c r="AAO48" s="18"/>
      <c r="AAP48" s="18"/>
      <c r="AAQ48" s="18"/>
      <c r="AAR48" s="18"/>
      <c r="AAS48" s="18"/>
      <c r="AAT48" s="18"/>
      <c r="AAU48" s="18"/>
      <c r="AAV48" s="18"/>
      <c r="AAW48" s="18"/>
      <c r="AAX48" s="18"/>
      <c r="AAY48" s="18"/>
      <c r="AAZ48" s="18"/>
      <c r="ABA48" s="18"/>
      <c r="ABB48" s="18"/>
      <c r="ABC48" s="18"/>
      <c r="ABD48" s="18"/>
      <c r="ABE48" s="18"/>
      <c r="ABF48" s="18"/>
      <c r="ABG48" s="18"/>
      <c r="ABH48" s="18"/>
      <c r="ABI48" s="18"/>
      <c r="ABJ48" s="18"/>
      <c r="ABK48" s="18"/>
      <c r="ABL48" s="18"/>
      <c r="ABM48" s="18"/>
      <c r="ABN48" s="18"/>
      <c r="ABO48" s="18"/>
      <c r="ABP48" s="18"/>
      <c r="ABQ48" s="18"/>
      <c r="ABR48" s="18"/>
      <c r="ABS48" s="18"/>
      <c r="ABT48" s="18"/>
      <c r="ABU48" s="18"/>
      <c r="ABV48" s="18"/>
      <c r="ABW48" s="18"/>
      <c r="ABX48" s="18"/>
      <c r="ABY48" s="18"/>
      <c r="ABZ48" s="18"/>
      <c r="ACA48" s="18"/>
      <c r="ACB48" s="18"/>
      <c r="ACC48" s="18"/>
      <c r="ACD48" s="18"/>
      <c r="ACE48" s="18"/>
      <c r="ACF48" s="18"/>
      <c r="ACG48" s="18"/>
      <c r="ACH48" s="18"/>
      <c r="ACI48" s="18"/>
      <c r="ACJ48" s="18"/>
      <c r="ACK48" s="18"/>
      <c r="ACL48" s="18"/>
      <c r="ACM48" s="18"/>
      <c r="ACN48" s="18"/>
      <c r="ACO48" s="18"/>
      <c r="ACP48" s="18"/>
      <c r="ACQ48" s="18"/>
      <c r="ACR48" s="18"/>
      <c r="ACS48" s="18"/>
      <c r="ACT48" s="18"/>
      <c r="ACU48" s="18"/>
      <c r="ACV48" s="18"/>
      <c r="ACW48" s="18"/>
      <c r="ACX48" s="18"/>
      <c r="ACY48" s="18"/>
      <c r="ACZ48" s="18"/>
      <c r="ADA48" s="18"/>
      <c r="ADB48" s="18"/>
      <c r="ADC48" s="18"/>
      <c r="ADD48" s="18"/>
      <c r="ADE48" s="18"/>
      <c r="ADF48" s="18"/>
      <c r="ADG48" s="18"/>
      <c r="ADH48" s="18"/>
      <c r="ADI48" s="18"/>
      <c r="ADJ48" s="18"/>
      <c r="ADK48" s="18"/>
      <c r="ADL48" s="18"/>
      <c r="ADM48" s="18"/>
      <c r="ADN48" s="18"/>
      <c r="ADO48" s="18"/>
      <c r="ADP48" s="18"/>
      <c r="ADQ48" s="18"/>
      <c r="ADR48" s="18"/>
      <c r="ADS48" s="18"/>
      <c r="ADT48" s="18"/>
      <c r="ADU48" s="18"/>
      <c r="ADV48" s="18"/>
      <c r="ADW48" s="18"/>
      <c r="ADX48" s="18"/>
      <c r="ADY48" s="18"/>
      <c r="ADZ48" s="18"/>
      <c r="AEA48" s="18"/>
      <c r="AEB48" s="18"/>
      <c r="AEC48" s="18"/>
      <c r="AED48" s="18"/>
      <c r="AEE48" s="18"/>
      <c r="AEF48" s="18"/>
      <c r="AEG48" s="18"/>
      <c r="AEH48" s="18"/>
      <c r="AEI48" s="18"/>
      <c r="AEJ48" s="18"/>
      <c r="AEK48" s="18"/>
      <c r="AEL48" s="18"/>
      <c r="AEM48" s="18"/>
      <c r="AEN48" s="18"/>
      <c r="AEO48" s="18"/>
      <c r="AEP48" s="18"/>
      <c r="AEQ48" s="18"/>
      <c r="AER48" s="18"/>
      <c r="AES48" s="18"/>
      <c r="AET48" s="18"/>
      <c r="AEU48" s="18"/>
      <c r="AEV48" s="18"/>
      <c r="AEW48" s="18"/>
      <c r="AEX48" s="18"/>
      <c r="AEY48" s="18"/>
      <c r="AEZ48" s="18"/>
      <c r="AFA48" s="18"/>
      <c r="AFB48" s="18"/>
      <c r="AFC48" s="18"/>
      <c r="AFD48" s="18"/>
      <c r="AFE48" s="18"/>
      <c r="AFF48" s="18"/>
      <c r="AFG48" s="18"/>
      <c r="AFH48" s="18"/>
      <c r="AFI48" s="18"/>
      <c r="AFJ48" s="18"/>
      <c r="AFK48" s="18"/>
      <c r="AFL48" s="18"/>
      <c r="AFM48" s="18"/>
      <c r="AFN48" s="18"/>
      <c r="AFO48" s="18"/>
      <c r="AFP48" s="18"/>
      <c r="AFQ48" s="18"/>
      <c r="AFR48" s="18"/>
      <c r="AFS48" s="18"/>
      <c r="AFT48" s="18"/>
      <c r="AFU48" s="18"/>
      <c r="AFV48" s="18"/>
      <c r="AFW48" s="18"/>
      <c r="AFX48" s="18"/>
      <c r="AFY48" s="18"/>
      <c r="AFZ48" s="18"/>
      <c r="AGA48" s="18"/>
      <c r="AGB48" s="18"/>
      <c r="AGC48" s="18"/>
      <c r="AGD48" s="18"/>
      <c r="AGE48" s="18"/>
      <c r="AGF48" s="18"/>
      <c r="AGG48" s="18"/>
      <c r="AGH48" s="18"/>
      <c r="AGI48" s="18"/>
      <c r="AGJ48" s="18"/>
      <c r="AGK48" s="18"/>
      <c r="AGL48" s="18"/>
      <c r="AGM48" s="18"/>
      <c r="AGN48" s="18"/>
      <c r="AGO48" s="18"/>
      <c r="AGP48" s="18"/>
      <c r="AGQ48" s="18"/>
      <c r="AGR48" s="18"/>
      <c r="AGS48" s="18"/>
      <c r="AGT48" s="18"/>
      <c r="AGU48" s="18"/>
      <c r="AGV48" s="18"/>
      <c r="AGW48" s="18"/>
      <c r="AGX48" s="18"/>
      <c r="AGY48" s="18"/>
      <c r="AGZ48" s="18"/>
      <c r="AHA48" s="18"/>
      <c r="AHB48" s="18"/>
      <c r="AHC48" s="18"/>
      <c r="AHD48" s="18"/>
      <c r="AHE48" s="18"/>
      <c r="AHF48" s="18"/>
      <c r="AHG48" s="18"/>
      <c r="AHH48" s="18"/>
      <c r="AHI48" s="18"/>
      <c r="AHJ48" s="18"/>
      <c r="AHK48" s="18"/>
      <c r="AHL48" s="18"/>
      <c r="AHM48" s="18"/>
      <c r="AHN48" s="18"/>
      <c r="AHO48" s="18"/>
      <c r="AHP48" s="18"/>
      <c r="AHQ48" s="18"/>
      <c r="AHR48" s="18"/>
      <c r="AHS48" s="18"/>
      <c r="AHT48" s="18"/>
      <c r="AHU48" s="18"/>
      <c r="AHV48" s="18"/>
      <c r="AHW48" s="18"/>
      <c r="AHX48" s="18"/>
      <c r="AHY48" s="18"/>
      <c r="AHZ48" s="18"/>
      <c r="AIA48" s="18"/>
      <c r="AIB48" s="18"/>
      <c r="AIC48" s="18"/>
      <c r="AID48" s="18"/>
      <c r="AIE48" s="18"/>
      <c r="AIF48" s="18"/>
      <c r="AIG48" s="18"/>
      <c r="AIH48" s="18"/>
      <c r="AII48" s="18"/>
      <c r="AIJ48" s="18"/>
      <c r="AIK48" s="18"/>
      <c r="AIL48" s="18"/>
      <c r="AIM48" s="18"/>
      <c r="AIN48" s="18"/>
      <c r="AIO48" s="18"/>
      <c r="AIP48" s="18"/>
      <c r="AIQ48" s="18"/>
      <c r="AIR48" s="18"/>
      <c r="AIS48" s="18"/>
      <c r="AIT48" s="18"/>
      <c r="AIU48" s="18"/>
      <c r="AIV48" s="18"/>
      <c r="AIW48" s="18"/>
      <c r="AIX48" s="18"/>
      <c r="AIY48" s="18"/>
      <c r="AIZ48" s="18"/>
      <c r="AJA48" s="18"/>
      <c r="AJB48" s="18"/>
      <c r="AJC48" s="18"/>
      <c r="AJD48" s="18"/>
      <c r="AJE48" s="18"/>
      <c r="AJF48" s="18"/>
      <c r="AJG48" s="18"/>
      <c r="AJH48" s="18"/>
      <c r="AJI48" s="18"/>
      <c r="AJJ48" s="18"/>
      <c r="AJK48" s="18"/>
      <c r="AJL48" s="18"/>
      <c r="AJM48" s="18"/>
      <c r="AJN48" s="18"/>
      <c r="AJO48" s="18"/>
      <c r="AJP48" s="18"/>
      <c r="AJQ48" s="18"/>
      <c r="AJR48" s="18"/>
      <c r="AJS48" s="18"/>
      <c r="AJT48" s="18"/>
      <c r="AJU48" s="18"/>
      <c r="AJV48" s="18"/>
      <c r="AJW48" s="18"/>
      <c r="AJX48" s="18"/>
      <c r="AJY48" s="18"/>
      <c r="AJZ48" s="18"/>
      <c r="AKA48" s="18"/>
      <c r="AKB48" s="18"/>
      <c r="AKC48" s="18"/>
      <c r="AKD48" s="18"/>
      <c r="AKE48" s="18"/>
      <c r="AKF48" s="18"/>
      <c r="AKG48" s="18"/>
      <c r="AKH48" s="18"/>
      <c r="AKI48" s="18"/>
      <c r="AKJ48" s="18"/>
      <c r="AKK48" s="18"/>
      <c r="AKL48" s="18"/>
      <c r="AKM48" s="18"/>
      <c r="AKN48" s="18"/>
      <c r="AKO48" s="18"/>
      <c r="AKP48" s="18"/>
      <c r="AKQ48" s="18"/>
      <c r="AKR48" s="18"/>
      <c r="AKS48" s="18"/>
      <c r="AKT48" s="18"/>
      <c r="AKU48" s="18"/>
      <c r="AKV48" s="18"/>
      <c r="AKW48" s="18"/>
      <c r="AKX48" s="18"/>
      <c r="AKY48" s="18"/>
      <c r="AKZ48" s="18"/>
      <c r="ALA48" s="18"/>
      <c r="ALB48" s="18"/>
      <c r="ALC48" s="18"/>
      <c r="ALD48" s="18"/>
      <c r="ALE48" s="18"/>
      <c r="ALF48" s="18"/>
      <c r="ALG48" s="18"/>
      <c r="ALH48" s="18"/>
      <c r="ALI48" s="18"/>
      <c r="ALJ48" s="18"/>
      <c r="ALK48" s="18"/>
      <c r="ALL48" s="18"/>
      <c r="ALM48" s="18"/>
      <c r="ALN48" s="18"/>
      <c r="ALO48" s="18"/>
      <c r="ALP48" s="18"/>
      <c r="ALQ48" s="18"/>
      <c r="ALR48" s="18"/>
      <c r="ALS48" s="18"/>
      <c r="ALT48" s="18"/>
      <c r="ALU48" s="18"/>
      <c r="ALV48" s="18"/>
      <c r="ALW48" s="18"/>
      <c r="ALX48" s="18"/>
      <c r="ALY48" s="18"/>
      <c r="ALZ48" s="18"/>
      <c r="AMA48" s="18"/>
      <c r="AMB48" s="18"/>
      <c r="AMC48" s="18"/>
      <c r="AMD48" s="18"/>
      <c r="AME48" s="18"/>
      <c r="AMF48" s="18"/>
      <c r="AMG48" s="18"/>
      <c r="AMH48" s="18"/>
    </row>
    <row r="49" spans="1:1022" s="23" customFormat="1" x14ac:dyDescent="0.3">
      <c r="A49" s="33">
        <v>145</v>
      </c>
      <c r="B49" s="19"/>
      <c r="C49" s="19"/>
      <c r="D49" s="58" t="s">
        <v>320</v>
      </c>
      <c r="E49" s="34" t="s">
        <v>471</v>
      </c>
      <c r="F49" s="39"/>
      <c r="G49" s="39"/>
      <c r="I49" s="40"/>
      <c r="J49" s="40"/>
      <c r="K49" s="31"/>
      <c r="L49" s="40"/>
      <c r="M49" s="41"/>
      <c r="N49" s="32"/>
      <c r="O49" s="38" t="s">
        <v>281</v>
      </c>
      <c r="P49" s="36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18"/>
      <c r="BK49" s="18"/>
      <c r="BL49" s="18"/>
      <c r="BM49" s="18"/>
      <c r="BN49" s="18"/>
      <c r="BO49" s="18"/>
      <c r="BP49" s="18"/>
      <c r="BQ49" s="18"/>
      <c r="BR49" s="18"/>
      <c r="BS49" s="18"/>
      <c r="BT49" s="18"/>
      <c r="BU49" s="18"/>
      <c r="BV49" s="18"/>
      <c r="BW49" s="18"/>
      <c r="BX49" s="18"/>
      <c r="BY49" s="18"/>
      <c r="BZ49" s="18"/>
      <c r="CA49" s="18"/>
      <c r="CB49" s="18"/>
      <c r="CC49" s="18"/>
      <c r="CD49" s="18"/>
      <c r="CE49" s="18"/>
      <c r="CF49" s="18"/>
      <c r="CG49" s="18"/>
      <c r="CH49" s="18"/>
      <c r="CI49" s="18"/>
      <c r="CJ49" s="18"/>
      <c r="CK49" s="18"/>
      <c r="CL49" s="18"/>
      <c r="CM49" s="18"/>
      <c r="CN49" s="18"/>
      <c r="CO49" s="18"/>
      <c r="CP49" s="18"/>
      <c r="CQ49" s="18"/>
      <c r="CR49" s="18"/>
      <c r="CS49" s="18"/>
      <c r="CT49" s="18"/>
      <c r="CU49" s="18"/>
      <c r="CV49" s="18"/>
      <c r="CW49" s="18"/>
      <c r="CX49" s="18"/>
      <c r="CY49" s="18"/>
      <c r="CZ49" s="18"/>
      <c r="DA49" s="18"/>
      <c r="DB49" s="18"/>
      <c r="DC49" s="18"/>
      <c r="DD49" s="18"/>
      <c r="DE49" s="18"/>
      <c r="DF49" s="18"/>
      <c r="DG49" s="18"/>
      <c r="DH49" s="18"/>
      <c r="DI49" s="18"/>
      <c r="DJ49" s="18"/>
      <c r="DK49" s="18"/>
      <c r="DL49" s="18"/>
      <c r="DM49" s="18"/>
      <c r="DN49" s="18"/>
      <c r="DO49" s="18"/>
      <c r="DP49" s="18"/>
      <c r="DQ49" s="18"/>
      <c r="DR49" s="18"/>
      <c r="DS49" s="18"/>
      <c r="DT49" s="18"/>
      <c r="DU49" s="18"/>
      <c r="DV49" s="18"/>
      <c r="DW49" s="18"/>
      <c r="DX49" s="18"/>
      <c r="DY49" s="18"/>
      <c r="DZ49" s="18"/>
      <c r="EA49" s="18"/>
      <c r="EB49" s="18"/>
      <c r="EC49" s="18"/>
      <c r="ED49" s="18"/>
      <c r="EE49" s="18"/>
      <c r="EF49" s="18"/>
      <c r="EG49" s="18"/>
      <c r="EH49" s="18"/>
      <c r="EI49" s="18"/>
      <c r="EJ49" s="18"/>
      <c r="EK49" s="18"/>
      <c r="EL49" s="18"/>
      <c r="EM49" s="18"/>
      <c r="EN49" s="18"/>
      <c r="EO49" s="18"/>
      <c r="EP49" s="18"/>
      <c r="EQ49" s="18"/>
      <c r="ER49" s="18"/>
      <c r="ES49" s="18"/>
      <c r="ET49" s="18"/>
      <c r="EU49" s="18"/>
      <c r="EV49" s="18"/>
      <c r="EW49" s="18"/>
      <c r="EX49" s="18"/>
      <c r="EY49" s="18"/>
      <c r="EZ49" s="18"/>
      <c r="FA49" s="18"/>
      <c r="FB49" s="18"/>
      <c r="FC49" s="18"/>
      <c r="FD49" s="18"/>
      <c r="FE49" s="18"/>
      <c r="FF49" s="18"/>
      <c r="FG49" s="18"/>
      <c r="FH49" s="18"/>
      <c r="FI49" s="18"/>
      <c r="FJ49" s="18"/>
      <c r="FK49" s="18"/>
      <c r="FL49" s="18"/>
      <c r="FM49" s="18"/>
      <c r="FN49" s="18"/>
      <c r="FO49" s="18"/>
      <c r="FP49" s="18"/>
      <c r="FQ49" s="18"/>
      <c r="FR49" s="18"/>
      <c r="FS49" s="18"/>
      <c r="FT49" s="18"/>
      <c r="FU49" s="18"/>
      <c r="FV49" s="18"/>
      <c r="FW49" s="18"/>
      <c r="FX49" s="18"/>
      <c r="FY49" s="18"/>
      <c r="FZ49" s="18"/>
      <c r="GA49" s="18"/>
      <c r="GB49" s="18"/>
      <c r="GC49" s="18"/>
      <c r="GD49" s="18"/>
      <c r="GE49" s="18"/>
      <c r="GF49" s="18"/>
      <c r="GG49" s="18"/>
      <c r="GH49" s="18"/>
      <c r="GI49" s="18"/>
      <c r="GJ49" s="18"/>
      <c r="GK49" s="18"/>
      <c r="GL49" s="18"/>
      <c r="GM49" s="18"/>
      <c r="GN49" s="18"/>
      <c r="GO49" s="18"/>
      <c r="GP49" s="18"/>
      <c r="GQ49" s="18"/>
      <c r="GR49" s="18"/>
      <c r="GS49" s="18"/>
      <c r="GT49" s="18"/>
      <c r="GU49" s="18"/>
      <c r="GV49" s="18"/>
      <c r="GW49" s="18"/>
      <c r="GX49" s="18"/>
      <c r="GY49" s="18"/>
      <c r="GZ49" s="18"/>
      <c r="HA49" s="18"/>
      <c r="HB49" s="18"/>
      <c r="HC49" s="18"/>
      <c r="HD49" s="18"/>
      <c r="HE49" s="18"/>
      <c r="HF49" s="18"/>
      <c r="HG49" s="18"/>
      <c r="HH49" s="18"/>
      <c r="HI49" s="18"/>
      <c r="HJ49" s="18"/>
      <c r="HK49" s="18"/>
      <c r="HL49" s="18"/>
      <c r="HM49" s="18"/>
      <c r="HN49" s="18"/>
      <c r="HO49" s="18"/>
      <c r="HP49" s="18"/>
      <c r="HQ49" s="18"/>
      <c r="HR49" s="18"/>
      <c r="HS49" s="18"/>
      <c r="HT49" s="18"/>
      <c r="HU49" s="18"/>
      <c r="HV49" s="18"/>
      <c r="HW49" s="18"/>
      <c r="HX49" s="18"/>
      <c r="HY49" s="18"/>
      <c r="HZ49" s="18"/>
      <c r="IA49" s="18"/>
      <c r="IB49" s="18"/>
      <c r="IC49" s="18"/>
      <c r="ID49" s="18"/>
      <c r="IE49" s="18"/>
      <c r="IF49" s="18"/>
      <c r="IG49" s="18"/>
      <c r="IH49" s="18"/>
      <c r="II49" s="18"/>
      <c r="IJ49" s="18"/>
      <c r="IK49" s="18"/>
      <c r="IL49" s="18"/>
      <c r="IM49" s="18"/>
      <c r="IN49" s="18"/>
      <c r="IO49" s="18"/>
      <c r="IP49" s="18"/>
      <c r="IQ49" s="18"/>
      <c r="IR49" s="18"/>
      <c r="IS49" s="18"/>
      <c r="IT49" s="18"/>
      <c r="IU49" s="18"/>
      <c r="IV49" s="18"/>
      <c r="IW49" s="18"/>
      <c r="IX49" s="18"/>
      <c r="IY49" s="18"/>
      <c r="IZ49" s="18"/>
      <c r="JA49" s="18"/>
      <c r="JB49" s="18"/>
      <c r="JC49" s="18"/>
      <c r="JD49" s="18"/>
      <c r="JE49" s="18"/>
      <c r="JF49" s="18"/>
      <c r="JG49" s="18"/>
      <c r="JH49" s="18"/>
      <c r="JI49" s="18"/>
      <c r="JJ49" s="18"/>
      <c r="JK49" s="18"/>
      <c r="JL49" s="18"/>
      <c r="JM49" s="18"/>
      <c r="JN49" s="18"/>
      <c r="JO49" s="18"/>
      <c r="JP49" s="18"/>
      <c r="JQ49" s="18"/>
      <c r="JR49" s="18"/>
      <c r="JS49" s="18"/>
      <c r="JT49" s="18"/>
      <c r="JU49" s="18"/>
      <c r="JV49" s="18"/>
      <c r="JW49" s="18"/>
      <c r="JX49" s="18"/>
      <c r="JY49" s="18"/>
      <c r="JZ49" s="18"/>
      <c r="KA49" s="18"/>
      <c r="KB49" s="18"/>
      <c r="KC49" s="18"/>
      <c r="KD49" s="18"/>
      <c r="KE49" s="18"/>
      <c r="KF49" s="18"/>
      <c r="KG49" s="18"/>
      <c r="KH49" s="18"/>
      <c r="KI49" s="18"/>
      <c r="KJ49" s="18"/>
      <c r="KK49" s="18"/>
      <c r="KL49" s="18"/>
      <c r="KM49" s="18"/>
      <c r="KN49" s="18"/>
      <c r="KO49" s="18"/>
      <c r="KP49" s="18"/>
      <c r="KQ49" s="18"/>
      <c r="KR49" s="18"/>
      <c r="KS49" s="18"/>
      <c r="KT49" s="18"/>
      <c r="KU49" s="18"/>
      <c r="KV49" s="18"/>
      <c r="KW49" s="18"/>
      <c r="KX49" s="18"/>
      <c r="KY49" s="18"/>
      <c r="KZ49" s="18"/>
      <c r="LA49" s="18"/>
      <c r="LB49" s="18"/>
      <c r="LC49" s="18"/>
      <c r="LD49" s="18"/>
      <c r="LE49" s="18"/>
      <c r="LF49" s="18"/>
      <c r="LG49" s="18"/>
      <c r="LH49" s="18"/>
      <c r="LI49" s="18"/>
      <c r="LJ49" s="18"/>
      <c r="LK49" s="18"/>
      <c r="LL49" s="18"/>
      <c r="LM49" s="18"/>
      <c r="LN49" s="18"/>
      <c r="LO49" s="18"/>
      <c r="LP49" s="18"/>
      <c r="LQ49" s="18"/>
      <c r="LR49" s="18"/>
      <c r="LS49" s="18"/>
      <c r="LT49" s="18"/>
      <c r="LU49" s="18"/>
      <c r="LV49" s="18"/>
      <c r="LW49" s="18"/>
      <c r="LX49" s="18"/>
      <c r="LY49" s="18"/>
      <c r="LZ49" s="18"/>
      <c r="MA49" s="18"/>
      <c r="MB49" s="18"/>
      <c r="MC49" s="18"/>
      <c r="MD49" s="18"/>
      <c r="ME49" s="18"/>
      <c r="MF49" s="18"/>
      <c r="MG49" s="18"/>
      <c r="MH49" s="18"/>
      <c r="MI49" s="18"/>
      <c r="MJ49" s="18"/>
      <c r="MK49" s="18"/>
      <c r="ML49" s="18"/>
      <c r="MM49" s="18"/>
      <c r="MN49" s="18"/>
      <c r="MO49" s="18"/>
      <c r="MP49" s="18"/>
      <c r="MQ49" s="18"/>
      <c r="MR49" s="18"/>
      <c r="MS49" s="18"/>
      <c r="MT49" s="18"/>
      <c r="MU49" s="18"/>
      <c r="MV49" s="18"/>
      <c r="MW49" s="18"/>
      <c r="MX49" s="18"/>
      <c r="MY49" s="18"/>
      <c r="MZ49" s="18"/>
      <c r="NA49" s="18"/>
      <c r="NB49" s="18"/>
      <c r="NC49" s="18"/>
      <c r="ND49" s="18"/>
      <c r="NE49" s="18"/>
      <c r="NF49" s="18"/>
      <c r="NG49" s="18"/>
      <c r="NH49" s="18"/>
      <c r="NI49" s="18"/>
      <c r="NJ49" s="18"/>
      <c r="NK49" s="18"/>
      <c r="NL49" s="18"/>
      <c r="NM49" s="18"/>
      <c r="NN49" s="18"/>
      <c r="NO49" s="18"/>
      <c r="NP49" s="18"/>
      <c r="NQ49" s="18"/>
      <c r="NR49" s="18"/>
      <c r="NS49" s="18"/>
      <c r="NT49" s="18"/>
      <c r="NU49" s="18"/>
      <c r="NV49" s="18"/>
      <c r="NW49" s="18"/>
      <c r="NX49" s="18"/>
      <c r="NY49" s="18"/>
      <c r="NZ49" s="18"/>
      <c r="OA49" s="18"/>
      <c r="OB49" s="18"/>
      <c r="OC49" s="18"/>
      <c r="OD49" s="18"/>
      <c r="OE49" s="18"/>
      <c r="OF49" s="18"/>
      <c r="OG49" s="18"/>
      <c r="OH49" s="18"/>
      <c r="OI49" s="18"/>
      <c r="OJ49" s="18"/>
      <c r="OK49" s="18"/>
      <c r="OL49" s="18"/>
      <c r="OM49" s="18"/>
      <c r="ON49" s="18"/>
      <c r="OO49" s="18"/>
      <c r="OP49" s="18"/>
      <c r="OQ49" s="18"/>
      <c r="OR49" s="18"/>
      <c r="OS49" s="18"/>
      <c r="OT49" s="18"/>
      <c r="OU49" s="18"/>
      <c r="OV49" s="18"/>
      <c r="OW49" s="18"/>
      <c r="OX49" s="18"/>
      <c r="OY49" s="18"/>
      <c r="OZ49" s="18"/>
      <c r="PA49" s="18"/>
      <c r="PB49" s="18"/>
      <c r="PC49" s="18"/>
      <c r="PD49" s="18"/>
      <c r="PE49" s="18"/>
      <c r="PF49" s="18"/>
      <c r="PG49" s="18"/>
      <c r="PH49" s="18"/>
      <c r="PI49" s="18"/>
      <c r="PJ49" s="18"/>
      <c r="PK49" s="18"/>
      <c r="PL49" s="18"/>
      <c r="PM49" s="18"/>
      <c r="PN49" s="18"/>
      <c r="PO49" s="18"/>
      <c r="PP49" s="18"/>
      <c r="PQ49" s="18"/>
      <c r="PR49" s="18"/>
      <c r="PS49" s="18"/>
      <c r="PT49" s="18"/>
      <c r="PU49" s="18"/>
      <c r="PV49" s="18"/>
      <c r="PW49" s="18"/>
      <c r="PX49" s="18"/>
      <c r="PY49" s="18"/>
      <c r="PZ49" s="18"/>
      <c r="QA49" s="18"/>
      <c r="QB49" s="18"/>
      <c r="QC49" s="18"/>
      <c r="QD49" s="18"/>
      <c r="QE49" s="18"/>
      <c r="QF49" s="18"/>
      <c r="QG49" s="18"/>
      <c r="QH49" s="18"/>
      <c r="QI49" s="18"/>
      <c r="QJ49" s="18"/>
      <c r="QK49" s="18"/>
      <c r="QL49" s="18"/>
      <c r="QM49" s="18"/>
      <c r="QN49" s="18"/>
      <c r="QO49" s="18"/>
      <c r="QP49" s="18"/>
      <c r="QQ49" s="18"/>
      <c r="QR49" s="18"/>
      <c r="QS49" s="18"/>
      <c r="QT49" s="18"/>
      <c r="QU49" s="18"/>
      <c r="QV49" s="18"/>
      <c r="QW49" s="18"/>
      <c r="QX49" s="18"/>
      <c r="QY49" s="18"/>
      <c r="QZ49" s="18"/>
      <c r="RA49" s="18"/>
      <c r="RB49" s="18"/>
      <c r="RC49" s="18"/>
      <c r="RD49" s="18"/>
      <c r="RE49" s="18"/>
      <c r="RF49" s="18"/>
      <c r="RG49" s="18"/>
      <c r="RH49" s="18"/>
      <c r="RI49" s="18"/>
      <c r="RJ49" s="18"/>
      <c r="RK49" s="18"/>
      <c r="RL49" s="18"/>
      <c r="RM49" s="18"/>
      <c r="RN49" s="18"/>
      <c r="RO49" s="18"/>
      <c r="RP49" s="18"/>
      <c r="RQ49" s="18"/>
      <c r="RR49" s="18"/>
      <c r="RS49" s="18"/>
      <c r="RT49" s="18"/>
      <c r="RU49" s="18"/>
      <c r="RV49" s="18"/>
      <c r="RW49" s="18"/>
      <c r="RX49" s="18"/>
      <c r="RY49" s="18"/>
      <c r="RZ49" s="18"/>
      <c r="SA49" s="18"/>
      <c r="SB49" s="18"/>
      <c r="SC49" s="18"/>
      <c r="SD49" s="18"/>
      <c r="SE49" s="18"/>
      <c r="SF49" s="18"/>
      <c r="SG49" s="18"/>
      <c r="SH49" s="18"/>
      <c r="SI49" s="18"/>
      <c r="SJ49" s="18"/>
      <c r="SK49" s="18"/>
      <c r="SL49" s="18"/>
      <c r="SM49" s="18"/>
      <c r="SN49" s="18"/>
      <c r="SO49" s="18"/>
      <c r="SP49" s="18"/>
      <c r="SQ49" s="18"/>
      <c r="SR49" s="18"/>
      <c r="SS49" s="18"/>
      <c r="ST49" s="18"/>
      <c r="SU49" s="18"/>
      <c r="SV49" s="18"/>
      <c r="SW49" s="18"/>
      <c r="SX49" s="18"/>
      <c r="SY49" s="18"/>
      <c r="SZ49" s="18"/>
      <c r="TA49" s="18"/>
      <c r="TB49" s="18"/>
      <c r="TC49" s="18"/>
      <c r="TD49" s="18"/>
      <c r="TE49" s="18"/>
      <c r="TF49" s="18"/>
      <c r="TG49" s="18"/>
      <c r="TH49" s="18"/>
      <c r="TI49" s="18"/>
      <c r="TJ49" s="18"/>
      <c r="TK49" s="18"/>
      <c r="TL49" s="18"/>
      <c r="TM49" s="18"/>
      <c r="TN49" s="18"/>
      <c r="TO49" s="18"/>
      <c r="TP49" s="18"/>
      <c r="TQ49" s="18"/>
      <c r="TR49" s="18"/>
      <c r="TS49" s="18"/>
      <c r="TT49" s="18"/>
      <c r="TU49" s="18"/>
      <c r="TV49" s="18"/>
      <c r="TW49" s="18"/>
      <c r="TX49" s="18"/>
      <c r="TY49" s="18"/>
      <c r="TZ49" s="18"/>
      <c r="UA49" s="18"/>
      <c r="UB49" s="18"/>
      <c r="UC49" s="18"/>
      <c r="UD49" s="18"/>
      <c r="UE49" s="18"/>
      <c r="UF49" s="18"/>
      <c r="UG49" s="18"/>
      <c r="UH49" s="18"/>
      <c r="UI49" s="18"/>
      <c r="UJ49" s="18"/>
      <c r="UK49" s="18"/>
      <c r="UL49" s="18"/>
      <c r="UM49" s="18"/>
      <c r="UN49" s="18"/>
      <c r="UO49" s="18"/>
      <c r="UP49" s="18"/>
      <c r="UQ49" s="18"/>
      <c r="UR49" s="18"/>
      <c r="US49" s="18"/>
      <c r="UT49" s="18"/>
      <c r="UU49" s="18"/>
      <c r="UV49" s="18"/>
      <c r="UW49" s="18"/>
      <c r="UX49" s="18"/>
      <c r="UY49" s="18"/>
      <c r="UZ49" s="18"/>
      <c r="VA49" s="18"/>
      <c r="VB49" s="18"/>
      <c r="VC49" s="18"/>
      <c r="VD49" s="18"/>
      <c r="VE49" s="18"/>
      <c r="VF49" s="18"/>
      <c r="VG49" s="18"/>
      <c r="VH49" s="18"/>
      <c r="VI49" s="18"/>
      <c r="VJ49" s="18"/>
      <c r="VK49" s="18"/>
      <c r="VL49" s="18"/>
      <c r="VM49" s="18"/>
      <c r="VN49" s="18"/>
      <c r="VO49" s="18"/>
      <c r="VP49" s="18"/>
      <c r="VQ49" s="18"/>
      <c r="VR49" s="18"/>
      <c r="VS49" s="18"/>
      <c r="VT49" s="18"/>
      <c r="VU49" s="18"/>
      <c r="VV49" s="18"/>
      <c r="VW49" s="18"/>
      <c r="VX49" s="18"/>
      <c r="VY49" s="18"/>
      <c r="VZ49" s="18"/>
      <c r="WA49" s="18"/>
      <c r="WB49" s="18"/>
      <c r="WC49" s="18"/>
      <c r="WD49" s="18"/>
      <c r="WE49" s="18"/>
      <c r="WF49" s="18"/>
      <c r="WG49" s="18"/>
      <c r="WH49" s="18"/>
      <c r="WI49" s="18"/>
      <c r="WJ49" s="18"/>
      <c r="WK49" s="18"/>
      <c r="WL49" s="18"/>
      <c r="WM49" s="18"/>
      <c r="WN49" s="18"/>
      <c r="WO49" s="18"/>
      <c r="WP49" s="18"/>
      <c r="WQ49" s="18"/>
      <c r="WR49" s="18"/>
      <c r="WS49" s="18"/>
      <c r="WT49" s="18"/>
      <c r="WU49" s="18"/>
      <c r="WV49" s="18"/>
      <c r="WW49" s="18"/>
      <c r="WX49" s="18"/>
      <c r="WY49" s="18"/>
      <c r="WZ49" s="18"/>
      <c r="XA49" s="18"/>
      <c r="XB49" s="18"/>
      <c r="XC49" s="18"/>
      <c r="XD49" s="18"/>
      <c r="XE49" s="18"/>
      <c r="XF49" s="18"/>
      <c r="XG49" s="18"/>
      <c r="XH49" s="18"/>
      <c r="XI49" s="18"/>
      <c r="XJ49" s="18"/>
      <c r="XK49" s="18"/>
      <c r="XL49" s="18"/>
      <c r="XM49" s="18"/>
      <c r="XN49" s="18"/>
      <c r="XO49" s="18"/>
      <c r="XP49" s="18"/>
      <c r="XQ49" s="18"/>
      <c r="XR49" s="18"/>
      <c r="XS49" s="18"/>
      <c r="XT49" s="18"/>
      <c r="XU49" s="18"/>
      <c r="XV49" s="18"/>
      <c r="XW49" s="18"/>
      <c r="XX49" s="18"/>
      <c r="XY49" s="18"/>
      <c r="XZ49" s="18"/>
      <c r="YA49" s="18"/>
      <c r="YB49" s="18"/>
      <c r="YC49" s="18"/>
      <c r="YD49" s="18"/>
      <c r="YE49" s="18"/>
      <c r="YF49" s="18"/>
      <c r="YG49" s="18"/>
      <c r="YH49" s="18"/>
      <c r="YI49" s="18"/>
      <c r="YJ49" s="18"/>
      <c r="YK49" s="18"/>
      <c r="YL49" s="18"/>
      <c r="YM49" s="18"/>
      <c r="YN49" s="18"/>
      <c r="YO49" s="18"/>
      <c r="YP49" s="18"/>
      <c r="YQ49" s="18"/>
      <c r="YR49" s="18"/>
      <c r="YS49" s="18"/>
      <c r="YT49" s="18"/>
      <c r="YU49" s="18"/>
      <c r="YV49" s="18"/>
      <c r="YW49" s="18"/>
      <c r="YX49" s="18"/>
      <c r="YY49" s="18"/>
      <c r="YZ49" s="18"/>
      <c r="ZA49" s="18"/>
      <c r="ZB49" s="18"/>
      <c r="ZC49" s="18"/>
      <c r="ZD49" s="18"/>
      <c r="ZE49" s="18"/>
      <c r="ZF49" s="18"/>
      <c r="ZG49" s="18"/>
      <c r="ZH49" s="18"/>
      <c r="ZI49" s="18"/>
      <c r="ZJ49" s="18"/>
      <c r="ZK49" s="18"/>
      <c r="ZL49" s="18"/>
      <c r="ZM49" s="18"/>
      <c r="ZN49" s="18"/>
      <c r="ZO49" s="18"/>
      <c r="ZP49" s="18"/>
      <c r="ZQ49" s="18"/>
      <c r="ZR49" s="18"/>
      <c r="ZS49" s="18"/>
      <c r="ZT49" s="18"/>
      <c r="ZU49" s="18"/>
      <c r="ZV49" s="18"/>
      <c r="ZW49" s="18"/>
      <c r="ZX49" s="18"/>
      <c r="ZY49" s="18"/>
      <c r="ZZ49" s="18"/>
      <c r="AAA49" s="18"/>
      <c r="AAB49" s="18"/>
      <c r="AAC49" s="18"/>
      <c r="AAD49" s="18"/>
      <c r="AAE49" s="18"/>
      <c r="AAF49" s="18"/>
      <c r="AAG49" s="18"/>
      <c r="AAH49" s="18"/>
      <c r="AAI49" s="18"/>
      <c r="AAJ49" s="18"/>
      <c r="AAK49" s="18"/>
      <c r="AAL49" s="18"/>
      <c r="AAM49" s="18"/>
      <c r="AAN49" s="18"/>
      <c r="AAO49" s="18"/>
      <c r="AAP49" s="18"/>
      <c r="AAQ49" s="18"/>
      <c r="AAR49" s="18"/>
      <c r="AAS49" s="18"/>
      <c r="AAT49" s="18"/>
      <c r="AAU49" s="18"/>
      <c r="AAV49" s="18"/>
      <c r="AAW49" s="18"/>
      <c r="AAX49" s="18"/>
      <c r="AAY49" s="18"/>
      <c r="AAZ49" s="18"/>
      <c r="ABA49" s="18"/>
      <c r="ABB49" s="18"/>
      <c r="ABC49" s="18"/>
      <c r="ABD49" s="18"/>
      <c r="ABE49" s="18"/>
      <c r="ABF49" s="18"/>
      <c r="ABG49" s="18"/>
      <c r="ABH49" s="18"/>
      <c r="ABI49" s="18"/>
      <c r="ABJ49" s="18"/>
      <c r="ABK49" s="18"/>
      <c r="ABL49" s="18"/>
      <c r="ABM49" s="18"/>
      <c r="ABN49" s="18"/>
      <c r="ABO49" s="18"/>
      <c r="ABP49" s="18"/>
      <c r="ABQ49" s="18"/>
      <c r="ABR49" s="18"/>
      <c r="ABS49" s="18"/>
      <c r="ABT49" s="18"/>
      <c r="ABU49" s="18"/>
      <c r="ABV49" s="18"/>
      <c r="ABW49" s="18"/>
      <c r="ABX49" s="18"/>
      <c r="ABY49" s="18"/>
      <c r="ABZ49" s="18"/>
      <c r="ACA49" s="18"/>
      <c r="ACB49" s="18"/>
      <c r="ACC49" s="18"/>
      <c r="ACD49" s="18"/>
      <c r="ACE49" s="18"/>
      <c r="ACF49" s="18"/>
      <c r="ACG49" s="18"/>
      <c r="ACH49" s="18"/>
      <c r="ACI49" s="18"/>
      <c r="ACJ49" s="18"/>
      <c r="ACK49" s="18"/>
      <c r="ACL49" s="18"/>
      <c r="ACM49" s="18"/>
      <c r="ACN49" s="18"/>
      <c r="ACO49" s="18"/>
      <c r="ACP49" s="18"/>
      <c r="ACQ49" s="18"/>
      <c r="ACR49" s="18"/>
      <c r="ACS49" s="18"/>
      <c r="ACT49" s="18"/>
      <c r="ACU49" s="18"/>
      <c r="ACV49" s="18"/>
      <c r="ACW49" s="18"/>
      <c r="ACX49" s="18"/>
      <c r="ACY49" s="18"/>
      <c r="ACZ49" s="18"/>
      <c r="ADA49" s="18"/>
      <c r="ADB49" s="18"/>
      <c r="ADC49" s="18"/>
      <c r="ADD49" s="18"/>
      <c r="ADE49" s="18"/>
      <c r="ADF49" s="18"/>
      <c r="ADG49" s="18"/>
      <c r="ADH49" s="18"/>
      <c r="ADI49" s="18"/>
      <c r="ADJ49" s="18"/>
      <c r="ADK49" s="18"/>
      <c r="ADL49" s="18"/>
      <c r="ADM49" s="18"/>
      <c r="ADN49" s="18"/>
      <c r="ADO49" s="18"/>
      <c r="ADP49" s="18"/>
      <c r="ADQ49" s="18"/>
      <c r="ADR49" s="18"/>
      <c r="ADS49" s="18"/>
      <c r="ADT49" s="18"/>
      <c r="ADU49" s="18"/>
      <c r="ADV49" s="18"/>
      <c r="ADW49" s="18"/>
      <c r="ADX49" s="18"/>
      <c r="ADY49" s="18"/>
      <c r="ADZ49" s="18"/>
      <c r="AEA49" s="18"/>
      <c r="AEB49" s="18"/>
      <c r="AEC49" s="18"/>
      <c r="AED49" s="18"/>
      <c r="AEE49" s="18"/>
      <c r="AEF49" s="18"/>
      <c r="AEG49" s="18"/>
      <c r="AEH49" s="18"/>
      <c r="AEI49" s="18"/>
      <c r="AEJ49" s="18"/>
      <c r="AEK49" s="18"/>
      <c r="AEL49" s="18"/>
      <c r="AEM49" s="18"/>
      <c r="AEN49" s="18"/>
      <c r="AEO49" s="18"/>
      <c r="AEP49" s="18"/>
      <c r="AEQ49" s="18"/>
      <c r="AER49" s="18"/>
      <c r="AES49" s="18"/>
      <c r="AET49" s="18"/>
      <c r="AEU49" s="18"/>
      <c r="AEV49" s="18"/>
      <c r="AEW49" s="18"/>
      <c r="AEX49" s="18"/>
      <c r="AEY49" s="18"/>
      <c r="AEZ49" s="18"/>
      <c r="AFA49" s="18"/>
      <c r="AFB49" s="18"/>
      <c r="AFC49" s="18"/>
      <c r="AFD49" s="18"/>
      <c r="AFE49" s="18"/>
      <c r="AFF49" s="18"/>
      <c r="AFG49" s="18"/>
      <c r="AFH49" s="18"/>
      <c r="AFI49" s="18"/>
      <c r="AFJ49" s="18"/>
      <c r="AFK49" s="18"/>
      <c r="AFL49" s="18"/>
      <c r="AFM49" s="18"/>
      <c r="AFN49" s="18"/>
      <c r="AFO49" s="18"/>
      <c r="AFP49" s="18"/>
      <c r="AFQ49" s="18"/>
      <c r="AFR49" s="18"/>
      <c r="AFS49" s="18"/>
      <c r="AFT49" s="18"/>
      <c r="AFU49" s="18"/>
      <c r="AFV49" s="18"/>
      <c r="AFW49" s="18"/>
      <c r="AFX49" s="18"/>
      <c r="AFY49" s="18"/>
      <c r="AFZ49" s="18"/>
      <c r="AGA49" s="18"/>
      <c r="AGB49" s="18"/>
      <c r="AGC49" s="18"/>
      <c r="AGD49" s="18"/>
      <c r="AGE49" s="18"/>
      <c r="AGF49" s="18"/>
      <c r="AGG49" s="18"/>
      <c r="AGH49" s="18"/>
      <c r="AGI49" s="18"/>
      <c r="AGJ49" s="18"/>
      <c r="AGK49" s="18"/>
      <c r="AGL49" s="18"/>
      <c r="AGM49" s="18"/>
      <c r="AGN49" s="18"/>
      <c r="AGO49" s="18"/>
      <c r="AGP49" s="18"/>
      <c r="AGQ49" s="18"/>
      <c r="AGR49" s="18"/>
      <c r="AGS49" s="18"/>
      <c r="AGT49" s="18"/>
      <c r="AGU49" s="18"/>
      <c r="AGV49" s="18"/>
      <c r="AGW49" s="18"/>
      <c r="AGX49" s="18"/>
      <c r="AGY49" s="18"/>
      <c r="AGZ49" s="18"/>
      <c r="AHA49" s="18"/>
      <c r="AHB49" s="18"/>
      <c r="AHC49" s="18"/>
      <c r="AHD49" s="18"/>
      <c r="AHE49" s="18"/>
      <c r="AHF49" s="18"/>
      <c r="AHG49" s="18"/>
      <c r="AHH49" s="18"/>
      <c r="AHI49" s="18"/>
      <c r="AHJ49" s="18"/>
      <c r="AHK49" s="18"/>
      <c r="AHL49" s="18"/>
      <c r="AHM49" s="18"/>
      <c r="AHN49" s="18"/>
      <c r="AHO49" s="18"/>
      <c r="AHP49" s="18"/>
      <c r="AHQ49" s="18"/>
      <c r="AHR49" s="18"/>
      <c r="AHS49" s="18"/>
      <c r="AHT49" s="18"/>
      <c r="AHU49" s="18"/>
      <c r="AHV49" s="18"/>
      <c r="AHW49" s="18"/>
      <c r="AHX49" s="18"/>
      <c r="AHY49" s="18"/>
      <c r="AHZ49" s="18"/>
      <c r="AIA49" s="18"/>
      <c r="AIB49" s="18"/>
      <c r="AIC49" s="18"/>
      <c r="AID49" s="18"/>
      <c r="AIE49" s="18"/>
      <c r="AIF49" s="18"/>
      <c r="AIG49" s="18"/>
      <c r="AIH49" s="18"/>
      <c r="AII49" s="18"/>
      <c r="AIJ49" s="18"/>
      <c r="AIK49" s="18"/>
      <c r="AIL49" s="18"/>
      <c r="AIM49" s="18"/>
      <c r="AIN49" s="18"/>
      <c r="AIO49" s="18"/>
      <c r="AIP49" s="18"/>
      <c r="AIQ49" s="18"/>
      <c r="AIR49" s="18"/>
      <c r="AIS49" s="18"/>
      <c r="AIT49" s="18"/>
      <c r="AIU49" s="18"/>
      <c r="AIV49" s="18"/>
      <c r="AIW49" s="18"/>
      <c r="AIX49" s="18"/>
      <c r="AIY49" s="18"/>
      <c r="AIZ49" s="18"/>
      <c r="AJA49" s="18"/>
      <c r="AJB49" s="18"/>
      <c r="AJC49" s="18"/>
      <c r="AJD49" s="18"/>
      <c r="AJE49" s="18"/>
      <c r="AJF49" s="18"/>
      <c r="AJG49" s="18"/>
      <c r="AJH49" s="18"/>
      <c r="AJI49" s="18"/>
      <c r="AJJ49" s="18"/>
      <c r="AJK49" s="18"/>
      <c r="AJL49" s="18"/>
      <c r="AJM49" s="18"/>
      <c r="AJN49" s="18"/>
      <c r="AJO49" s="18"/>
      <c r="AJP49" s="18"/>
      <c r="AJQ49" s="18"/>
      <c r="AJR49" s="18"/>
      <c r="AJS49" s="18"/>
      <c r="AJT49" s="18"/>
      <c r="AJU49" s="18"/>
      <c r="AJV49" s="18"/>
      <c r="AJW49" s="18"/>
      <c r="AJX49" s="18"/>
      <c r="AJY49" s="18"/>
      <c r="AJZ49" s="18"/>
      <c r="AKA49" s="18"/>
      <c r="AKB49" s="18"/>
      <c r="AKC49" s="18"/>
      <c r="AKD49" s="18"/>
      <c r="AKE49" s="18"/>
      <c r="AKF49" s="18"/>
      <c r="AKG49" s="18"/>
      <c r="AKH49" s="18"/>
      <c r="AKI49" s="18"/>
      <c r="AKJ49" s="18"/>
      <c r="AKK49" s="18"/>
      <c r="AKL49" s="18"/>
      <c r="AKM49" s="18"/>
      <c r="AKN49" s="18"/>
      <c r="AKO49" s="18"/>
      <c r="AKP49" s="18"/>
      <c r="AKQ49" s="18"/>
      <c r="AKR49" s="18"/>
      <c r="AKS49" s="18"/>
      <c r="AKT49" s="18"/>
      <c r="AKU49" s="18"/>
      <c r="AKV49" s="18"/>
      <c r="AKW49" s="18"/>
      <c r="AKX49" s="18"/>
      <c r="AKY49" s="18"/>
      <c r="AKZ49" s="18"/>
      <c r="ALA49" s="18"/>
      <c r="ALB49" s="18"/>
      <c r="ALC49" s="18"/>
      <c r="ALD49" s="18"/>
      <c r="ALE49" s="18"/>
      <c r="ALF49" s="18"/>
      <c r="ALG49" s="18"/>
      <c r="ALH49" s="18"/>
      <c r="ALI49" s="18"/>
      <c r="ALJ49" s="18"/>
      <c r="ALK49" s="18"/>
      <c r="ALL49" s="18"/>
      <c r="ALM49" s="18"/>
      <c r="ALN49" s="18"/>
      <c r="ALO49" s="18"/>
      <c r="ALP49" s="18"/>
      <c r="ALQ49" s="18"/>
      <c r="ALR49" s="18"/>
      <c r="ALS49" s="18"/>
      <c r="ALT49" s="18"/>
      <c r="ALU49" s="18"/>
      <c r="ALV49" s="18"/>
      <c r="ALW49" s="18"/>
      <c r="ALX49" s="18"/>
      <c r="ALY49" s="18"/>
      <c r="ALZ49" s="18"/>
      <c r="AMA49" s="18"/>
      <c r="AMB49" s="18"/>
      <c r="AMC49" s="18"/>
      <c r="AMD49" s="18"/>
      <c r="AME49" s="18"/>
      <c r="AMF49" s="18"/>
      <c r="AMG49" s="18"/>
      <c r="AMH49" s="18"/>
    </row>
    <row r="50" spans="1:1022" s="23" customFormat="1" x14ac:dyDescent="0.3">
      <c r="A50" s="33">
        <v>146</v>
      </c>
      <c r="B50" s="19"/>
      <c r="C50" s="19"/>
      <c r="D50" s="58" t="s">
        <v>321</v>
      </c>
      <c r="E50" s="34" t="s">
        <v>472</v>
      </c>
      <c r="F50" s="39"/>
      <c r="G50" s="39"/>
      <c r="H50" s="38" t="s">
        <v>281</v>
      </c>
      <c r="I50" s="40"/>
      <c r="J50" s="40"/>
      <c r="K50" s="31"/>
      <c r="L50" s="40"/>
      <c r="M50" s="41"/>
      <c r="N50" s="32"/>
      <c r="O50" s="18"/>
      <c r="P50" s="36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  <c r="HL50" s="18"/>
      <c r="HM50" s="18"/>
      <c r="HN50" s="18"/>
      <c r="HO50" s="18"/>
      <c r="HP50" s="18"/>
      <c r="HQ50" s="18"/>
      <c r="HR50" s="18"/>
      <c r="HS50" s="18"/>
      <c r="HT50" s="18"/>
      <c r="HU50" s="18"/>
      <c r="HV50" s="18"/>
      <c r="HW50" s="18"/>
      <c r="HX50" s="18"/>
      <c r="HY50" s="18"/>
      <c r="HZ50" s="18"/>
      <c r="IA50" s="18"/>
      <c r="IB50" s="18"/>
      <c r="IC50" s="18"/>
      <c r="ID50" s="18"/>
      <c r="IE50" s="18"/>
      <c r="IF50" s="18"/>
      <c r="IG50" s="18"/>
      <c r="IH50" s="18"/>
      <c r="II50" s="18"/>
      <c r="IJ50" s="18"/>
      <c r="IK50" s="18"/>
      <c r="IL50" s="18"/>
      <c r="IM50" s="18"/>
      <c r="IN50" s="18"/>
      <c r="IO50" s="18"/>
      <c r="IP50" s="18"/>
      <c r="IQ50" s="18"/>
      <c r="IR50" s="18"/>
      <c r="IS50" s="18"/>
      <c r="IT50" s="18"/>
      <c r="IU50" s="18"/>
      <c r="IV50" s="18"/>
      <c r="IW50" s="18"/>
      <c r="IX50" s="18"/>
      <c r="IY50" s="18"/>
      <c r="IZ50" s="18"/>
      <c r="JA50" s="18"/>
      <c r="JB50" s="18"/>
      <c r="JC50" s="18"/>
      <c r="JD50" s="18"/>
      <c r="JE50" s="18"/>
      <c r="JF50" s="18"/>
      <c r="JG50" s="18"/>
      <c r="JH50" s="18"/>
      <c r="JI50" s="18"/>
      <c r="JJ50" s="18"/>
      <c r="JK50" s="18"/>
      <c r="JL50" s="18"/>
      <c r="JM50" s="18"/>
      <c r="JN50" s="18"/>
      <c r="JO50" s="18"/>
      <c r="JP50" s="18"/>
      <c r="JQ50" s="18"/>
      <c r="JR50" s="18"/>
      <c r="JS50" s="18"/>
      <c r="JT50" s="18"/>
      <c r="JU50" s="18"/>
      <c r="JV50" s="18"/>
      <c r="JW50" s="18"/>
      <c r="JX50" s="18"/>
      <c r="JY50" s="18"/>
      <c r="JZ50" s="18"/>
      <c r="KA50" s="18"/>
      <c r="KB50" s="18"/>
      <c r="KC50" s="18"/>
      <c r="KD50" s="18"/>
      <c r="KE50" s="18"/>
      <c r="KF50" s="18"/>
      <c r="KG50" s="18"/>
      <c r="KH50" s="18"/>
      <c r="KI50" s="18"/>
      <c r="KJ50" s="18"/>
      <c r="KK50" s="18"/>
      <c r="KL50" s="18"/>
      <c r="KM50" s="18"/>
      <c r="KN50" s="18"/>
      <c r="KO50" s="18"/>
      <c r="KP50" s="18"/>
      <c r="KQ50" s="18"/>
      <c r="KR50" s="18"/>
      <c r="KS50" s="18"/>
      <c r="KT50" s="18"/>
      <c r="KU50" s="18"/>
      <c r="KV50" s="18"/>
      <c r="KW50" s="18"/>
      <c r="KX50" s="18"/>
      <c r="KY50" s="18"/>
      <c r="KZ50" s="18"/>
      <c r="LA50" s="18"/>
      <c r="LB50" s="18"/>
      <c r="LC50" s="18"/>
      <c r="LD50" s="18"/>
      <c r="LE50" s="18"/>
      <c r="LF50" s="18"/>
      <c r="LG50" s="18"/>
      <c r="LH50" s="18"/>
      <c r="LI50" s="18"/>
      <c r="LJ50" s="18"/>
      <c r="LK50" s="18"/>
      <c r="LL50" s="18"/>
      <c r="LM50" s="18"/>
      <c r="LN50" s="18"/>
      <c r="LO50" s="18"/>
      <c r="LP50" s="18"/>
      <c r="LQ50" s="18"/>
      <c r="LR50" s="18"/>
      <c r="LS50" s="18"/>
      <c r="LT50" s="18"/>
      <c r="LU50" s="18"/>
      <c r="LV50" s="18"/>
      <c r="LW50" s="18"/>
      <c r="LX50" s="18"/>
      <c r="LY50" s="18"/>
      <c r="LZ50" s="18"/>
      <c r="MA50" s="18"/>
      <c r="MB50" s="18"/>
      <c r="MC50" s="18"/>
      <c r="MD50" s="18"/>
      <c r="ME50" s="18"/>
      <c r="MF50" s="18"/>
      <c r="MG50" s="18"/>
      <c r="MH50" s="18"/>
      <c r="MI50" s="18"/>
      <c r="MJ50" s="18"/>
      <c r="MK50" s="18"/>
      <c r="ML50" s="18"/>
      <c r="MM50" s="18"/>
      <c r="MN50" s="18"/>
      <c r="MO50" s="18"/>
      <c r="MP50" s="18"/>
      <c r="MQ50" s="18"/>
      <c r="MR50" s="18"/>
      <c r="MS50" s="18"/>
      <c r="MT50" s="18"/>
      <c r="MU50" s="18"/>
      <c r="MV50" s="18"/>
      <c r="MW50" s="18"/>
      <c r="MX50" s="18"/>
      <c r="MY50" s="18"/>
      <c r="MZ50" s="18"/>
      <c r="NA50" s="18"/>
      <c r="NB50" s="18"/>
      <c r="NC50" s="18"/>
      <c r="ND50" s="18"/>
      <c r="NE50" s="18"/>
      <c r="NF50" s="18"/>
      <c r="NG50" s="18"/>
      <c r="NH50" s="18"/>
      <c r="NI50" s="18"/>
      <c r="NJ50" s="18"/>
      <c r="NK50" s="18"/>
      <c r="NL50" s="18"/>
      <c r="NM50" s="18"/>
      <c r="NN50" s="18"/>
      <c r="NO50" s="18"/>
      <c r="NP50" s="18"/>
      <c r="NQ50" s="18"/>
      <c r="NR50" s="18"/>
      <c r="NS50" s="18"/>
      <c r="NT50" s="18"/>
      <c r="NU50" s="18"/>
      <c r="NV50" s="18"/>
      <c r="NW50" s="18"/>
      <c r="NX50" s="18"/>
      <c r="NY50" s="18"/>
      <c r="NZ50" s="18"/>
      <c r="OA50" s="18"/>
      <c r="OB50" s="18"/>
      <c r="OC50" s="18"/>
      <c r="OD50" s="18"/>
      <c r="OE50" s="18"/>
      <c r="OF50" s="18"/>
      <c r="OG50" s="18"/>
      <c r="OH50" s="18"/>
      <c r="OI50" s="18"/>
      <c r="OJ50" s="18"/>
      <c r="OK50" s="18"/>
      <c r="OL50" s="18"/>
      <c r="OM50" s="18"/>
      <c r="ON50" s="18"/>
      <c r="OO50" s="18"/>
      <c r="OP50" s="18"/>
      <c r="OQ50" s="18"/>
      <c r="OR50" s="18"/>
      <c r="OS50" s="18"/>
      <c r="OT50" s="18"/>
      <c r="OU50" s="18"/>
      <c r="OV50" s="18"/>
      <c r="OW50" s="18"/>
      <c r="OX50" s="18"/>
      <c r="OY50" s="18"/>
      <c r="OZ50" s="18"/>
      <c r="PA50" s="18"/>
      <c r="PB50" s="18"/>
      <c r="PC50" s="18"/>
      <c r="PD50" s="18"/>
      <c r="PE50" s="18"/>
      <c r="PF50" s="18"/>
      <c r="PG50" s="18"/>
      <c r="PH50" s="18"/>
      <c r="PI50" s="18"/>
      <c r="PJ50" s="18"/>
      <c r="PK50" s="18"/>
      <c r="PL50" s="18"/>
      <c r="PM50" s="18"/>
      <c r="PN50" s="18"/>
      <c r="PO50" s="18"/>
      <c r="PP50" s="18"/>
      <c r="PQ50" s="18"/>
      <c r="PR50" s="18"/>
      <c r="PS50" s="18"/>
      <c r="PT50" s="18"/>
      <c r="PU50" s="18"/>
      <c r="PV50" s="18"/>
      <c r="PW50" s="18"/>
      <c r="PX50" s="18"/>
      <c r="PY50" s="18"/>
      <c r="PZ50" s="18"/>
      <c r="QA50" s="18"/>
      <c r="QB50" s="18"/>
      <c r="QC50" s="18"/>
      <c r="QD50" s="18"/>
      <c r="QE50" s="18"/>
      <c r="QF50" s="18"/>
      <c r="QG50" s="18"/>
      <c r="QH50" s="18"/>
      <c r="QI50" s="18"/>
      <c r="QJ50" s="18"/>
      <c r="QK50" s="18"/>
      <c r="QL50" s="18"/>
      <c r="QM50" s="18"/>
      <c r="QN50" s="18"/>
      <c r="QO50" s="18"/>
      <c r="QP50" s="18"/>
      <c r="QQ50" s="18"/>
      <c r="QR50" s="18"/>
      <c r="QS50" s="18"/>
      <c r="QT50" s="18"/>
      <c r="QU50" s="18"/>
      <c r="QV50" s="18"/>
      <c r="QW50" s="18"/>
      <c r="QX50" s="18"/>
      <c r="QY50" s="18"/>
      <c r="QZ50" s="18"/>
      <c r="RA50" s="18"/>
      <c r="RB50" s="18"/>
      <c r="RC50" s="18"/>
      <c r="RD50" s="18"/>
      <c r="RE50" s="18"/>
      <c r="RF50" s="18"/>
      <c r="RG50" s="18"/>
      <c r="RH50" s="18"/>
      <c r="RI50" s="18"/>
      <c r="RJ50" s="18"/>
      <c r="RK50" s="18"/>
      <c r="RL50" s="18"/>
      <c r="RM50" s="18"/>
      <c r="RN50" s="18"/>
      <c r="RO50" s="18"/>
      <c r="RP50" s="18"/>
      <c r="RQ50" s="18"/>
      <c r="RR50" s="18"/>
      <c r="RS50" s="18"/>
      <c r="RT50" s="18"/>
      <c r="RU50" s="18"/>
      <c r="RV50" s="18"/>
      <c r="RW50" s="18"/>
      <c r="RX50" s="18"/>
      <c r="RY50" s="18"/>
      <c r="RZ50" s="18"/>
      <c r="SA50" s="18"/>
      <c r="SB50" s="18"/>
      <c r="SC50" s="18"/>
      <c r="SD50" s="18"/>
      <c r="SE50" s="18"/>
      <c r="SF50" s="18"/>
      <c r="SG50" s="18"/>
      <c r="SH50" s="18"/>
      <c r="SI50" s="18"/>
      <c r="SJ50" s="18"/>
      <c r="SK50" s="18"/>
      <c r="SL50" s="18"/>
      <c r="SM50" s="18"/>
      <c r="SN50" s="18"/>
      <c r="SO50" s="18"/>
      <c r="SP50" s="18"/>
      <c r="SQ50" s="18"/>
      <c r="SR50" s="18"/>
      <c r="SS50" s="18"/>
      <c r="ST50" s="18"/>
      <c r="SU50" s="18"/>
      <c r="SV50" s="18"/>
      <c r="SW50" s="18"/>
      <c r="SX50" s="18"/>
      <c r="SY50" s="18"/>
      <c r="SZ50" s="18"/>
      <c r="TA50" s="18"/>
      <c r="TB50" s="18"/>
      <c r="TC50" s="18"/>
      <c r="TD50" s="18"/>
      <c r="TE50" s="18"/>
      <c r="TF50" s="18"/>
      <c r="TG50" s="18"/>
      <c r="TH50" s="18"/>
      <c r="TI50" s="18"/>
      <c r="TJ50" s="18"/>
      <c r="TK50" s="18"/>
      <c r="TL50" s="18"/>
      <c r="TM50" s="18"/>
      <c r="TN50" s="18"/>
      <c r="TO50" s="18"/>
      <c r="TP50" s="18"/>
      <c r="TQ50" s="18"/>
      <c r="TR50" s="18"/>
      <c r="TS50" s="18"/>
      <c r="TT50" s="18"/>
      <c r="TU50" s="18"/>
      <c r="TV50" s="18"/>
      <c r="TW50" s="18"/>
      <c r="TX50" s="18"/>
      <c r="TY50" s="18"/>
      <c r="TZ50" s="18"/>
      <c r="UA50" s="18"/>
      <c r="UB50" s="18"/>
      <c r="UC50" s="18"/>
      <c r="UD50" s="18"/>
      <c r="UE50" s="18"/>
      <c r="UF50" s="18"/>
      <c r="UG50" s="18"/>
      <c r="UH50" s="18"/>
      <c r="UI50" s="18"/>
      <c r="UJ50" s="18"/>
      <c r="UK50" s="18"/>
      <c r="UL50" s="18"/>
      <c r="UM50" s="18"/>
      <c r="UN50" s="18"/>
      <c r="UO50" s="18"/>
      <c r="UP50" s="18"/>
      <c r="UQ50" s="18"/>
      <c r="UR50" s="18"/>
      <c r="US50" s="18"/>
      <c r="UT50" s="18"/>
      <c r="UU50" s="18"/>
      <c r="UV50" s="18"/>
      <c r="UW50" s="18"/>
      <c r="UX50" s="18"/>
      <c r="UY50" s="18"/>
      <c r="UZ50" s="18"/>
      <c r="VA50" s="18"/>
      <c r="VB50" s="18"/>
      <c r="VC50" s="18"/>
      <c r="VD50" s="18"/>
      <c r="VE50" s="18"/>
      <c r="VF50" s="18"/>
      <c r="VG50" s="18"/>
      <c r="VH50" s="18"/>
      <c r="VI50" s="18"/>
      <c r="VJ50" s="18"/>
      <c r="VK50" s="18"/>
      <c r="VL50" s="18"/>
      <c r="VM50" s="18"/>
      <c r="VN50" s="18"/>
      <c r="VO50" s="18"/>
      <c r="VP50" s="18"/>
      <c r="VQ50" s="18"/>
      <c r="VR50" s="18"/>
      <c r="VS50" s="18"/>
      <c r="VT50" s="18"/>
      <c r="VU50" s="18"/>
      <c r="VV50" s="18"/>
      <c r="VW50" s="18"/>
      <c r="VX50" s="18"/>
      <c r="VY50" s="18"/>
      <c r="VZ50" s="18"/>
      <c r="WA50" s="18"/>
      <c r="WB50" s="18"/>
      <c r="WC50" s="18"/>
      <c r="WD50" s="18"/>
      <c r="WE50" s="18"/>
      <c r="WF50" s="18"/>
      <c r="WG50" s="18"/>
      <c r="WH50" s="18"/>
      <c r="WI50" s="18"/>
      <c r="WJ50" s="18"/>
      <c r="WK50" s="18"/>
      <c r="WL50" s="18"/>
      <c r="WM50" s="18"/>
      <c r="WN50" s="18"/>
      <c r="WO50" s="18"/>
      <c r="WP50" s="18"/>
      <c r="WQ50" s="18"/>
      <c r="WR50" s="18"/>
      <c r="WS50" s="18"/>
      <c r="WT50" s="18"/>
      <c r="WU50" s="18"/>
      <c r="WV50" s="18"/>
      <c r="WW50" s="18"/>
      <c r="WX50" s="18"/>
      <c r="WY50" s="18"/>
      <c r="WZ50" s="18"/>
      <c r="XA50" s="18"/>
      <c r="XB50" s="18"/>
      <c r="XC50" s="18"/>
      <c r="XD50" s="18"/>
      <c r="XE50" s="18"/>
      <c r="XF50" s="18"/>
      <c r="XG50" s="18"/>
      <c r="XH50" s="18"/>
      <c r="XI50" s="18"/>
      <c r="XJ50" s="18"/>
      <c r="XK50" s="18"/>
      <c r="XL50" s="18"/>
      <c r="XM50" s="18"/>
      <c r="XN50" s="18"/>
      <c r="XO50" s="18"/>
      <c r="XP50" s="18"/>
      <c r="XQ50" s="18"/>
      <c r="XR50" s="18"/>
      <c r="XS50" s="18"/>
      <c r="XT50" s="18"/>
      <c r="XU50" s="18"/>
      <c r="XV50" s="18"/>
      <c r="XW50" s="18"/>
      <c r="XX50" s="18"/>
      <c r="XY50" s="18"/>
      <c r="XZ50" s="18"/>
      <c r="YA50" s="18"/>
      <c r="YB50" s="18"/>
      <c r="YC50" s="18"/>
      <c r="YD50" s="18"/>
      <c r="YE50" s="18"/>
      <c r="YF50" s="18"/>
      <c r="YG50" s="18"/>
      <c r="YH50" s="18"/>
      <c r="YI50" s="18"/>
      <c r="YJ50" s="18"/>
      <c r="YK50" s="18"/>
      <c r="YL50" s="18"/>
      <c r="YM50" s="18"/>
      <c r="YN50" s="18"/>
      <c r="YO50" s="18"/>
      <c r="YP50" s="18"/>
      <c r="YQ50" s="18"/>
      <c r="YR50" s="18"/>
      <c r="YS50" s="18"/>
      <c r="YT50" s="18"/>
      <c r="YU50" s="18"/>
      <c r="YV50" s="18"/>
      <c r="YW50" s="18"/>
      <c r="YX50" s="18"/>
      <c r="YY50" s="18"/>
      <c r="YZ50" s="18"/>
      <c r="ZA50" s="18"/>
      <c r="ZB50" s="18"/>
      <c r="ZC50" s="18"/>
      <c r="ZD50" s="18"/>
      <c r="ZE50" s="18"/>
      <c r="ZF50" s="18"/>
      <c r="ZG50" s="18"/>
      <c r="ZH50" s="18"/>
      <c r="ZI50" s="18"/>
      <c r="ZJ50" s="18"/>
      <c r="ZK50" s="18"/>
      <c r="ZL50" s="18"/>
      <c r="ZM50" s="18"/>
      <c r="ZN50" s="18"/>
      <c r="ZO50" s="18"/>
      <c r="ZP50" s="18"/>
      <c r="ZQ50" s="18"/>
      <c r="ZR50" s="18"/>
      <c r="ZS50" s="18"/>
      <c r="ZT50" s="18"/>
      <c r="ZU50" s="18"/>
      <c r="ZV50" s="18"/>
      <c r="ZW50" s="18"/>
      <c r="ZX50" s="18"/>
      <c r="ZY50" s="18"/>
      <c r="ZZ50" s="18"/>
      <c r="AAA50" s="18"/>
      <c r="AAB50" s="18"/>
      <c r="AAC50" s="18"/>
      <c r="AAD50" s="18"/>
      <c r="AAE50" s="18"/>
      <c r="AAF50" s="18"/>
      <c r="AAG50" s="18"/>
      <c r="AAH50" s="18"/>
      <c r="AAI50" s="18"/>
      <c r="AAJ50" s="18"/>
      <c r="AAK50" s="18"/>
      <c r="AAL50" s="18"/>
      <c r="AAM50" s="18"/>
      <c r="AAN50" s="18"/>
      <c r="AAO50" s="18"/>
      <c r="AAP50" s="18"/>
      <c r="AAQ50" s="18"/>
      <c r="AAR50" s="18"/>
      <c r="AAS50" s="18"/>
      <c r="AAT50" s="18"/>
      <c r="AAU50" s="18"/>
      <c r="AAV50" s="18"/>
      <c r="AAW50" s="18"/>
      <c r="AAX50" s="18"/>
      <c r="AAY50" s="18"/>
      <c r="AAZ50" s="18"/>
      <c r="ABA50" s="18"/>
      <c r="ABB50" s="18"/>
      <c r="ABC50" s="18"/>
      <c r="ABD50" s="18"/>
      <c r="ABE50" s="18"/>
      <c r="ABF50" s="18"/>
      <c r="ABG50" s="18"/>
      <c r="ABH50" s="18"/>
      <c r="ABI50" s="18"/>
      <c r="ABJ50" s="18"/>
      <c r="ABK50" s="18"/>
      <c r="ABL50" s="18"/>
      <c r="ABM50" s="18"/>
      <c r="ABN50" s="18"/>
      <c r="ABO50" s="18"/>
      <c r="ABP50" s="18"/>
      <c r="ABQ50" s="18"/>
      <c r="ABR50" s="18"/>
      <c r="ABS50" s="18"/>
      <c r="ABT50" s="18"/>
      <c r="ABU50" s="18"/>
      <c r="ABV50" s="18"/>
      <c r="ABW50" s="18"/>
      <c r="ABX50" s="18"/>
      <c r="ABY50" s="18"/>
      <c r="ABZ50" s="18"/>
      <c r="ACA50" s="18"/>
      <c r="ACB50" s="18"/>
      <c r="ACC50" s="18"/>
      <c r="ACD50" s="18"/>
      <c r="ACE50" s="18"/>
      <c r="ACF50" s="18"/>
      <c r="ACG50" s="18"/>
      <c r="ACH50" s="18"/>
      <c r="ACI50" s="18"/>
      <c r="ACJ50" s="18"/>
      <c r="ACK50" s="18"/>
      <c r="ACL50" s="18"/>
      <c r="ACM50" s="18"/>
      <c r="ACN50" s="18"/>
      <c r="ACO50" s="18"/>
      <c r="ACP50" s="18"/>
      <c r="ACQ50" s="18"/>
      <c r="ACR50" s="18"/>
      <c r="ACS50" s="18"/>
      <c r="ACT50" s="18"/>
      <c r="ACU50" s="18"/>
      <c r="ACV50" s="18"/>
      <c r="ACW50" s="18"/>
      <c r="ACX50" s="18"/>
      <c r="ACY50" s="18"/>
      <c r="ACZ50" s="18"/>
      <c r="ADA50" s="18"/>
      <c r="ADB50" s="18"/>
      <c r="ADC50" s="18"/>
      <c r="ADD50" s="18"/>
      <c r="ADE50" s="18"/>
      <c r="ADF50" s="18"/>
      <c r="ADG50" s="18"/>
      <c r="ADH50" s="18"/>
      <c r="ADI50" s="18"/>
      <c r="ADJ50" s="18"/>
      <c r="ADK50" s="18"/>
      <c r="ADL50" s="18"/>
      <c r="ADM50" s="18"/>
      <c r="ADN50" s="18"/>
      <c r="ADO50" s="18"/>
      <c r="ADP50" s="18"/>
      <c r="ADQ50" s="18"/>
      <c r="ADR50" s="18"/>
      <c r="ADS50" s="18"/>
      <c r="ADT50" s="18"/>
      <c r="ADU50" s="18"/>
      <c r="ADV50" s="18"/>
      <c r="ADW50" s="18"/>
      <c r="ADX50" s="18"/>
      <c r="ADY50" s="18"/>
      <c r="ADZ50" s="18"/>
      <c r="AEA50" s="18"/>
      <c r="AEB50" s="18"/>
      <c r="AEC50" s="18"/>
      <c r="AED50" s="18"/>
      <c r="AEE50" s="18"/>
      <c r="AEF50" s="18"/>
      <c r="AEG50" s="18"/>
      <c r="AEH50" s="18"/>
      <c r="AEI50" s="18"/>
      <c r="AEJ50" s="18"/>
      <c r="AEK50" s="18"/>
      <c r="AEL50" s="18"/>
      <c r="AEM50" s="18"/>
      <c r="AEN50" s="18"/>
      <c r="AEO50" s="18"/>
      <c r="AEP50" s="18"/>
      <c r="AEQ50" s="18"/>
      <c r="AER50" s="18"/>
      <c r="AES50" s="18"/>
      <c r="AET50" s="18"/>
      <c r="AEU50" s="18"/>
      <c r="AEV50" s="18"/>
      <c r="AEW50" s="18"/>
      <c r="AEX50" s="18"/>
      <c r="AEY50" s="18"/>
      <c r="AEZ50" s="18"/>
      <c r="AFA50" s="18"/>
      <c r="AFB50" s="18"/>
      <c r="AFC50" s="18"/>
      <c r="AFD50" s="18"/>
      <c r="AFE50" s="18"/>
      <c r="AFF50" s="18"/>
      <c r="AFG50" s="18"/>
      <c r="AFH50" s="18"/>
      <c r="AFI50" s="18"/>
      <c r="AFJ50" s="18"/>
      <c r="AFK50" s="18"/>
      <c r="AFL50" s="18"/>
      <c r="AFM50" s="18"/>
      <c r="AFN50" s="18"/>
      <c r="AFO50" s="18"/>
      <c r="AFP50" s="18"/>
      <c r="AFQ50" s="18"/>
      <c r="AFR50" s="18"/>
      <c r="AFS50" s="18"/>
      <c r="AFT50" s="18"/>
      <c r="AFU50" s="18"/>
      <c r="AFV50" s="18"/>
      <c r="AFW50" s="18"/>
      <c r="AFX50" s="18"/>
      <c r="AFY50" s="18"/>
      <c r="AFZ50" s="18"/>
      <c r="AGA50" s="18"/>
      <c r="AGB50" s="18"/>
      <c r="AGC50" s="18"/>
      <c r="AGD50" s="18"/>
      <c r="AGE50" s="18"/>
      <c r="AGF50" s="18"/>
      <c r="AGG50" s="18"/>
      <c r="AGH50" s="18"/>
      <c r="AGI50" s="18"/>
      <c r="AGJ50" s="18"/>
      <c r="AGK50" s="18"/>
      <c r="AGL50" s="18"/>
      <c r="AGM50" s="18"/>
      <c r="AGN50" s="18"/>
      <c r="AGO50" s="18"/>
      <c r="AGP50" s="18"/>
      <c r="AGQ50" s="18"/>
      <c r="AGR50" s="18"/>
      <c r="AGS50" s="18"/>
      <c r="AGT50" s="18"/>
      <c r="AGU50" s="18"/>
      <c r="AGV50" s="18"/>
      <c r="AGW50" s="18"/>
      <c r="AGX50" s="18"/>
      <c r="AGY50" s="18"/>
      <c r="AGZ50" s="18"/>
      <c r="AHA50" s="18"/>
      <c r="AHB50" s="18"/>
      <c r="AHC50" s="18"/>
      <c r="AHD50" s="18"/>
      <c r="AHE50" s="18"/>
      <c r="AHF50" s="18"/>
      <c r="AHG50" s="18"/>
      <c r="AHH50" s="18"/>
      <c r="AHI50" s="18"/>
      <c r="AHJ50" s="18"/>
      <c r="AHK50" s="18"/>
      <c r="AHL50" s="18"/>
      <c r="AHM50" s="18"/>
      <c r="AHN50" s="18"/>
      <c r="AHO50" s="18"/>
      <c r="AHP50" s="18"/>
      <c r="AHQ50" s="18"/>
      <c r="AHR50" s="18"/>
      <c r="AHS50" s="18"/>
      <c r="AHT50" s="18"/>
      <c r="AHU50" s="18"/>
      <c r="AHV50" s="18"/>
      <c r="AHW50" s="18"/>
      <c r="AHX50" s="18"/>
      <c r="AHY50" s="18"/>
      <c r="AHZ50" s="18"/>
      <c r="AIA50" s="18"/>
      <c r="AIB50" s="18"/>
      <c r="AIC50" s="18"/>
      <c r="AID50" s="18"/>
      <c r="AIE50" s="18"/>
      <c r="AIF50" s="18"/>
      <c r="AIG50" s="18"/>
      <c r="AIH50" s="18"/>
      <c r="AII50" s="18"/>
      <c r="AIJ50" s="18"/>
      <c r="AIK50" s="18"/>
      <c r="AIL50" s="18"/>
      <c r="AIM50" s="18"/>
      <c r="AIN50" s="18"/>
      <c r="AIO50" s="18"/>
      <c r="AIP50" s="18"/>
      <c r="AIQ50" s="18"/>
      <c r="AIR50" s="18"/>
      <c r="AIS50" s="18"/>
      <c r="AIT50" s="18"/>
      <c r="AIU50" s="18"/>
      <c r="AIV50" s="18"/>
      <c r="AIW50" s="18"/>
      <c r="AIX50" s="18"/>
      <c r="AIY50" s="18"/>
      <c r="AIZ50" s="18"/>
      <c r="AJA50" s="18"/>
      <c r="AJB50" s="18"/>
      <c r="AJC50" s="18"/>
      <c r="AJD50" s="18"/>
      <c r="AJE50" s="18"/>
      <c r="AJF50" s="18"/>
      <c r="AJG50" s="18"/>
      <c r="AJH50" s="18"/>
      <c r="AJI50" s="18"/>
      <c r="AJJ50" s="18"/>
      <c r="AJK50" s="18"/>
      <c r="AJL50" s="18"/>
      <c r="AJM50" s="18"/>
      <c r="AJN50" s="18"/>
      <c r="AJO50" s="18"/>
      <c r="AJP50" s="18"/>
      <c r="AJQ50" s="18"/>
      <c r="AJR50" s="18"/>
      <c r="AJS50" s="18"/>
      <c r="AJT50" s="18"/>
      <c r="AJU50" s="18"/>
      <c r="AJV50" s="18"/>
      <c r="AJW50" s="18"/>
      <c r="AJX50" s="18"/>
      <c r="AJY50" s="18"/>
      <c r="AJZ50" s="18"/>
      <c r="AKA50" s="18"/>
      <c r="AKB50" s="18"/>
      <c r="AKC50" s="18"/>
      <c r="AKD50" s="18"/>
      <c r="AKE50" s="18"/>
      <c r="AKF50" s="18"/>
      <c r="AKG50" s="18"/>
      <c r="AKH50" s="18"/>
      <c r="AKI50" s="18"/>
      <c r="AKJ50" s="18"/>
      <c r="AKK50" s="18"/>
      <c r="AKL50" s="18"/>
      <c r="AKM50" s="18"/>
      <c r="AKN50" s="18"/>
      <c r="AKO50" s="18"/>
      <c r="AKP50" s="18"/>
      <c r="AKQ50" s="18"/>
      <c r="AKR50" s="18"/>
      <c r="AKS50" s="18"/>
      <c r="AKT50" s="18"/>
      <c r="AKU50" s="18"/>
      <c r="AKV50" s="18"/>
      <c r="AKW50" s="18"/>
      <c r="AKX50" s="18"/>
      <c r="AKY50" s="18"/>
      <c r="AKZ50" s="18"/>
      <c r="ALA50" s="18"/>
      <c r="ALB50" s="18"/>
      <c r="ALC50" s="18"/>
      <c r="ALD50" s="18"/>
      <c r="ALE50" s="18"/>
      <c r="ALF50" s="18"/>
      <c r="ALG50" s="18"/>
      <c r="ALH50" s="18"/>
      <c r="ALI50" s="18"/>
      <c r="ALJ50" s="18"/>
      <c r="ALK50" s="18"/>
      <c r="ALL50" s="18"/>
      <c r="ALM50" s="18"/>
      <c r="ALN50" s="18"/>
      <c r="ALO50" s="18"/>
      <c r="ALP50" s="18"/>
      <c r="ALQ50" s="18"/>
      <c r="ALR50" s="18"/>
      <c r="ALS50" s="18"/>
      <c r="ALT50" s="18"/>
      <c r="ALU50" s="18"/>
      <c r="ALV50" s="18"/>
      <c r="ALW50" s="18"/>
      <c r="ALX50" s="18"/>
      <c r="ALY50" s="18"/>
      <c r="ALZ50" s="18"/>
      <c r="AMA50" s="18"/>
      <c r="AMB50" s="18"/>
      <c r="AMC50" s="18"/>
      <c r="AMD50" s="18"/>
      <c r="AME50" s="18"/>
      <c r="AMF50" s="18"/>
      <c r="AMG50" s="18"/>
      <c r="AMH50" s="18"/>
    </row>
    <row r="51" spans="1:1022" s="23" customFormat="1" x14ac:dyDescent="0.3">
      <c r="A51" s="33">
        <v>147</v>
      </c>
      <c r="B51" s="19"/>
      <c r="C51" s="19"/>
      <c r="D51" s="57" t="s">
        <v>322</v>
      </c>
      <c r="E51" s="34" t="s">
        <v>473</v>
      </c>
      <c r="F51" s="39"/>
      <c r="G51" s="39"/>
      <c r="H51" s="38" t="s">
        <v>281</v>
      </c>
      <c r="I51" s="40"/>
      <c r="J51" s="40"/>
      <c r="K51" s="31"/>
      <c r="L51" s="40"/>
      <c r="M51" s="41"/>
      <c r="N51" s="32"/>
      <c r="O51" s="18"/>
      <c r="P51" s="36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  <c r="GC51" s="18"/>
      <c r="GD51" s="18"/>
      <c r="GE51" s="18"/>
      <c r="GF51" s="18"/>
      <c r="GG51" s="18"/>
      <c r="GH51" s="18"/>
      <c r="GI51" s="18"/>
      <c r="GJ51" s="18"/>
      <c r="GK51" s="18"/>
      <c r="GL51" s="18"/>
      <c r="GM51" s="18"/>
      <c r="GN51" s="18"/>
      <c r="GO51" s="18"/>
      <c r="GP51" s="18"/>
      <c r="GQ51" s="18"/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/>
      <c r="HC51" s="18"/>
      <c r="HD51" s="18"/>
      <c r="HE51" s="18"/>
      <c r="HF51" s="18"/>
      <c r="HG51" s="18"/>
      <c r="HH51" s="18"/>
      <c r="HI51" s="18"/>
      <c r="HJ51" s="18"/>
      <c r="HK51" s="18"/>
      <c r="HL51" s="18"/>
      <c r="HM51" s="18"/>
      <c r="HN51" s="18"/>
      <c r="HO51" s="18"/>
      <c r="HP51" s="18"/>
      <c r="HQ51" s="18"/>
      <c r="HR51" s="18"/>
      <c r="HS51" s="18"/>
      <c r="HT51" s="18"/>
      <c r="HU51" s="18"/>
      <c r="HV51" s="18"/>
      <c r="HW51" s="18"/>
      <c r="HX51" s="18"/>
      <c r="HY51" s="18"/>
      <c r="HZ51" s="18"/>
      <c r="IA51" s="18"/>
      <c r="IB51" s="18"/>
      <c r="IC51" s="18"/>
      <c r="ID51" s="18"/>
      <c r="IE51" s="18"/>
      <c r="IF51" s="18"/>
      <c r="IG51" s="18"/>
      <c r="IH51" s="18"/>
      <c r="II51" s="18"/>
      <c r="IJ51" s="18"/>
      <c r="IK51" s="18"/>
      <c r="IL51" s="18"/>
      <c r="IM51" s="18"/>
      <c r="IN51" s="18"/>
      <c r="IO51" s="18"/>
      <c r="IP51" s="18"/>
      <c r="IQ51" s="18"/>
      <c r="IR51" s="18"/>
      <c r="IS51" s="18"/>
      <c r="IT51" s="18"/>
      <c r="IU51" s="18"/>
      <c r="IV51" s="18"/>
      <c r="IW51" s="18"/>
      <c r="IX51" s="18"/>
      <c r="IY51" s="18"/>
      <c r="IZ51" s="18"/>
      <c r="JA51" s="18"/>
      <c r="JB51" s="18"/>
      <c r="JC51" s="18"/>
      <c r="JD51" s="18"/>
      <c r="JE51" s="18"/>
      <c r="JF51" s="18"/>
      <c r="JG51" s="18"/>
      <c r="JH51" s="18"/>
      <c r="JI51" s="18"/>
      <c r="JJ51" s="18"/>
      <c r="JK51" s="18"/>
      <c r="JL51" s="18"/>
      <c r="JM51" s="18"/>
      <c r="JN51" s="18"/>
      <c r="JO51" s="18"/>
      <c r="JP51" s="18"/>
      <c r="JQ51" s="18"/>
      <c r="JR51" s="18"/>
      <c r="JS51" s="18"/>
      <c r="JT51" s="18"/>
      <c r="JU51" s="18"/>
      <c r="JV51" s="18"/>
      <c r="JW51" s="18"/>
      <c r="JX51" s="18"/>
      <c r="JY51" s="18"/>
      <c r="JZ51" s="18"/>
      <c r="KA51" s="18"/>
      <c r="KB51" s="18"/>
      <c r="KC51" s="18"/>
      <c r="KD51" s="18"/>
      <c r="KE51" s="18"/>
      <c r="KF51" s="18"/>
      <c r="KG51" s="18"/>
      <c r="KH51" s="18"/>
      <c r="KI51" s="18"/>
      <c r="KJ51" s="18"/>
      <c r="KK51" s="18"/>
      <c r="KL51" s="18"/>
      <c r="KM51" s="18"/>
      <c r="KN51" s="18"/>
      <c r="KO51" s="18"/>
      <c r="KP51" s="18"/>
      <c r="KQ51" s="18"/>
      <c r="KR51" s="18"/>
      <c r="KS51" s="18"/>
      <c r="KT51" s="18"/>
      <c r="KU51" s="18"/>
      <c r="KV51" s="18"/>
      <c r="KW51" s="18"/>
      <c r="KX51" s="18"/>
      <c r="KY51" s="18"/>
      <c r="KZ51" s="18"/>
      <c r="LA51" s="18"/>
      <c r="LB51" s="18"/>
      <c r="LC51" s="18"/>
      <c r="LD51" s="18"/>
      <c r="LE51" s="18"/>
      <c r="LF51" s="18"/>
      <c r="LG51" s="18"/>
      <c r="LH51" s="18"/>
      <c r="LI51" s="18"/>
      <c r="LJ51" s="18"/>
      <c r="LK51" s="18"/>
      <c r="LL51" s="18"/>
      <c r="LM51" s="18"/>
      <c r="LN51" s="18"/>
      <c r="LO51" s="18"/>
      <c r="LP51" s="18"/>
      <c r="LQ51" s="18"/>
      <c r="LR51" s="18"/>
      <c r="LS51" s="18"/>
      <c r="LT51" s="18"/>
      <c r="LU51" s="18"/>
      <c r="LV51" s="18"/>
      <c r="LW51" s="18"/>
      <c r="LX51" s="18"/>
      <c r="LY51" s="18"/>
      <c r="LZ51" s="18"/>
      <c r="MA51" s="18"/>
      <c r="MB51" s="18"/>
      <c r="MC51" s="18"/>
      <c r="MD51" s="18"/>
      <c r="ME51" s="18"/>
      <c r="MF51" s="18"/>
      <c r="MG51" s="18"/>
      <c r="MH51" s="18"/>
      <c r="MI51" s="18"/>
      <c r="MJ51" s="18"/>
      <c r="MK51" s="18"/>
      <c r="ML51" s="18"/>
      <c r="MM51" s="18"/>
      <c r="MN51" s="18"/>
      <c r="MO51" s="18"/>
      <c r="MP51" s="18"/>
      <c r="MQ51" s="18"/>
      <c r="MR51" s="18"/>
      <c r="MS51" s="18"/>
      <c r="MT51" s="18"/>
      <c r="MU51" s="18"/>
      <c r="MV51" s="18"/>
      <c r="MW51" s="18"/>
      <c r="MX51" s="18"/>
      <c r="MY51" s="18"/>
      <c r="MZ51" s="18"/>
      <c r="NA51" s="18"/>
      <c r="NB51" s="18"/>
      <c r="NC51" s="18"/>
      <c r="ND51" s="18"/>
      <c r="NE51" s="18"/>
      <c r="NF51" s="18"/>
      <c r="NG51" s="18"/>
      <c r="NH51" s="18"/>
      <c r="NI51" s="18"/>
      <c r="NJ51" s="18"/>
      <c r="NK51" s="18"/>
      <c r="NL51" s="18"/>
      <c r="NM51" s="18"/>
      <c r="NN51" s="18"/>
      <c r="NO51" s="18"/>
      <c r="NP51" s="18"/>
      <c r="NQ51" s="18"/>
      <c r="NR51" s="18"/>
      <c r="NS51" s="18"/>
      <c r="NT51" s="18"/>
      <c r="NU51" s="18"/>
      <c r="NV51" s="18"/>
      <c r="NW51" s="18"/>
      <c r="NX51" s="18"/>
      <c r="NY51" s="18"/>
      <c r="NZ51" s="18"/>
      <c r="OA51" s="18"/>
      <c r="OB51" s="18"/>
      <c r="OC51" s="18"/>
      <c r="OD51" s="18"/>
      <c r="OE51" s="18"/>
      <c r="OF51" s="18"/>
      <c r="OG51" s="18"/>
      <c r="OH51" s="18"/>
      <c r="OI51" s="18"/>
      <c r="OJ51" s="18"/>
      <c r="OK51" s="18"/>
      <c r="OL51" s="18"/>
      <c r="OM51" s="18"/>
      <c r="ON51" s="18"/>
      <c r="OO51" s="18"/>
      <c r="OP51" s="18"/>
      <c r="OQ51" s="18"/>
      <c r="OR51" s="18"/>
      <c r="OS51" s="18"/>
      <c r="OT51" s="18"/>
      <c r="OU51" s="18"/>
      <c r="OV51" s="18"/>
      <c r="OW51" s="18"/>
      <c r="OX51" s="18"/>
      <c r="OY51" s="18"/>
      <c r="OZ51" s="18"/>
      <c r="PA51" s="18"/>
      <c r="PB51" s="18"/>
      <c r="PC51" s="18"/>
      <c r="PD51" s="18"/>
      <c r="PE51" s="18"/>
      <c r="PF51" s="18"/>
      <c r="PG51" s="18"/>
      <c r="PH51" s="18"/>
      <c r="PI51" s="18"/>
      <c r="PJ51" s="18"/>
      <c r="PK51" s="18"/>
      <c r="PL51" s="18"/>
      <c r="PM51" s="18"/>
      <c r="PN51" s="18"/>
      <c r="PO51" s="18"/>
      <c r="PP51" s="18"/>
      <c r="PQ51" s="18"/>
      <c r="PR51" s="18"/>
      <c r="PS51" s="18"/>
      <c r="PT51" s="18"/>
      <c r="PU51" s="18"/>
      <c r="PV51" s="18"/>
      <c r="PW51" s="18"/>
      <c r="PX51" s="18"/>
      <c r="PY51" s="18"/>
      <c r="PZ51" s="18"/>
      <c r="QA51" s="18"/>
      <c r="QB51" s="18"/>
      <c r="QC51" s="18"/>
      <c r="QD51" s="18"/>
      <c r="QE51" s="18"/>
      <c r="QF51" s="18"/>
      <c r="QG51" s="18"/>
      <c r="QH51" s="18"/>
      <c r="QI51" s="18"/>
      <c r="QJ51" s="18"/>
      <c r="QK51" s="18"/>
      <c r="QL51" s="18"/>
      <c r="QM51" s="18"/>
      <c r="QN51" s="18"/>
      <c r="QO51" s="18"/>
      <c r="QP51" s="18"/>
      <c r="QQ51" s="18"/>
      <c r="QR51" s="18"/>
      <c r="QS51" s="18"/>
      <c r="QT51" s="18"/>
      <c r="QU51" s="18"/>
      <c r="QV51" s="18"/>
      <c r="QW51" s="18"/>
      <c r="QX51" s="18"/>
      <c r="QY51" s="18"/>
      <c r="QZ51" s="18"/>
      <c r="RA51" s="18"/>
      <c r="RB51" s="18"/>
      <c r="RC51" s="18"/>
      <c r="RD51" s="18"/>
      <c r="RE51" s="18"/>
      <c r="RF51" s="18"/>
      <c r="RG51" s="18"/>
      <c r="RH51" s="18"/>
      <c r="RI51" s="18"/>
      <c r="RJ51" s="18"/>
      <c r="RK51" s="18"/>
      <c r="RL51" s="18"/>
      <c r="RM51" s="18"/>
      <c r="RN51" s="18"/>
      <c r="RO51" s="18"/>
      <c r="RP51" s="18"/>
      <c r="RQ51" s="18"/>
      <c r="RR51" s="18"/>
      <c r="RS51" s="18"/>
      <c r="RT51" s="18"/>
      <c r="RU51" s="18"/>
      <c r="RV51" s="18"/>
      <c r="RW51" s="18"/>
      <c r="RX51" s="18"/>
      <c r="RY51" s="18"/>
      <c r="RZ51" s="18"/>
      <c r="SA51" s="18"/>
      <c r="SB51" s="18"/>
      <c r="SC51" s="18"/>
      <c r="SD51" s="18"/>
      <c r="SE51" s="18"/>
      <c r="SF51" s="18"/>
      <c r="SG51" s="18"/>
      <c r="SH51" s="18"/>
      <c r="SI51" s="18"/>
      <c r="SJ51" s="18"/>
      <c r="SK51" s="18"/>
      <c r="SL51" s="18"/>
      <c r="SM51" s="18"/>
      <c r="SN51" s="18"/>
      <c r="SO51" s="18"/>
      <c r="SP51" s="18"/>
      <c r="SQ51" s="18"/>
      <c r="SR51" s="18"/>
      <c r="SS51" s="18"/>
      <c r="ST51" s="18"/>
      <c r="SU51" s="18"/>
      <c r="SV51" s="18"/>
      <c r="SW51" s="18"/>
      <c r="SX51" s="18"/>
      <c r="SY51" s="18"/>
      <c r="SZ51" s="18"/>
      <c r="TA51" s="18"/>
      <c r="TB51" s="18"/>
      <c r="TC51" s="18"/>
      <c r="TD51" s="18"/>
      <c r="TE51" s="18"/>
      <c r="TF51" s="18"/>
      <c r="TG51" s="18"/>
      <c r="TH51" s="18"/>
      <c r="TI51" s="18"/>
      <c r="TJ51" s="18"/>
      <c r="TK51" s="18"/>
      <c r="TL51" s="18"/>
      <c r="TM51" s="18"/>
      <c r="TN51" s="18"/>
      <c r="TO51" s="18"/>
      <c r="TP51" s="18"/>
      <c r="TQ51" s="18"/>
      <c r="TR51" s="18"/>
      <c r="TS51" s="18"/>
      <c r="TT51" s="18"/>
      <c r="TU51" s="18"/>
      <c r="TV51" s="18"/>
      <c r="TW51" s="18"/>
      <c r="TX51" s="18"/>
      <c r="TY51" s="18"/>
      <c r="TZ51" s="18"/>
      <c r="UA51" s="18"/>
      <c r="UB51" s="18"/>
      <c r="UC51" s="18"/>
      <c r="UD51" s="18"/>
      <c r="UE51" s="18"/>
      <c r="UF51" s="18"/>
      <c r="UG51" s="18"/>
      <c r="UH51" s="18"/>
      <c r="UI51" s="18"/>
      <c r="UJ51" s="18"/>
      <c r="UK51" s="18"/>
      <c r="UL51" s="18"/>
      <c r="UM51" s="18"/>
      <c r="UN51" s="18"/>
      <c r="UO51" s="18"/>
      <c r="UP51" s="18"/>
      <c r="UQ51" s="18"/>
      <c r="UR51" s="18"/>
      <c r="US51" s="18"/>
      <c r="UT51" s="18"/>
      <c r="UU51" s="18"/>
      <c r="UV51" s="18"/>
      <c r="UW51" s="18"/>
      <c r="UX51" s="18"/>
      <c r="UY51" s="18"/>
      <c r="UZ51" s="18"/>
      <c r="VA51" s="18"/>
      <c r="VB51" s="18"/>
      <c r="VC51" s="18"/>
      <c r="VD51" s="18"/>
      <c r="VE51" s="18"/>
      <c r="VF51" s="18"/>
      <c r="VG51" s="18"/>
      <c r="VH51" s="18"/>
      <c r="VI51" s="18"/>
      <c r="VJ51" s="18"/>
      <c r="VK51" s="18"/>
      <c r="VL51" s="18"/>
      <c r="VM51" s="18"/>
      <c r="VN51" s="18"/>
      <c r="VO51" s="18"/>
      <c r="VP51" s="18"/>
      <c r="VQ51" s="18"/>
      <c r="VR51" s="18"/>
      <c r="VS51" s="18"/>
      <c r="VT51" s="18"/>
      <c r="VU51" s="18"/>
      <c r="VV51" s="18"/>
      <c r="VW51" s="18"/>
      <c r="VX51" s="18"/>
      <c r="VY51" s="18"/>
      <c r="VZ51" s="18"/>
      <c r="WA51" s="18"/>
      <c r="WB51" s="18"/>
      <c r="WC51" s="18"/>
      <c r="WD51" s="18"/>
      <c r="WE51" s="18"/>
      <c r="WF51" s="18"/>
      <c r="WG51" s="18"/>
      <c r="WH51" s="18"/>
      <c r="WI51" s="18"/>
      <c r="WJ51" s="18"/>
      <c r="WK51" s="18"/>
      <c r="WL51" s="18"/>
      <c r="WM51" s="18"/>
      <c r="WN51" s="18"/>
      <c r="WO51" s="18"/>
      <c r="WP51" s="18"/>
      <c r="WQ51" s="18"/>
      <c r="WR51" s="18"/>
      <c r="WS51" s="18"/>
      <c r="WT51" s="18"/>
      <c r="WU51" s="18"/>
      <c r="WV51" s="18"/>
      <c r="WW51" s="18"/>
      <c r="WX51" s="18"/>
      <c r="WY51" s="18"/>
      <c r="WZ51" s="18"/>
      <c r="XA51" s="18"/>
      <c r="XB51" s="18"/>
      <c r="XC51" s="18"/>
      <c r="XD51" s="18"/>
      <c r="XE51" s="18"/>
      <c r="XF51" s="18"/>
      <c r="XG51" s="18"/>
      <c r="XH51" s="18"/>
      <c r="XI51" s="18"/>
      <c r="XJ51" s="18"/>
      <c r="XK51" s="18"/>
      <c r="XL51" s="18"/>
      <c r="XM51" s="18"/>
      <c r="XN51" s="18"/>
      <c r="XO51" s="18"/>
      <c r="XP51" s="18"/>
      <c r="XQ51" s="18"/>
      <c r="XR51" s="18"/>
      <c r="XS51" s="18"/>
      <c r="XT51" s="18"/>
      <c r="XU51" s="18"/>
      <c r="XV51" s="18"/>
      <c r="XW51" s="18"/>
      <c r="XX51" s="18"/>
      <c r="XY51" s="18"/>
      <c r="XZ51" s="18"/>
      <c r="YA51" s="18"/>
      <c r="YB51" s="18"/>
      <c r="YC51" s="18"/>
      <c r="YD51" s="18"/>
      <c r="YE51" s="18"/>
      <c r="YF51" s="18"/>
      <c r="YG51" s="18"/>
      <c r="YH51" s="18"/>
      <c r="YI51" s="18"/>
      <c r="YJ51" s="18"/>
      <c r="YK51" s="18"/>
      <c r="YL51" s="18"/>
      <c r="YM51" s="18"/>
      <c r="YN51" s="18"/>
      <c r="YO51" s="18"/>
      <c r="YP51" s="18"/>
      <c r="YQ51" s="18"/>
      <c r="YR51" s="18"/>
      <c r="YS51" s="18"/>
      <c r="YT51" s="18"/>
      <c r="YU51" s="18"/>
      <c r="YV51" s="18"/>
      <c r="YW51" s="18"/>
      <c r="YX51" s="18"/>
      <c r="YY51" s="18"/>
      <c r="YZ51" s="18"/>
      <c r="ZA51" s="18"/>
      <c r="ZB51" s="18"/>
      <c r="ZC51" s="18"/>
      <c r="ZD51" s="18"/>
      <c r="ZE51" s="18"/>
      <c r="ZF51" s="18"/>
      <c r="ZG51" s="18"/>
      <c r="ZH51" s="18"/>
      <c r="ZI51" s="18"/>
      <c r="ZJ51" s="18"/>
      <c r="ZK51" s="18"/>
      <c r="ZL51" s="18"/>
      <c r="ZM51" s="18"/>
      <c r="ZN51" s="18"/>
      <c r="ZO51" s="18"/>
      <c r="ZP51" s="18"/>
      <c r="ZQ51" s="18"/>
      <c r="ZR51" s="18"/>
      <c r="ZS51" s="18"/>
      <c r="ZT51" s="18"/>
      <c r="ZU51" s="18"/>
      <c r="ZV51" s="18"/>
      <c r="ZW51" s="18"/>
      <c r="ZX51" s="18"/>
      <c r="ZY51" s="18"/>
      <c r="ZZ51" s="18"/>
      <c r="AAA51" s="18"/>
      <c r="AAB51" s="18"/>
      <c r="AAC51" s="18"/>
      <c r="AAD51" s="18"/>
      <c r="AAE51" s="18"/>
      <c r="AAF51" s="18"/>
      <c r="AAG51" s="18"/>
      <c r="AAH51" s="18"/>
      <c r="AAI51" s="18"/>
      <c r="AAJ51" s="18"/>
      <c r="AAK51" s="18"/>
      <c r="AAL51" s="18"/>
      <c r="AAM51" s="18"/>
      <c r="AAN51" s="18"/>
      <c r="AAO51" s="18"/>
      <c r="AAP51" s="18"/>
      <c r="AAQ51" s="18"/>
      <c r="AAR51" s="18"/>
      <c r="AAS51" s="18"/>
      <c r="AAT51" s="18"/>
      <c r="AAU51" s="18"/>
      <c r="AAV51" s="18"/>
      <c r="AAW51" s="18"/>
      <c r="AAX51" s="18"/>
      <c r="AAY51" s="18"/>
      <c r="AAZ51" s="18"/>
      <c r="ABA51" s="18"/>
      <c r="ABB51" s="18"/>
      <c r="ABC51" s="18"/>
      <c r="ABD51" s="18"/>
      <c r="ABE51" s="18"/>
      <c r="ABF51" s="18"/>
      <c r="ABG51" s="18"/>
      <c r="ABH51" s="18"/>
      <c r="ABI51" s="18"/>
      <c r="ABJ51" s="18"/>
      <c r="ABK51" s="18"/>
      <c r="ABL51" s="18"/>
      <c r="ABM51" s="18"/>
      <c r="ABN51" s="18"/>
      <c r="ABO51" s="18"/>
      <c r="ABP51" s="18"/>
      <c r="ABQ51" s="18"/>
      <c r="ABR51" s="18"/>
      <c r="ABS51" s="18"/>
      <c r="ABT51" s="18"/>
      <c r="ABU51" s="18"/>
      <c r="ABV51" s="18"/>
      <c r="ABW51" s="18"/>
      <c r="ABX51" s="18"/>
      <c r="ABY51" s="18"/>
      <c r="ABZ51" s="18"/>
      <c r="ACA51" s="18"/>
      <c r="ACB51" s="18"/>
      <c r="ACC51" s="18"/>
      <c r="ACD51" s="18"/>
      <c r="ACE51" s="18"/>
      <c r="ACF51" s="18"/>
      <c r="ACG51" s="18"/>
      <c r="ACH51" s="18"/>
      <c r="ACI51" s="18"/>
      <c r="ACJ51" s="18"/>
      <c r="ACK51" s="18"/>
      <c r="ACL51" s="18"/>
      <c r="ACM51" s="18"/>
      <c r="ACN51" s="18"/>
      <c r="ACO51" s="18"/>
      <c r="ACP51" s="18"/>
      <c r="ACQ51" s="18"/>
      <c r="ACR51" s="18"/>
      <c r="ACS51" s="18"/>
      <c r="ACT51" s="18"/>
      <c r="ACU51" s="18"/>
      <c r="ACV51" s="18"/>
      <c r="ACW51" s="18"/>
      <c r="ACX51" s="18"/>
      <c r="ACY51" s="18"/>
      <c r="ACZ51" s="18"/>
      <c r="ADA51" s="18"/>
      <c r="ADB51" s="18"/>
      <c r="ADC51" s="18"/>
      <c r="ADD51" s="18"/>
      <c r="ADE51" s="18"/>
      <c r="ADF51" s="18"/>
      <c r="ADG51" s="18"/>
      <c r="ADH51" s="18"/>
      <c r="ADI51" s="18"/>
      <c r="ADJ51" s="18"/>
      <c r="ADK51" s="18"/>
      <c r="ADL51" s="18"/>
      <c r="ADM51" s="18"/>
      <c r="ADN51" s="18"/>
      <c r="ADO51" s="18"/>
      <c r="ADP51" s="18"/>
      <c r="ADQ51" s="18"/>
      <c r="ADR51" s="18"/>
      <c r="ADS51" s="18"/>
      <c r="ADT51" s="18"/>
      <c r="ADU51" s="18"/>
      <c r="ADV51" s="18"/>
      <c r="ADW51" s="18"/>
      <c r="ADX51" s="18"/>
      <c r="ADY51" s="18"/>
      <c r="ADZ51" s="18"/>
      <c r="AEA51" s="18"/>
      <c r="AEB51" s="18"/>
      <c r="AEC51" s="18"/>
      <c r="AED51" s="18"/>
      <c r="AEE51" s="18"/>
      <c r="AEF51" s="18"/>
      <c r="AEG51" s="18"/>
      <c r="AEH51" s="18"/>
      <c r="AEI51" s="18"/>
      <c r="AEJ51" s="18"/>
      <c r="AEK51" s="18"/>
      <c r="AEL51" s="18"/>
      <c r="AEM51" s="18"/>
      <c r="AEN51" s="18"/>
      <c r="AEO51" s="18"/>
      <c r="AEP51" s="18"/>
      <c r="AEQ51" s="18"/>
      <c r="AER51" s="18"/>
      <c r="AES51" s="18"/>
      <c r="AET51" s="18"/>
      <c r="AEU51" s="18"/>
      <c r="AEV51" s="18"/>
      <c r="AEW51" s="18"/>
      <c r="AEX51" s="18"/>
      <c r="AEY51" s="18"/>
      <c r="AEZ51" s="18"/>
      <c r="AFA51" s="18"/>
      <c r="AFB51" s="18"/>
      <c r="AFC51" s="18"/>
      <c r="AFD51" s="18"/>
      <c r="AFE51" s="18"/>
      <c r="AFF51" s="18"/>
      <c r="AFG51" s="18"/>
      <c r="AFH51" s="18"/>
      <c r="AFI51" s="18"/>
      <c r="AFJ51" s="18"/>
      <c r="AFK51" s="18"/>
      <c r="AFL51" s="18"/>
      <c r="AFM51" s="18"/>
      <c r="AFN51" s="18"/>
      <c r="AFO51" s="18"/>
      <c r="AFP51" s="18"/>
      <c r="AFQ51" s="18"/>
      <c r="AFR51" s="18"/>
      <c r="AFS51" s="18"/>
      <c r="AFT51" s="18"/>
      <c r="AFU51" s="18"/>
      <c r="AFV51" s="18"/>
      <c r="AFW51" s="18"/>
      <c r="AFX51" s="18"/>
      <c r="AFY51" s="18"/>
      <c r="AFZ51" s="18"/>
      <c r="AGA51" s="18"/>
      <c r="AGB51" s="18"/>
      <c r="AGC51" s="18"/>
      <c r="AGD51" s="18"/>
      <c r="AGE51" s="18"/>
      <c r="AGF51" s="18"/>
      <c r="AGG51" s="18"/>
      <c r="AGH51" s="18"/>
      <c r="AGI51" s="18"/>
      <c r="AGJ51" s="18"/>
      <c r="AGK51" s="18"/>
      <c r="AGL51" s="18"/>
      <c r="AGM51" s="18"/>
      <c r="AGN51" s="18"/>
      <c r="AGO51" s="18"/>
      <c r="AGP51" s="18"/>
      <c r="AGQ51" s="18"/>
      <c r="AGR51" s="18"/>
      <c r="AGS51" s="18"/>
      <c r="AGT51" s="18"/>
      <c r="AGU51" s="18"/>
      <c r="AGV51" s="18"/>
      <c r="AGW51" s="18"/>
      <c r="AGX51" s="18"/>
      <c r="AGY51" s="18"/>
      <c r="AGZ51" s="18"/>
      <c r="AHA51" s="18"/>
      <c r="AHB51" s="18"/>
      <c r="AHC51" s="18"/>
      <c r="AHD51" s="18"/>
      <c r="AHE51" s="18"/>
      <c r="AHF51" s="18"/>
      <c r="AHG51" s="18"/>
      <c r="AHH51" s="18"/>
      <c r="AHI51" s="18"/>
      <c r="AHJ51" s="18"/>
      <c r="AHK51" s="18"/>
      <c r="AHL51" s="18"/>
      <c r="AHM51" s="18"/>
      <c r="AHN51" s="18"/>
      <c r="AHO51" s="18"/>
      <c r="AHP51" s="18"/>
      <c r="AHQ51" s="18"/>
      <c r="AHR51" s="18"/>
      <c r="AHS51" s="18"/>
      <c r="AHT51" s="18"/>
      <c r="AHU51" s="18"/>
      <c r="AHV51" s="18"/>
      <c r="AHW51" s="18"/>
      <c r="AHX51" s="18"/>
      <c r="AHY51" s="18"/>
      <c r="AHZ51" s="18"/>
      <c r="AIA51" s="18"/>
      <c r="AIB51" s="18"/>
      <c r="AIC51" s="18"/>
      <c r="AID51" s="18"/>
      <c r="AIE51" s="18"/>
      <c r="AIF51" s="18"/>
      <c r="AIG51" s="18"/>
      <c r="AIH51" s="18"/>
      <c r="AII51" s="18"/>
      <c r="AIJ51" s="18"/>
      <c r="AIK51" s="18"/>
      <c r="AIL51" s="18"/>
      <c r="AIM51" s="18"/>
      <c r="AIN51" s="18"/>
      <c r="AIO51" s="18"/>
      <c r="AIP51" s="18"/>
      <c r="AIQ51" s="18"/>
      <c r="AIR51" s="18"/>
      <c r="AIS51" s="18"/>
      <c r="AIT51" s="18"/>
      <c r="AIU51" s="18"/>
      <c r="AIV51" s="18"/>
      <c r="AIW51" s="18"/>
      <c r="AIX51" s="18"/>
      <c r="AIY51" s="18"/>
      <c r="AIZ51" s="18"/>
      <c r="AJA51" s="18"/>
      <c r="AJB51" s="18"/>
      <c r="AJC51" s="18"/>
      <c r="AJD51" s="18"/>
      <c r="AJE51" s="18"/>
      <c r="AJF51" s="18"/>
      <c r="AJG51" s="18"/>
      <c r="AJH51" s="18"/>
      <c r="AJI51" s="18"/>
      <c r="AJJ51" s="18"/>
      <c r="AJK51" s="18"/>
      <c r="AJL51" s="18"/>
      <c r="AJM51" s="18"/>
      <c r="AJN51" s="18"/>
      <c r="AJO51" s="18"/>
      <c r="AJP51" s="18"/>
      <c r="AJQ51" s="18"/>
      <c r="AJR51" s="18"/>
      <c r="AJS51" s="18"/>
      <c r="AJT51" s="18"/>
      <c r="AJU51" s="18"/>
      <c r="AJV51" s="18"/>
      <c r="AJW51" s="18"/>
      <c r="AJX51" s="18"/>
      <c r="AJY51" s="18"/>
      <c r="AJZ51" s="18"/>
      <c r="AKA51" s="18"/>
      <c r="AKB51" s="18"/>
      <c r="AKC51" s="18"/>
      <c r="AKD51" s="18"/>
      <c r="AKE51" s="18"/>
      <c r="AKF51" s="18"/>
      <c r="AKG51" s="18"/>
      <c r="AKH51" s="18"/>
      <c r="AKI51" s="18"/>
      <c r="AKJ51" s="18"/>
      <c r="AKK51" s="18"/>
      <c r="AKL51" s="18"/>
      <c r="AKM51" s="18"/>
      <c r="AKN51" s="18"/>
      <c r="AKO51" s="18"/>
      <c r="AKP51" s="18"/>
      <c r="AKQ51" s="18"/>
      <c r="AKR51" s="18"/>
      <c r="AKS51" s="18"/>
      <c r="AKT51" s="18"/>
      <c r="AKU51" s="18"/>
      <c r="AKV51" s="18"/>
      <c r="AKW51" s="18"/>
      <c r="AKX51" s="18"/>
      <c r="AKY51" s="18"/>
      <c r="AKZ51" s="18"/>
      <c r="ALA51" s="18"/>
      <c r="ALB51" s="18"/>
      <c r="ALC51" s="18"/>
      <c r="ALD51" s="18"/>
      <c r="ALE51" s="18"/>
      <c r="ALF51" s="18"/>
      <c r="ALG51" s="18"/>
      <c r="ALH51" s="18"/>
      <c r="ALI51" s="18"/>
      <c r="ALJ51" s="18"/>
      <c r="ALK51" s="18"/>
      <c r="ALL51" s="18"/>
      <c r="ALM51" s="18"/>
      <c r="ALN51" s="18"/>
      <c r="ALO51" s="18"/>
      <c r="ALP51" s="18"/>
      <c r="ALQ51" s="18"/>
      <c r="ALR51" s="18"/>
      <c r="ALS51" s="18"/>
      <c r="ALT51" s="18"/>
      <c r="ALU51" s="18"/>
      <c r="ALV51" s="18"/>
      <c r="ALW51" s="18"/>
      <c r="ALX51" s="18"/>
      <c r="ALY51" s="18"/>
      <c r="ALZ51" s="18"/>
      <c r="AMA51" s="18"/>
      <c r="AMB51" s="18"/>
      <c r="AMC51" s="18"/>
      <c r="AMD51" s="18"/>
      <c r="AME51" s="18"/>
      <c r="AMF51" s="18"/>
      <c r="AMG51" s="18"/>
      <c r="AMH51" s="18"/>
    </row>
    <row r="52" spans="1:1022" s="23" customFormat="1" x14ac:dyDescent="0.3">
      <c r="A52" s="33">
        <v>148</v>
      </c>
      <c r="B52" s="19"/>
      <c r="C52" s="19"/>
      <c r="D52" s="34" t="s">
        <v>323</v>
      </c>
      <c r="E52" s="34" t="s">
        <v>474</v>
      </c>
      <c r="F52" s="39"/>
      <c r="G52" s="39"/>
      <c r="I52" s="40"/>
      <c r="J52" s="40"/>
      <c r="K52" s="38" t="s">
        <v>281</v>
      </c>
      <c r="L52" s="40"/>
      <c r="M52" s="41"/>
      <c r="N52" s="32"/>
      <c r="O52" s="18"/>
      <c r="P52" s="36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  <c r="HT52" s="18"/>
      <c r="HU52" s="18"/>
      <c r="HV52" s="18"/>
      <c r="HW52" s="18"/>
      <c r="HX52" s="18"/>
      <c r="HY52" s="18"/>
      <c r="HZ52" s="18"/>
      <c r="IA52" s="18"/>
      <c r="IB52" s="18"/>
      <c r="IC52" s="18"/>
      <c r="ID52" s="18"/>
      <c r="IE52" s="18"/>
      <c r="IF52" s="18"/>
      <c r="IG52" s="18"/>
      <c r="IH52" s="18"/>
      <c r="II52" s="18"/>
      <c r="IJ52" s="18"/>
      <c r="IK52" s="18"/>
      <c r="IL52" s="18"/>
      <c r="IM52" s="18"/>
      <c r="IN52" s="18"/>
      <c r="IO52" s="18"/>
      <c r="IP52" s="18"/>
      <c r="IQ52" s="18"/>
      <c r="IR52" s="18"/>
      <c r="IS52" s="18"/>
      <c r="IT52" s="18"/>
      <c r="IU52" s="18"/>
      <c r="IV52" s="18"/>
      <c r="IW52" s="18"/>
      <c r="IX52" s="18"/>
      <c r="IY52" s="18"/>
      <c r="IZ52" s="18"/>
      <c r="JA52" s="18"/>
      <c r="JB52" s="18"/>
      <c r="JC52" s="18"/>
      <c r="JD52" s="18"/>
      <c r="JE52" s="18"/>
      <c r="JF52" s="18"/>
      <c r="JG52" s="18"/>
      <c r="JH52" s="18"/>
      <c r="JI52" s="18"/>
      <c r="JJ52" s="18"/>
      <c r="JK52" s="18"/>
      <c r="JL52" s="18"/>
      <c r="JM52" s="18"/>
      <c r="JN52" s="18"/>
      <c r="JO52" s="18"/>
      <c r="JP52" s="18"/>
      <c r="JQ52" s="18"/>
      <c r="JR52" s="18"/>
      <c r="JS52" s="18"/>
      <c r="JT52" s="18"/>
      <c r="JU52" s="18"/>
      <c r="JV52" s="18"/>
      <c r="JW52" s="18"/>
      <c r="JX52" s="18"/>
      <c r="JY52" s="18"/>
      <c r="JZ52" s="18"/>
      <c r="KA52" s="18"/>
      <c r="KB52" s="18"/>
      <c r="KC52" s="18"/>
      <c r="KD52" s="18"/>
      <c r="KE52" s="18"/>
      <c r="KF52" s="18"/>
      <c r="KG52" s="18"/>
      <c r="KH52" s="18"/>
      <c r="KI52" s="18"/>
      <c r="KJ52" s="18"/>
      <c r="KK52" s="18"/>
      <c r="KL52" s="18"/>
      <c r="KM52" s="18"/>
      <c r="KN52" s="18"/>
      <c r="KO52" s="18"/>
      <c r="KP52" s="18"/>
      <c r="KQ52" s="18"/>
      <c r="KR52" s="18"/>
      <c r="KS52" s="18"/>
      <c r="KT52" s="18"/>
      <c r="KU52" s="18"/>
      <c r="KV52" s="18"/>
      <c r="KW52" s="18"/>
      <c r="KX52" s="18"/>
      <c r="KY52" s="18"/>
      <c r="KZ52" s="18"/>
      <c r="LA52" s="18"/>
      <c r="LB52" s="18"/>
      <c r="LC52" s="18"/>
      <c r="LD52" s="18"/>
      <c r="LE52" s="18"/>
      <c r="LF52" s="18"/>
      <c r="LG52" s="18"/>
      <c r="LH52" s="18"/>
      <c r="LI52" s="18"/>
      <c r="LJ52" s="18"/>
      <c r="LK52" s="18"/>
      <c r="LL52" s="18"/>
      <c r="LM52" s="18"/>
      <c r="LN52" s="18"/>
      <c r="LO52" s="18"/>
      <c r="LP52" s="18"/>
      <c r="LQ52" s="18"/>
      <c r="LR52" s="18"/>
      <c r="LS52" s="18"/>
      <c r="LT52" s="18"/>
      <c r="LU52" s="18"/>
      <c r="LV52" s="18"/>
      <c r="LW52" s="18"/>
      <c r="LX52" s="18"/>
      <c r="LY52" s="18"/>
      <c r="LZ52" s="18"/>
      <c r="MA52" s="18"/>
      <c r="MB52" s="18"/>
      <c r="MC52" s="18"/>
      <c r="MD52" s="18"/>
      <c r="ME52" s="18"/>
      <c r="MF52" s="18"/>
      <c r="MG52" s="18"/>
      <c r="MH52" s="18"/>
      <c r="MI52" s="18"/>
      <c r="MJ52" s="18"/>
      <c r="MK52" s="18"/>
      <c r="ML52" s="18"/>
      <c r="MM52" s="18"/>
      <c r="MN52" s="18"/>
      <c r="MO52" s="18"/>
      <c r="MP52" s="18"/>
      <c r="MQ52" s="18"/>
      <c r="MR52" s="18"/>
      <c r="MS52" s="18"/>
      <c r="MT52" s="18"/>
      <c r="MU52" s="18"/>
      <c r="MV52" s="18"/>
      <c r="MW52" s="18"/>
      <c r="MX52" s="18"/>
      <c r="MY52" s="18"/>
      <c r="MZ52" s="18"/>
      <c r="NA52" s="18"/>
      <c r="NB52" s="18"/>
      <c r="NC52" s="18"/>
      <c r="ND52" s="18"/>
      <c r="NE52" s="18"/>
      <c r="NF52" s="18"/>
      <c r="NG52" s="18"/>
      <c r="NH52" s="18"/>
      <c r="NI52" s="18"/>
      <c r="NJ52" s="18"/>
      <c r="NK52" s="18"/>
      <c r="NL52" s="18"/>
      <c r="NM52" s="18"/>
      <c r="NN52" s="18"/>
      <c r="NO52" s="18"/>
      <c r="NP52" s="18"/>
      <c r="NQ52" s="18"/>
      <c r="NR52" s="18"/>
      <c r="NS52" s="18"/>
      <c r="NT52" s="18"/>
      <c r="NU52" s="18"/>
      <c r="NV52" s="18"/>
      <c r="NW52" s="18"/>
      <c r="NX52" s="18"/>
      <c r="NY52" s="18"/>
      <c r="NZ52" s="18"/>
      <c r="OA52" s="18"/>
      <c r="OB52" s="18"/>
      <c r="OC52" s="18"/>
      <c r="OD52" s="18"/>
      <c r="OE52" s="18"/>
      <c r="OF52" s="18"/>
      <c r="OG52" s="18"/>
      <c r="OH52" s="18"/>
      <c r="OI52" s="18"/>
      <c r="OJ52" s="18"/>
      <c r="OK52" s="18"/>
      <c r="OL52" s="18"/>
      <c r="OM52" s="18"/>
      <c r="ON52" s="18"/>
      <c r="OO52" s="18"/>
      <c r="OP52" s="18"/>
      <c r="OQ52" s="18"/>
      <c r="OR52" s="18"/>
      <c r="OS52" s="18"/>
      <c r="OT52" s="18"/>
      <c r="OU52" s="18"/>
      <c r="OV52" s="18"/>
      <c r="OW52" s="18"/>
      <c r="OX52" s="18"/>
      <c r="OY52" s="18"/>
      <c r="OZ52" s="18"/>
      <c r="PA52" s="18"/>
      <c r="PB52" s="18"/>
      <c r="PC52" s="18"/>
      <c r="PD52" s="18"/>
      <c r="PE52" s="18"/>
      <c r="PF52" s="18"/>
      <c r="PG52" s="18"/>
      <c r="PH52" s="18"/>
      <c r="PI52" s="18"/>
      <c r="PJ52" s="18"/>
      <c r="PK52" s="18"/>
      <c r="PL52" s="18"/>
      <c r="PM52" s="18"/>
      <c r="PN52" s="18"/>
      <c r="PO52" s="18"/>
      <c r="PP52" s="18"/>
      <c r="PQ52" s="18"/>
      <c r="PR52" s="18"/>
      <c r="PS52" s="18"/>
      <c r="PT52" s="18"/>
      <c r="PU52" s="18"/>
      <c r="PV52" s="18"/>
      <c r="PW52" s="18"/>
      <c r="PX52" s="18"/>
      <c r="PY52" s="18"/>
      <c r="PZ52" s="18"/>
      <c r="QA52" s="18"/>
      <c r="QB52" s="18"/>
      <c r="QC52" s="18"/>
      <c r="QD52" s="18"/>
      <c r="QE52" s="18"/>
      <c r="QF52" s="18"/>
      <c r="QG52" s="18"/>
      <c r="QH52" s="18"/>
      <c r="QI52" s="18"/>
      <c r="QJ52" s="18"/>
      <c r="QK52" s="18"/>
      <c r="QL52" s="18"/>
      <c r="QM52" s="18"/>
      <c r="QN52" s="18"/>
      <c r="QO52" s="18"/>
      <c r="QP52" s="18"/>
      <c r="QQ52" s="18"/>
      <c r="QR52" s="18"/>
      <c r="QS52" s="18"/>
      <c r="QT52" s="18"/>
      <c r="QU52" s="18"/>
      <c r="QV52" s="18"/>
      <c r="QW52" s="18"/>
      <c r="QX52" s="18"/>
      <c r="QY52" s="18"/>
      <c r="QZ52" s="18"/>
      <c r="RA52" s="18"/>
      <c r="RB52" s="18"/>
      <c r="RC52" s="18"/>
      <c r="RD52" s="18"/>
      <c r="RE52" s="18"/>
      <c r="RF52" s="18"/>
      <c r="RG52" s="18"/>
      <c r="RH52" s="18"/>
      <c r="RI52" s="18"/>
      <c r="RJ52" s="18"/>
      <c r="RK52" s="18"/>
      <c r="RL52" s="18"/>
      <c r="RM52" s="18"/>
      <c r="RN52" s="18"/>
      <c r="RO52" s="18"/>
      <c r="RP52" s="18"/>
      <c r="RQ52" s="18"/>
      <c r="RR52" s="18"/>
      <c r="RS52" s="18"/>
      <c r="RT52" s="18"/>
      <c r="RU52" s="18"/>
      <c r="RV52" s="18"/>
      <c r="RW52" s="18"/>
      <c r="RX52" s="18"/>
      <c r="RY52" s="18"/>
      <c r="RZ52" s="18"/>
      <c r="SA52" s="18"/>
      <c r="SB52" s="18"/>
      <c r="SC52" s="18"/>
      <c r="SD52" s="18"/>
      <c r="SE52" s="18"/>
      <c r="SF52" s="18"/>
      <c r="SG52" s="18"/>
      <c r="SH52" s="18"/>
      <c r="SI52" s="18"/>
      <c r="SJ52" s="18"/>
      <c r="SK52" s="18"/>
      <c r="SL52" s="18"/>
      <c r="SM52" s="18"/>
      <c r="SN52" s="18"/>
      <c r="SO52" s="18"/>
      <c r="SP52" s="18"/>
      <c r="SQ52" s="18"/>
      <c r="SR52" s="18"/>
      <c r="SS52" s="18"/>
      <c r="ST52" s="18"/>
      <c r="SU52" s="18"/>
      <c r="SV52" s="18"/>
      <c r="SW52" s="18"/>
      <c r="SX52" s="18"/>
      <c r="SY52" s="18"/>
      <c r="SZ52" s="18"/>
      <c r="TA52" s="18"/>
      <c r="TB52" s="18"/>
      <c r="TC52" s="18"/>
      <c r="TD52" s="18"/>
      <c r="TE52" s="18"/>
      <c r="TF52" s="18"/>
      <c r="TG52" s="18"/>
      <c r="TH52" s="18"/>
      <c r="TI52" s="18"/>
      <c r="TJ52" s="18"/>
      <c r="TK52" s="18"/>
      <c r="TL52" s="18"/>
      <c r="TM52" s="18"/>
      <c r="TN52" s="18"/>
      <c r="TO52" s="18"/>
      <c r="TP52" s="18"/>
      <c r="TQ52" s="18"/>
      <c r="TR52" s="18"/>
      <c r="TS52" s="18"/>
      <c r="TT52" s="18"/>
      <c r="TU52" s="18"/>
      <c r="TV52" s="18"/>
      <c r="TW52" s="18"/>
      <c r="TX52" s="18"/>
      <c r="TY52" s="18"/>
      <c r="TZ52" s="18"/>
      <c r="UA52" s="18"/>
      <c r="UB52" s="18"/>
      <c r="UC52" s="18"/>
      <c r="UD52" s="18"/>
      <c r="UE52" s="18"/>
      <c r="UF52" s="18"/>
      <c r="UG52" s="18"/>
      <c r="UH52" s="18"/>
      <c r="UI52" s="18"/>
      <c r="UJ52" s="18"/>
      <c r="UK52" s="18"/>
      <c r="UL52" s="18"/>
      <c r="UM52" s="18"/>
      <c r="UN52" s="18"/>
      <c r="UO52" s="18"/>
      <c r="UP52" s="18"/>
      <c r="UQ52" s="18"/>
      <c r="UR52" s="18"/>
      <c r="US52" s="18"/>
      <c r="UT52" s="18"/>
      <c r="UU52" s="18"/>
      <c r="UV52" s="18"/>
      <c r="UW52" s="18"/>
      <c r="UX52" s="18"/>
      <c r="UY52" s="18"/>
      <c r="UZ52" s="18"/>
      <c r="VA52" s="18"/>
      <c r="VB52" s="18"/>
      <c r="VC52" s="18"/>
      <c r="VD52" s="18"/>
      <c r="VE52" s="18"/>
      <c r="VF52" s="18"/>
      <c r="VG52" s="18"/>
      <c r="VH52" s="18"/>
      <c r="VI52" s="18"/>
      <c r="VJ52" s="18"/>
      <c r="VK52" s="18"/>
      <c r="VL52" s="18"/>
      <c r="VM52" s="18"/>
      <c r="VN52" s="18"/>
      <c r="VO52" s="18"/>
      <c r="VP52" s="18"/>
      <c r="VQ52" s="18"/>
      <c r="VR52" s="18"/>
      <c r="VS52" s="18"/>
      <c r="VT52" s="18"/>
      <c r="VU52" s="18"/>
      <c r="VV52" s="18"/>
      <c r="VW52" s="18"/>
      <c r="VX52" s="18"/>
      <c r="VY52" s="18"/>
      <c r="VZ52" s="18"/>
      <c r="WA52" s="18"/>
      <c r="WB52" s="18"/>
      <c r="WC52" s="18"/>
      <c r="WD52" s="18"/>
      <c r="WE52" s="18"/>
      <c r="WF52" s="18"/>
      <c r="WG52" s="18"/>
      <c r="WH52" s="18"/>
      <c r="WI52" s="18"/>
      <c r="WJ52" s="18"/>
      <c r="WK52" s="18"/>
      <c r="WL52" s="18"/>
      <c r="WM52" s="18"/>
      <c r="WN52" s="18"/>
      <c r="WO52" s="18"/>
      <c r="WP52" s="18"/>
      <c r="WQ52" s="18"/>
      <c r="WR52" s="18"/>
      <c r="WS52" s="18"/>
      <c r="WT52" s="18"/>
      <c r="WU52" s="18"/>
      <c r="WV52" s="18"/>
      <c r="WW52" s="18"/>
      <c r="WX52" s="18"/>
      <c r="WY52" s="18"/>
      <c r="WZ52" s="18"/>
      <c r="XA52" s="18"/>
      <c r="XB52" s="18"/>
      <c r="XC52" s="18"/>
      <c r="XD52" s="18"/>
      <c r="XE52" s="18"/>
      <c r="XF52" s="18"/>
      <c r="XG52" s="18"/>
      <c r="XH52" s="18"/>
      <c r="XI52" s="18"/>
      <c r="XJ52" s="18"/>
      <c r="XK52" s="18"/>
      <c r="XL52" s="18"/>
      <c r="XM52" s="18"/>
      <c r="XN52" s="18"/>
      <c r="XO52" s="18"/>
      <c r="XP52" s="18"/>
      <c r="XQ52" s="18"/>
      <c r="XR52" s="18"/>
      <c r="XS52" s="18"/>
      <c r="XT52" s="18"/>
      <c r="XU52" s="18"/>
      <c r="XV52" s="18"/>
      <c r="XW52" s="18"/>
      <c r="XX52" s="18"/>
      <c r="XY52" s="18"/>
      <c r="XZ52" s="18"/>
      <c r="YA52" s="18"/>
      <c r="YB52" s="18"/>
      <c r="YC52" s="18"/>
      <c r="YD52" s="18"/>
      <c r="YE52" s="18"/>
      <c r="YF52" s="18"/>
      <c r="YG52" s="18"/>
      <c r="YH52" s="18"/>
      <c r="YI52" s="18"/>
      <c r="YJ52" s="18"/>
      <c r="YK52" s="18"/>
      <c r="YL52" s="18"/>
      <c r="YM52" s="18"/>
      <c r="YN52" s="18"/>
      <c r="YO52" s="18"/>
      <c r="YP52" s="18"/>
      <c r="YQ52" s="18"/>
      <c r="YR52" s="18"/>
      <c r="YS52" s="18"/>
      <c r="YT52" s="18"/>
      <c r="YU52" s="18"/>
      <c r="YV52" s="18"/>
      <c r="YW52" s="18"/>
      <c r="YX52" s="18"/>
      <c r="YY52" s="18"/>
      <c r="YZ52" s="18"/>
      <c r="ZA52" s="18"/>
      <c r="ZB52" s="18"/>
      <c r="ZC52" s="18"/>
      <c r="ZD52" s="18"/>
      <c r="ZE52" s="18"/>
      <c r="ZF52" s="18"/>
      <c r="ZG52" s="18"/>
      <c r="ZH52" s="18"/>
      <c r="ZI52" s="18"/>
      <c r="ZJ52" s="18"/>
      <c r="ZK52" s="18"/>
      <c r="ZL52" s="18"/>
      <c r="ZM52" s="18"/>
      <c r="ZN52" s="18"/>
      <c r="ZO52" s="18"/>
      <c r="ZP52" s="18"/>
      <c r="ZQ52" s="18"/>
      <c r="ZR52" s="18"/>
      <c r="ZS52" s="18"/>
      <c r="ZT52" s="18"/>
      <c r="ZU52" s="18"/>
      <c r="ZV52" s="18"/>
      <c r="ZW52" s="18"/>
      <c r="ZX52" s="18"/>
      <c r="ZY52" s="18"/>
      <c r="ZZ52" s="18"/>
      <c r="AAA52" s="18"/>
      <c r="AAB52" s="18"/>
      <c r="AAC52" s="18"/>
      <c r="AAD52" s="18"/>
      <c r="AAE52" s="18"/>
      <c r="AAF52" s="18"/>
      <c r="AAG52" s="18"/>
      <c r="AAH52" s="18"/>
      <c r="AAI52" s="18"/>
      <c r="AAJ52" s="18"/>
      <c r="AAK52" s="18"/>
      <c r="AAL52" s="18"/>
      <c r="AAM52" s="18"/>
      <c r="AAN52" s="18"/>
      <c r="AAO52" s="18"/>
      <c r="AAP52" s="18"/>
      <c r="AAQ52" s="18"/>
      <c r="AAR52" s="18"/>
      <c r="AAS52" s="18"/>
      <c r="AAT52" s="18"/>
      <c r="AAU52" s="18"/>
      <c r="AAV52" s="18"/>
      <c r="AAW52" s="18"/>
      <c r="AAX52" s="18"/>
      <c r="AAY52" s="18"/>
      <c r="AAZ52" s="18"/>
      <c r="ABA52" s="18"/>
      <c r="ABB52" s="18"/>
      <c r="ABC52" s="18"/>
      <c r="ABD52" s="18"/>
      <c r="ABE52" s="18"/>
      <c r="ABF52" s="18"/>
      <c r="ABG52" s="18"/>
      <c r="ABH52" s="18"/>
      <c r="ABI52" s="18"/>
      <c r="ABJ52" s="18"/>
      <c r="ABK52" s="18"/>
      <c r="ABL52" s="18"/>
      <c r="ABM52" s="18"/>
      <c r="ABN52" s="18"/>
      <c r="ABO52" s="18"/>
      <c r="ABP52" s="18"/>
      <c r="ABQ52" s="18"/>
      <c r="ABR52" s="18"/>
      <c r="ABS52" s="18"/>
      <c r="ABT52" s="18"/>
      <c r="ABU52" s="18"/>
      <c r="ABV52" s="18"/>
      <c r="ABW52" s="18"/>
      <c r="ABX52" s="18"/>
      <c r="ABY52" s="18"/>
      <c r="ABZ52" s="18"/>
      <c r="ACA52" s="18"/>
      <c r="ACB52" s="18"/>
      <c r="ACC52" s="18"/>
      <c r="ACD52" s="18"/>
      <c r="ACE52" s="18"/>
      <c r="ACF52" s="18"/>
      <c r="ACG52" s="18"/>
      <c r="ACH52" s="18"/>
      <c r="ACI52" s="18"/>
      <c r="ACJ52" s="18"/>
      <c r="ACK52" s="18"/>
      <c r="ACL52" s="18"/>
      <c r="ACM52" s="18"/>
      <c r="ACN52" s="18"/>
      <c r="ACO52" s="18"/>
      <c r="ACP52" s="18"/>
      <c r="ACQ52" s="18"/>
      <c r="ACR52" s="18"/>
      <c r="ACS52" s="18"/>
      <c r="ACT52" s="18"/>
      <c r="ACU52" s="18"/>
      <c r="ACV52" s="18"/>
      <c r="ACW52" s="18"/>
      <c r="ACX52" s="18"/>
      <c r="ACY52" s="18"/>
      <c r="ACZ52" s="18"/>
      <c r="ADA52" s="18"/>
      <c r="ADB52" s="18"/>
      <c r="ADC52" s="18"/>
      <c r="ADD52" s="18"/>
      <c r="ADE52" s="18"/>
      <c r="ADF52" s="18"/>
      <c r="ADG52" s="18"/>
      <c r="ADH52" s="18"/>
      <c r="ADI52" s="18"/>
      <c r="ADJ52" s="18"/>
      <c r="ADK52" s="18"/>
      <c r="ADL52" s="18"/>
      <c r="ADM52" s="18"/>
      <c r="ADN52" s="18"/>
      <c r="ADO52" s="18"/>
      <c r="ADP52" s="18"/>
      <c r="ADQ52" s="18"/>
      <c r="ADR52" s="18"/>
      <c r="ADS52" s="18"/>
      <c r="ADT52" s="18"/>
      <c r="ADU52" s="18"/>
      <c r="ADV52" s="18"/>
      <c r="ADW52" s="18"/>
      <c r="ADX52" s="18"/>
      <c r="ADY52" s="18"/>
      <c r="ADZ52" s="18"/>
      <c r="AEA52" s="18"/>
      <c r="AEB52" s="18"/>
      <c r="AEC52" s="18"/>
      <c r="AED52" s="18"/>
      <c r="AEE52" s="18"/>
      <c r="AEF52" s="18"/>
      <c r="AEG52" s="18"/>
      <c r="AEH52" s="18"/>
      <c r="AEI52" s="18"/>
      <c r="AEJ52" s="18"/>
      <c r="AEK52" s="18"/>
      <c r="AEL52" s="18"/>
      <c r="AEM52" s="18"/>
      <c r="AEN52" s="18"/>
      <c r="AEO52" s="18"/>
      <c r="AEP52" s="18"/>
      <c r="AEQ52" s="18"/>
      <c r="AER52" s="18"/>
      <c r="AES52" s="18"/>
      <c r="AET52" s="18"/>
      <c r="AEU52" s="18"/>
      <c r="AEV52" s="18"/>
      <c r="AEW52" s="18"/>
      <c r="AEX52" s="18"/>
      <c r="AEY52" s="18"/>
      <c r="AEZ52" s="18"/>
      <c r="AFA52" s="18"/>
      <c r="AFB52" s="18"/>
      <c r="AFC52" s="18"/>
      <c r="AFD52" s="18"/>
      <c r="AFE52" s="18"/>
      <c r="AFF52" s="18"/>
      <c r="AFG52" s="18"/>
      <c r="AFH52" s="18"/>
      <c r="AFI52" s="18"/>
      <c r="AFJ52" s="18"/>
      <c r="AFK52" s="18"/>
      <c r="AFL52" s="18"/>
      <c r="AFM52" s="18"/>
      <c r="AFN52" s="18"/>
      <c r="AFO52" s="18"/>
      <c r="AFP52" s="18"/>
      <c r="AFQ52" s="18"/>
      <c r="AFR52" s="18"/>
      <c r="AFS52" s="18"/>
      <c r="AFT52" s="18"/>
      <c r="AFU52" s="18"/>
      <c r="AFV52" s="18"/>
      <c r="AFW52" s="18"/>
      <c r="AFX52" s="18"/>
      <c r="AFY52" s="18"/>
      <c r="AFZ52" s="18"/>
      <c r="AGA52" s="18"/>
      <c r="AGB52" s="18"/>
      <c r="AGC52" s="18"/>
      <c r="AGD52" s="18"/>
      <c r="AGE52" s="18"/>
      <c r="AGF52" s="18"/>
      <c r="AGG52" s="18"/>
      <c r="AGH52" s="18"/>
      <c r="AGI52" s="18"/>
      <c r="AGJ52" s="18"/>
      <c r="AGK52" s="18"/>
      <c r="AGL52" s="18"/>
      <c r="AGM52" s="18"/>
      <c r="AGN52" s="18"/>
      <c r="AGO52" s="18"/>
      <c r="AGP52" s="18"/>
      <c r="AGQ52" s="18"/>
      <c r="AGR52" s="18"/>
      <c r="AGS52" s="18"/>
      <c r="AGT52" s="18"/>
      <c r="AGU52" s="18"/>
      <c r="AGV52" s="18"/>
      <c r="AGW52" s="18"/>
      <c r="AGX52" s="18"/>
      <c r="AGY52" s="18"/>
      <c r="AGZ52" s="18"/>
      <c r="AHA52" s="18"/>
      <c r="AHB52" s="18"/>
      <c r="AHC52" s="18"/>
      <c r="AHD52" s="18"/>
      <c r="AHE52" s="18"/>
      <c r="AHF52" s="18"/>
      <c r="AHG52" s="18"/>
      <c r="AHH52" s="18"/>
      <c r="AHI52" s="18"/>
      <c r="AHJ52" s="18"/>
      <c r="AHK52" s="18"/>
      <c r="AHL52" s="18"/>
      <c r="AHM52" s="18"/>
      <c r="AHN52" s="18"/>
      <c r="AHO52" s="18"/>
      <c r="AHP52" s="18"/>
      <c r="AHQ52" s="18"/>
      <c r="AHR52" s="18"/>
      <c r="AHS52" s="18"/>
      <c r="AHT52" s="18"/>
      <c r="AHU52" s="18"/>
      <c r="AHV52" s="18"/>
      <c r="AHW52" s="18"/>
      <c r="AHX52" s="18"/>
      <c r="AHY52" s="18"/>
      <c r="AHZ52" s="18"/>
      <c r="AIA52" s="18"/>
      <c r="AIB52" s="18"/>
      <c r="AIC52" s="18"/>
      <c r="AID52" s="18"/>
      <c r="AIE52" s="18"/>
      <c r="AIF52" s="18"/>
      <c r="AIG52" s="18"/>
      <c r="AIH52" s="18"/>
      <c r="AII52" s="18"/>
      <c r="AIJ52" s="18"/>
      <c r="AIK52" s="18"/>
      <c r="AIL52" s="18"/>
      <c r="AIM52" s="18"/>
      <c r="AIN52" s="18"/>
      <c r="AIO52" s="18"/>
      <c r="AIP52" s="18"/>
      <c r="AIQ52" s="18"/>
      <c r="AIR52" s="18"/>
      <c r="AIS52" s="18"/>
      <c r="AIT52" s="18"/>
      <c r="AIU52" s="18"/>
      <c r="AIV52" s="18"/>
      <c r="AIW52" s="18"/>
      <c r="AIX52" s="18"/>
      <c r="AIY52" s="18"/>
      <c r="AIZ52" s="18"/>
      <c r="AJA52" s="18"/>
      <c r="AJB52" s="18"/>
      <c r="AJC52" s="18"/>
      <c r="AJD52" s="18"/>
      <c r="AJE52" s="18"/>
      <c r="AJF52" s="18"/>
      <c r="AJG52" s="18"/>
      <c r="AJH52" s="18"/>
      <c r="AJI52" s="18"/>
      <c r="AJJ52" s="18"/>
      <c r="AJK52" s="18"/>
      <c r="AJL52" s="18"/>
      <c r="AJM52" s="18"/>
      <c r="AJN52" s="18"/>
      <c r="AJO52" s="18"/>
      <c r="AJP52" s="18"/>
      <c r="AJQ52" s="18"/>
      <c r="AJR52" s="18"/>
      <c r="AJS52" s="18"/>
      <c r="AJT52" s="18"/>
      <c r="AJU52" s="18"/>
      <c r="AJV52" s="18"/>
      <c r="AJW52" s="18"/>
      <c r="AJX52" s="18"/>
      <c r="AJY52" s="18"/>
      <c r="AJZ52" s="18"/>
      <c r="AKA52" s="18"/>
      <c r="AKB52" s="18"/>
      <c r="AKC52" s="18"/>
      <c r="AKD52" s="18"/>
      <c r="AKE52" s="18"/>
      <c r="AKF52" s="18"/>
      <c r="AKG52" s="18"/>
      <c r="AKH52" s="18"/>
      <c r="AKI52" s="18"/>
      <c r="AKJ52" s="18"/>
      <c r="AKK52" s="18"/>
      <c r="AKL52" s="18"/>
      <c r="AKM52" s="18"/>
      <c r="AKN52" s="18"/>
      <c r="AKO52" s="18"/>
      <c r="AKP52" s="18"/>
      <c r="AKQ52" s="18"/>
      <c r="AKR52" s="18"/>
      <c r="AKS52" s="18"/>
      <c r="AKT52" s="18"/>
      <c r="AKU52" s="18"/>
      <c r="AKV52" s="18"/>
      <c r="AKW52" s="18"/>
      <c r="AKX52" s="18"/>
      <c r="AKY52" s="18"/>
      <c r="AKZ52" s="18"/>
      <c r="ALA52" s="18"/>
      <c r="ALB52" s="18"/>
      <c r="ALC52" s="18"/>
      <c r="ALD52" s="18"/>
      <c r="ALE52" s="18"/>
      <c r="ALF52" s="18"/>
      <c r="ALG52" s="18"/>
      <c r="ALH52" s="18"/>
      <c r="ALI52" s="18"/>
      <c r="ALJ52" s="18"/>
      <c r="ALK52" s="18"/>
      <c r="ALL52" s="18"/>
      <c r="ALM52" s="18"/>
      <c r="ALN52" s="18"/>
      <c r="ALO52" s="18"/>
      <c r="ALP52" s="18"/>
      <c r="ALQ52" s="18"/>
      <c r="ALR52" s="18"/>
      <c r="ALS52" s="18"/>
      <c r="ALT52" s="18"/>
      <c r="ALU52" s="18"/>
      <c r="ALV52" s="18"/>
      <c r="ALW52" s="18"/>
      <c r="ALX52" s="18"/>
      <c r="ALY52" s="18"/>
      <c r="ALZ52" s="18"/>
      <c r="AMA52" s="18"/>
      <c r="AMB52" s="18"/>
      <c r="AMC52" s="18"/>
      <c r="AMD52" s="18"/>
      <c r="AME52" s="18"/>
      <c r="AMF52" s="18"/>
      <c r="AMG52" s="18"/>
      <c r="AMH52" s="18"/>
    </row>
    <row r="53" spans="1:1022" s="23" customFormat="1" x14ac:dyDescent="0.3">
      <c r="A53" s="33">
        <v>149</v>
      </c>
      <c r="B53" s="19"/>
      <c r="C53" s="19"/>
      <c r="D53" s="57" t="s">
        <v>324</v>
      </c>
      <c r="E53" s="34" t="s">
        <v>475</v>
      </c>
      <c r="F53" s="39"/>
      <c r="G53" s="39"/>
      <c r="H53" s="38" t="s">
        <v>281</v>
      </c>
      <c r="I53" s="40"/>
      <c r="J53" s="40"/>
      <c r="K53" s="31"/>
      <c r="L53" s="40"/>
      <c r="M53" s="41"/>
      <c r="N53" s="32"/>
      <c r="O53" s="18"/>
      <c r="P53" s="36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8"/>
      <c r="CT53" s="18"/>
      <c r="CU53" s="18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8"/>
      <c r="FW53" s="18"/>
      <c r="FX53" s="18"/>
      <c r="FY53" s="18"/>
      <c r="FZ53" s="18"/>
      <c r="GA53" s="18"/>
      <c r="GB53" s="18"/>
      <c r="GC53" s="18"/>
      <c r="GD53" s="18"/>
      <c r="GE53" s="18"/>
      <c r="GF53" s="18"/>
      <c r="GG53" s="18"/>
      <c r="GH53" s="18"/>
      <c r="GI53" s="18"/>
      <c r="GJ53" s="18"/>
      <c r="GK53" s="18"/>
      <c r="GL53" s="18"/>
      <c r="GM53" s="18"/>
      <c r="GN53" s="18"/>
      <c r="GO53" s="18"/>
      <c r="GP53" s="18"/>
      <c r="GQ53" s="18"/>
      <c r="GR53" s="18"/>
      <c r="GS53" s="18"/>
      <c r="GT53" s="18"/>
      <c r="GU53" s="18"/>
      <c r="GV53" s="18"/>
      <c r="GW53" s="18"/>
      <c r="GX53" s="18"/>
      <c r="GY53" s="18"/>
      <c r="GZ53" s="18"/>
      <c r="HA53" s="18"/>
      <c r="HB53" s="18"/>
      <c r="HC53" s="18"/>
      <c r="HD53" s="18"/>
      <c r="HE53" s="18"/>
      <c r="HF53" s="18"/>
      <c r="HG53" s="18"/>
      <c r="HH53" s="18"/>
      <c r="HI53" s="18"/>
      <c r="HJ53" s="18"/>
      <c r="HK53" s="18"/>
      <c r="HL53" s="18"/>
      <c r="HM53" s="18"/>
      <c r="HN53" s="18"/>
      <c r="HO53" s="18"/>
      <c r="HP53" s="18"/>
      <c r="HQ53" s="18"/>
      <c r="HR53" s="18"/>
      <c r="HS53" s="18"/>
      <c r="HT53" s="18"/>
      <c r="HU53" s="18"/>
      <c r="HV53" s="18"/>
      <c r="HW53" s="18"/>
      <c r="HX53" s="18"/>
      <c r="HY53" s="18"/>
      <c r="HZ53" s="18"/>
      <c r="IA53" s="18"/>
      <c r="IB53" s="18"/>
      <c r="IC53" s="18"/>
      <c r="ID53" s="18"/>
      <c r="IE53" s="18"/>
      <c r="IF53" s="18"/>
      <c r="IG53" s="18"/>
      <c r="IH53" s="18"/>
      <c r="II53" s="18"/>
      <c r="IJ53" s="18"/>
      <c r="IK53" s="18"/>
      <c r="IL53" s="18"/>
      <c r="IM53" s="18"/>
      <c r="IN53" s="18"/>
      <c r="IO53" s="18"/>
      <c r="IP53" s="18"/>
      <c r="IQ53" s="18"/>
      <c r="IR53" s="18"/>
      <c r="IS53" s="18"/>
      <c r="IT53" s="18"/>
      <c r="IU53" s="18"/>
      <c r="IV53" s="18"/>
      <c r="IW53" s="18"/>
      <c r="IX53" s="18"/>
      <c r="IY53" s="18"/>
      <c r="IZ53" s="18"/>
      <c r="JA53" s="18"/>
      <c r="JB53" s="18"/>
      <c r="JC53" s="18"/>
      <c r="JD53" s="18"/>
      <c r="JE53" s="18"/>
      <c r="JF53" s="18"/>
      <c r="JG53" s="18"/>
      <c r="JH53" s="18"/>
      <c r="JI53" s="18"/>
      <c r="JJ53" s="18"/>
      <c r="JK53" s="18"/>
      <c r="JL53" s="18"/>
      <c r="JM53" s="18"/>
      <c r="JN53" s="18"/>
      <c r="JO53" s="18"/>
      <c r="JP53" s="18"/>
      <c r="JQ53" s="18"/>
      <c r="JR53" s="18"/>
      <c r="JS53" s="18"/>
      <c r="JT53" s="18"/>
      <c r="JU53" s="18"/>
      <c r="JV53" s="18"/>
      <c r="JW53" s="18"/>
      <c r="JX53" s="18"/>
      <c r="JY53" s="18"/>
      <c r="JZ53" s="18"/>
      <c r="KA53" s="18"/>
      <c r="KB53" s="18"/>
      <c r="KC53" s="18"/>
      <c r="KD53" s="18"/>
      <c r="KE53" s="18"/>
      <c r="KF53" s="18"/>
      <c r="KG53" s="18"/>
      <c r="KH53" s="18"/>
      <c r="KI53" s="18"/>
      <c r="KJ53" s="18"/>
      <c r="KK53" s="18"/>
      <c r="KL53" s="18"/>
      <c r="KM53" s="18"/>
      <c r="KN53" s="18"/>
      <c r="KO53" s="18"/>
      <c r="KP53" s="18"/>
      <c r="KQ53" s="18"/>
      <c r="KR53" s="18"/>
      <c r="KS53" s="18"/>
      <c r="KT53" s="18"/>
      <c r="KU53" s="18"/>
      <c r="KV53" s="18"/>
      <c r="KW53" s="18"/>
      <c r="KX53" s="18"/>
      <c r="KY53" s="18"/>
      <c r="KZ53" s="18"/>
      <c r="LA53" s="18"/>
      <c r="LB53" s="18"/>
      <c r="LC53" s="18"/>
      <c r="LD53" s="18"/>
      <c r="LE53" s="18"/>
      <c r="LF53" s="18"/>
      <c r="LG53" s="18"/>
      <c r="LH53" s="18"/>
      <c r="LI53" s="18"/>
      <c r="LJ53" s="18"/>
      <c r="LK53" s="18"/>
      <c r="LL53" s="18"/>
      <c r="LM53" s="18"/>
      <c r="LN53" s="18"/>
      <c r="LO53" s="18"/>
      <c r="LP53" s="18"/>
      <c r="LQ53" s="18"/>
      <c r="LR53" s="18"/>
      <c r="LS53" s="18"/>
      <c r="LT53" s="18"/>
      <c r="LU53" s="18"/>
      <c r="LV53" s="18"/>
      <c r="LW53" s="18"/>
      <c r="LX53" s="18"/>
      <c r="LY53" s="18"/>
      <c r="LZ53" s="18"/>
      <c r="MA53" s="18"/>
      <c r="MB53" s="18"/>
      <c r="MC53" s="18"/>
      <c r="MD53" s="18"/>
      <c r="ME53" s="18"/>
      <c r="MF53" s="18"/>
      <c r="MG53" s="18"/>
      <c r="MH53" s="18"/>
      <c r="MI53" s="18"/>
      <c r="MJ53" s="18"/>
      <c r="MK53" s="18"/>
      <c r="ML53" s="18"/>
      <c r="MM53" s="18"/>
      <c r="MN53" s="18"/>
      <c r="MO53" s="18"/>
      <c r="MP53" s="18"/>
      <c r="MQ53" s="18"/>
      <c r="MR53" s="18"/>
      <c r="MS53" s="18"/>
      <c r="MT53" s="18"/>
      <c r="MU53" s="18"/>
      <c r="MV53" s="18"/>
      <c r="MW53" s="18"/>
      <c r="MX53" s="18"/>
      <c r="MY53" s="18"/>
      <c r="MZ53" s="18"/>
      <c r="NA53" s="18"/>
      <c r="NB53" s="18"/>
      <c r="NC53" s="18"/>
      <c r="ND53" s="18"/>
      <c r="NE53" s="18"/>
      <c r="NF53" s="18"/>
      <c r="NG53" s="18"/>
      <c r="NH53" s="18"/>
      <c r="NI53" s="18"/>
      <c r="NJ53" s="18"/>
      <c r="NK53" s="18"/>
      <c r="NL53" s="18"/>
      <c r="NM53" s="18"/>
      <c r="NN53" s="18"/>
      <c r="NO53" s="18"/>
      <c r="NP53" s="18"/>
      <c r="NQ53" s="18"/>
      <c r="NR53" s="18"/>
      <c r="NS53" s="18"/>
      <c r="NT53" s="18"/>
      <c r="NU53" s="18"/>
      <c r="NV53" s="18"/>
      <c r="NW53" s="18"/>
      <c r="NX53" s="18"/>
      <c r="NY53" s="18"/>
      <c r="NZ53" s="18"/>
      <c r="OA53" s="18"/>
      <c r="OB53" s="18"/>
      <c r="OC53" s="18"/>
      <c r="OD53" s="18"/>
      <c r="OE53" s="18"/>
      <c r="OF53" s="18"/>
      <c r="OG53" s="18"/>
      <c r="OH53" s="18"/>
      <c r="OI53" s="18"/>
      <c r="OJ53" s="18"/>
      <c r="OK53" s="18"/>
      <c r="OL53" s="18"/>
      <c r="OM53" s="18"/>
      <c r="ON53" s="18"/>
      <c r="OO53" s="18"/>
      <c r="OP53" s="18"/>
      <c r="OQ53" s="18"/>
      <c r="OR53" s="18"/>
      <c r="OS53" s="18"/>
      <c r="OT53" s="18"/>
      <c r="OU53" s="18"/>
      <c r="OV53" s="18"/>
      <c r="OW53" s="18"/>
      <c r="OX53" s="18"/>
      <c r="OY53" s="18"/>
      <c r="OZ53" s="18"/>
      <c r="PA53" s="18"/>
      <c r="PB53" s="18"/>
      <c r="PC53" s="18"/>
      <c r="PD53" s="18"/>
      <c r="PE53" s="18"/>
      <c r="PF53" s="18"/>
      <c r="PG53" s="18"/>
      <c r="PH53" s="18"/>
      <c r="PI53" s="18"/>
      <c r="PJ53" s="18"/>
      <c r="PK53" s="18"/>
      <c r="PL53" s="18"/>
      <c r="PM53" s="18"/>
      <c r="PN53" s="18"/>
      <c r="PO53" s="18"/>
      <c r="PP53" s="18"/>
      <c r="PQ53" s="18"/>
      <c r="PR53" s="18"/>
      <c r="PS53" s="18"/>
      <c r="PT53" s="18"/>
      <c r="PU53" s="18"/>
      <c r="PV53" s="18"/>
      <c r="PW53" s="18"/>
      <c r="PX53" s="18"/>
      <c r="PY53" s="18"/>
      <c r="PZ53" s="18"/>
      <c r="QA53" s="18"/>
      <c r="QB53" s="18"/>
      <c r="QC53" s="18"/>
      <c r="QD53" s="18"/>
      <c r="QE53" s="18"/>
      <c r="QF53" s="18"/>
      <c r="QG53" s="18"/>
      <c r="QH53" s="18"/>
      <c r="QI53" s="18"/>
      <c r="QJ53" s="18"/>
      <c r="QK53" s="18"/>
      <c r="QL53" s="18"/>
      <c r="QM53" s="18"/>
      <c r="QN53" s="18"/>
      <c r="QO53" s="18"/>
      <c r="QP53" s="18"/>
      <c r="QQ53" s="18"/>
      <c r="QR53" s="18"/>
      <c r="QS53" s="18"/>
      <c r="QT53" s="18"/>
      <c r="QU53" s="18"/>
      <c r="QV53" s="18"/>
      <c r="QW53" s="18"/>
      <c r="QX53" s="18"/>
      <c r="QY53" s="18"/>
      <c r="QZ53" s="18"/>
      <c r="RA53" s="18"/>
      <c r="RB53" s="18"/>
      <c r="RC53" s="18"/>
      <c r="RD53" s="18"/>
      <c r="RE53" s="18"/>
      <c r="RF53" s="18"/>
      <c r="RG53" s="18"/>
      <c r="RH53" s="18"/>
      <c r="RI53" s="18"/>
      <c r="RJ53" s="18"/>
      <c r="RK53" s="18"/>
      <c r="RL53" s="18"/>
      <c r="RM53" s="18"/>
      <c r="RN53" s="18"/>
      <c r="RO53" s="18"/>
      <c r="RP53" s="18"/>
      <c r="RQ53" s="18"/>
      <c r="RR53" s="18"/>
      <c r="RS53" s="18"/>
      <c r="RT53" s="18"/>
      <c r="RU53" s="18"/>
      <c r="RV53" s="18"/>
      <c r="RW53" s="18"/>
      <c r="RX53" s="18"/>
      <c r="RY53" s="18"/>
      <c r="RZ53" s="18"/>
      <c r="SA53" s="18"/>
      <c r="SB53" s="18"/>
      <c r="SC53" s="18"/>
      <c r="SD53" s="18"/>
      <c r="SE53" s="18"/>
      <c r="SF53" s="18"/>
      <c r="SG53" s="18"/>
      <c r="SH53" s="18"/>
      <c r="SI53" s="18"/>
      <c r="SJ53" s="18"/>
      <c r="SK53" s="18"/>
      <c r="SL53" s="18"/>
      <c r="SM53" s="18"/>
      <c r="SN53" s="18"/>
      <c r="SO53" s="18"/>
      <c r="SP53" s="18"/>
      <c r="SQ53" s="18"/>
      <c r="SR53" s="18"/>
      <c r="SS53" s="18"/>
      <c r="ST53" s="18"/>
      <c r="SU53" s="18"/>
      <c r="SV53" s="18"/>
      <c r="SW53" s="18"/>
      <c r="SX53" s="18"/>
      <c r="SY53" s="18"/>
      <c r="SZ53" s="18"/>
      <c r="TA53" s="18"/>
      <c r="TB53" s="18"/>
      <c r="TC53" s="18"/>
      <c r="TD53" s="18"/>
      <c r="TE53" s="18"/>
      <c r="TF53" s="18"/>
      <c r="TG53" s="18"/>
      <c r="TH53" s="18"/>
      <c r="TI53" s="18"/>
      <c r="TJ53" s="18"/>
      <c r="TK53" s="18"/>
      <c r="TL53" s="18"/>
      <c r="TM53" s="18"/>
      <c r="TN53" s="18"/>
      <c r="TO53" s="18"/>
      <c r="TP53" s="18"/>
      <c r="TQ53" s="18"/>
      <c r="TR53" s="18"/>
      <c r="TS53" s="18"/>
      <c r="TT53" s="18"/>
      <c r="TU53" s="18"/>
      <c r="TV53" s="18"/>
      <c r="TW53" s="18"/>
      <c r="TX53" s="18"/>
      <c r="TY53" s="18"/>
      <c r="TZ53" s="18"/>
      <c r="UA53" s="18"/>
      <c r="UB53" s="18"/>
      <c r="UC53" s="18"/>
      <c r="UD53" s="18"/>
      <c r="UE53" s="18"/>
      <c r="UF53" s="18"/>
      <c r="UG53" s="18"/>
      <c r="UH53" s="18"/>
      <c r="UI53" s="18"/>
      <c r="UJ53" s="18"/>
      <c r="UK53" s="18"/>
      <c r="UL53" s="18"/>
      <c r="UM53" s="18"/>
      <c r="UN53" s="18"/>
      <c r="UO53" s="18"/>
      <c r="UP53" s="18"/>
      <c r="UQ53" s="18"/>
      <c r="UR53" s="18"/>
      <c r="US53" s="18"/>
      <c r="UT53" s="18"/>
      <c r="UU53" s="18"/>
      <c r="UV53" s="18"/>
      <c r="UW53" s="18"/>
      <c r="UX53" s="18"/>
      <c r="UY53" s="18"/>
      <c r="UZ53" s="18"/>
      <c r="VA53" s="18"/>
      <c r="VB53" s="18"/>
      <c r="VC53" s="18"/>
      <c r="VD53" s="18"/>
      <c r="VE53" s="18"/>
      <c r="VF53" s="18"/>
      <c r="VG53" s="18"/>
      <c r="VH53" s="18"/>
      <c r="VI53" s="18"/>
      <c r="VJ53" s="18"/>
      <c r="VK53" s="18"/>
      <c r="VL53" s="18"/>
      <c r="VM53" s="18"/>
      <c r="VN53" s="18"/>
      <c r="VO53" s="18"/>
      <c r="VP53" s="18"/>
      <c r="VQ53" s="18"/>
      <c r="VR53" s="18"/>
      <c r="VS53" s="18"/>
      <c r="VT53" s="18"/>
      <c r="VU53" s="18"/>
      <c r="VV53" s="18"/>
      <c r="VW53" s="18"/>
      <c r="VX53" s="18"/>
      <c r="VY53" s="18"/>
      <c r="VZ53" s="18"/>
      <c r="WA53" s="18"/>
      <c r="WB53" s="18"/>
      <c r="WC53" s="18"/>
      <c r="WD53" s="18"/>
      <c r="WE53" s="18"/>
      <c r="WF53" s="18"/>
      <c r="WG53" s="18"/>
      <c r="WH53" s="18"/>
      <c r="WI53" s="18"/>
      <c r="WJ53" s="18"/>
      <c r="WK53" s="18"/>
      <c r="WL53" s="18"/>
      <c r="WM53" s="18"/>
      <c r="WN53" s="18"/>
      <c r="WO53" s="18"/>
      <c r="WP53" s="18"/>
      <c r="WQ53" s="18"/>
      <c r="WR53" s="18"/>
      <c r="WS53" s="18"/>
      <c r="WT53" s="18"/>
      <c r="WU53" s="18"/>
      <c r="WV53" s="18"/>
      <c r="WW53" s="18"/>
      <c r="WX53" s="18"/>
      <c r="WY53" s="18"/>
      <c r="WZ53" s="18"/>
      <c r="XA53" s="18"/>
      <c r="XB53" s="18"/>
      <c r="XC53" s="18"/>
      <c r="XD53" s="18"/>
      <c r="XE53" s="18"/>
      <c r="XF53" s="18"/>
      <c r="XG53" s="18"/>
      <c r="XH53" s="18"/>
      <c r="XI53" s="18"/>
      <c r="XJ53" s="18"/>
      <c r="XK53" s="18"/>
      <c r="XL53" s="18"/>
      <c r="XM53" s="18"/>
      <c r="XN53" s="18"/>
      <c r="XO53" s="18"/>
      <c r="XP53" s="18"/>
      <c r="XQ53" s="18"/>
      <c r="XR53" s="18"/>
      <c r="XS53" s="18"/>
      <c r="XT53" s="18"/>
      <c r="XU53" s="18"/>
      <c r="XV53" s="18"/>
      <c r="XW53" s="18"/>
      <c r="XX53" s="18"/>
      <c r="XY53" s="18"/>
      <c r="XZ53" s="18"/>
      <c r="YA53" s="18"/>
      <c r="YB53" s="18"/>
      <c r="YC53" s="18"/>
      <c r="YD53" s="18"/>
      <c r="YE53" s="18"/>
      <c r="YF53" s="18"/>
      <c r="YG53" s="18"/>
      <c r="YH53" s="18"/>
      <c r="YI53" s="18"/>
      <c r="YJ53" s="18"/>
      <c r="YK53" s="18"/>
      <c r="YL53" s="18"/>
      <c r="YM53" s="18"/>
      <c r="YN53" s="18"/>
      <c r="YO53" s="18"/>
      <c r="YP53" s="18"/>
      <c r="YQ53" s="18"/>
      <c r="YR53" s="18"/>
      <c r="YS53" s="18"/>
      <c r="YT53" s="18"/>
      <c r="YU53" s="18"/>
      <c r="YV53" s="18"/>
      <c r="YW53" s="18"/>
      <c r="YX53" s="18"/>
      <c r="YY53" s="18"/>
      <c r="YZ53" s="18"/>
      <c r="ZA53" s="18"/>
      <c r="ZB53" s="18"/>
      <c r="ZC53" s="18"/>
      <c r="ZD53" s="18"/>
      <c r="ZE53" s="18"/>
      <c r="ZF53" s="18"/>
      <c r="ZG53" s="18"/>
      <c r="ZH53" s="18"/>
      <c r="ZI53" s="18"/>
      <c r="ZJ53" s="18"/>
      <c r="ZK53" s="18"/>
      <c r="ZL53" s="18"/>
      <c r="ZM53" s="18"/>
      <c r="ZN53" s="18"/>
      <c r="ZO53" s="18"/>
      <c r="ZP53" s="18"/>
      <c r="ZQ53" s="18"/>
      <c r="ZR53" s="18"/>
      <c r="ZS53" s="18"/>
      <c r="ZT53" s="18"/>
      <c r="ZU53" s="18"/>
      <c r="ZV53" s="18"/>
      <c r="ZW53" s="18"/>
      <c r="ZX53" s="18"/>
      <c r="ZY53" s="18"/>
      <c r="ZZ53" s="18"/>
      <c r="AAA53" s="18"/>
      <c r="AAB53" s="18"/>
      <c r="AAC53" s="18"/>
      <c r="AAD53" s="18"/>
      <c r="AAE53" s="18"/>
      <c r="AAF53" s="18"/>
      <c r="AAG53" s="18"/>
      <c r="AAH53" s="18"/>
      <c r="AAI53" s="18"/>
      <c r="AAJ53" s="18"/>
      <c r="AAK53" s="18"/>
      <c r="AAL53" s="18"/>
      <c r="AAM53" s="18"/>
      <c r="AAN53" s="18"/>
      <c r="AAO53" s="18"/>
      <c r="AAP53" s="18"/>
      <c r="AAQ53" s="18"/>
      <c r="AAR53" s="18"/>
      <c r="AAS53" s="18"/>
      <c r="AAT53" s="18"/>
      <c r="AAU53" s="18"/>
      <c r="AAV53" s="18"/>
      <c r="AAW53" s="18"/>
      <c r="AAX53" s="18"/>
      <c r="AAY53" s="18"/>
      <c r="AAZ53" s="18"/>
      <c r="ABA53" s="18"/>
      <c r="ABB53" s="18"/>
      <c r="ABC53" s="18"/>
      <c r="ABD53" s="18"/>
      <c r="ABE53" s="18"/>
      <c r="ABF53" s="18"/>
      <c r="ABG53" s="18"/>
      <c r="ABH53" s="18"/>
      <c r="ABI53" s="18"/>
      <c r="ABJ53" s="18"/>
      <c r="ABK53" s="18"/>
      <c r="ABL53" s="18"/>
      <c r="ABM53" s="18"/>
      <c r="ABN53" s="18"/>
      <c r="ABO53" s="18"/>
      <c r="ABP53" s="18"/>
      <c r="ABQ53" s="18"/>
      <c r="ABR53" s="18"/>
      <c r="ABS53" s="18"/>
      <c r="ABT53" s="18"/>
      <c r="ABU53" s="18"/>
      <c r="ABV53" s="18"/>
      <c r="ABW53" s="18"/>
      <c r="ABX53" s="18"/>
      <c r="ABY53" s="18"/>
      <c r="ABZ53" s="18"/>
      <c r="ACA53" s="18"/>
      <c r="ACB53" s="18"/>
      <c r="ACC53" s="18"/>
      <c r="ACD53" s="18"/>
      <c r="ACE53" s="18"/>
      <c r="ACF53" s="18"/>
      <c r="ACG53" s="18"/>
      <c r="ACH53" s="18"/>
      <c r="ACI53" s="18"/>
      <c r="ACJ53" s="18"/>
      <c r="ACK53" s="18"/>
      <c r="ACL53" s="18"/>
      <c r="ACM53" s="18"/>
      <c r="ACN53" s="18"/>
      <c r="ACO53" s="18"/>
      <c r="ACP53" s="18"/>
      <c r="ACQ53" s="18"/>
      <c r="ACR53" s="18"/>
      <c r="ACS53" s="18"/>
      <c r="ACT53" s="18"/>
      <c r="ACU53" s="18"/>
      <c r="ACV53" s="18"/>
      <c r="ACW53" s="18"/>
      <c r="ACX53" s="18"/>
      <c r="ACY53" s="18"/>
      <c r="ACZ53" s="18"/>
      <c r="ADA53" s="18"/>
      <c r="ADB53" s="18"/>
      <c r="ADC53" s="18"/>
      <c r="ADD53" s="18"/>
      <c r="ADE53" s="18"/>
      <c r="ADF53" s="18"/>
      <c r="ADG53" s="18"/>
      <c r="ADH53" s="18"/>
      <c r="ADI53" s="18"/>
      <c r="ADJ53" s="18"/>
      <c r="ADK53" s="18"/>
      <c r="ADL53" s="18"/>
      <c r="ADM53" s="18"/>
      <c r="ADN53" s="18"/>
      <c r="ADO53" s="18"/>
      <c r="ADP53" s="18"/>
      <c r="ADQ53" s="18"/>
      <c r="ADR53" s="18"/>
      <c r="ADS53" s="18"/>
      <c r="ADT53" s="18"/>
      <c r="ADU53" s="18"/>
      <c r="ADV53" s="18"/>
      <c r="ADW53" s="18"/>
      <c r="ADX53" s="18"/>
      <c r="ADY53" s="18"/>
      <c r="ADZ53" s="18"/>
      <c r="AEA53" s="18"/>
      <c r="AEB53" s="18"/>
      <c r="AEC53" s="18"/>
      <c r="AED53" s="18"/>
      <c r="AEE53" s="18"/>
      <c r="AEF53" s="18"/>
      <c r="AEG53" s="18"/>
      <c r="AEH53" s="18"/>
      <c r="AEI53" s="18"/>
      <c r="AEJ53" s="18"/>
      <c r="AEK53" s="18"/>
      <c r="AEL53" s="18"/>
      <c r="AEM53" s="18"/>
      <c r="AEN53" s="18"/>
      <c r="AEO53" s="18"/>
      <c r="AEP53" s="18"/>
      <c r="AEQ53" s="18"/>
      <c r="AER53" s="18"/>
      <c r="AES53" s="18"/>
      <c r="AET53" s="18"/>
      <c r="AEU53" s="18"/>
      <c r="AEV53" s="18"/>
      <c r="AEW53" s="18"/>
      <c r="AEX53" s="18"/>
      <c r="AEY53" s="18"/>
      <c r="AEZ53" s="18"/>
      <c r="AFA53" s="18"/>
      <c r="AFB53" s="18"/>
      <c r="AFC53" s="18"/>
      <c r="AFD53" s="18"/>
      <c r="AFE53" s="18"/>
      <c r="AFF53" s="18"/>
      <c r="AFG53" s="18"/>
      <c r="AFH53" s="18"/>
      <c r="AFI53" s="18"/>
      <c r="AFJ53" s="18"/>
      <c r="AFK53" s="18"/>
      <c r="AFL53" s="18"/>
      <c r="AFM53" s="18"/>
      <c r="AFN53" s="18"/>
      <c r="AFO53" s="18"/>
      <c r="AFP53" s="18"/>
      <c r="AFQ53" s="18"/>
      <c r="AFR53" s="18"/>
      <c r="AFS53" s="18"/>
      <c r="AFT53" s="18"/>
      <c r="AFU53" s="18"/>
      <c r="AFV53" s="18"/>
      <c r="AFW53" s="18"/>
      <c r="AFX53" s="18"/>
      <c r="AFY53" s="18"/>
      <c r="AFZ53" s="18"/>
      <c r="AGA53" s="18"/>
      <c r="AGB53" s="18"/>
      <c r="AGC53" s="18"/>
      <c r="AGD53" s="18"/>
      <c r="AGE53" s="18"/>
      <c r="AGF53" s="18"/>
      <c r="AGG53" s="18"/>
      <c r="AGH53" s="18"/>
      <c r="AGI53" s="18"/>
      <c r="AGJ53" s="18"/>
      <c r="AGK53" s="18"/>
      <c r="AGL53" s="18"/>
      <c r="AGM53" s="18"/>
      <c r="AGN53" s="18"/>
      <c r="AGO53" s="18"/>
      <c r="AGP53" s="18"/>
      <c r="AGQ53" s="18"/>
      <c r="AGR53" s="18"/>
      <c r="AGS53" s="18"/>
      <c r="AGT53" s="18"/>
      <c r="AGU53" s="18"/>
      <c r="AGV53" s="18"/>
      <c r="AGW53" s="18"/>
      <c r="AGX53" s="18"/>
      <c r="AGY53" s="18"/>
      <c r="AGZ53" s="18"/>
      <c r="AHA53" s="18"/>
      <c r="AHB53" s="18"/>
      <c r="AHC53" s="18"/>
      <c r="AHD53" s="18"/>
      <c r="AHE53" s="18"/>
      <c r="AHF53" s="18"/>
      <c r="AHG53" s="18"/>
      <c r="AHH53" s="18"/>
      <c r="AHI53" s="18"/>
      <c r="AHJ53" s="18"/>
      <c r="AHK53" s="18"/>
      <c r="AHL53" s="18"/>
      <c r="AHM53" s="18"/>
      <c r="AHN53" s="18"/>
      <c r="AHO53" s="18"/>
      <c r="AHP53" s="18"/>
      <c r="AHQ53" s="18"/>
      <c r="AHR53" s="18"/>
      <c r="AHS53" s="18"/>
      <c r="AHT53" s="18"/>
      <c r="AHU53" s="18"/>
      <c r="AHV53" s="18"/>
      <c r="AHW53" s="18"/>
      <c r="AHX53" s="18"/>
      <c r="AHY53" s="18"/>
      <c r="AHZ53" s="18"/>
      <c r="AIA53" s="18"/>
      <c r="AIB53" s="18"/>
      <c r="AIC53" s="18"/>
      <c r="AID53" s="18"/>
      <c r="AIE53" s="18"/>
      <c r="AIF53" s="18"/>
      <c r="AIG53" s="18"/>
      <c r="AIH53" s="18"/>
      <c r="AII53" s="18"/>
      <c r="AIJ53" s="18"/>
      <c r="AIK53" s="18"/>
      <c r="AIL53" s="18"/>
      <c r="AIM53" s="18"/>
      <c r="AIN53" s="18"/>
      <c r="AIO53" s="18"/>
      <c r="AIP53" s="18"/>
      <c r="AIQ53" s="18"/>
      <c r="AIR53" s="18"/>
      <c r="AIS53" s="18"/>
      <c r="AIT53" s="18"/>
      <c r="AIU53" s="18"/>
      <c r="AIV53" s="18"/>
      <c r="AIW53" s="18"/>
      <c r="AIX53" s="18"/>
      <c r="AIY53" s="18"/>
      <c r="AIZ53" s="18"/>
      <c r="AJA53" s="18"/>
      <c r="AJB53" s="18"/>
      <c r="AJC53" s="18"/>
      <c r="AJD53" s="18"/>
      <c r="AJE53" s="18"/>
      <c r="AJF53" s="18"/>
      <c r="AJG53" s="18"/>
      <c r="AJH53" s="18"/>
      <c r="AJI53" s="18"/>
      <c r="AJJ53" s="18"/>
      <c r="AJK53" s="18"/>
      <c r="AJL53" s="18"/>
      <c r="AJM53" s="18"/>
      <c r="AJN53" s="18"/>
      <c r="AJO53" s="18"/>
      <c r="AJP53" s="18"/>
      <c r="AJQ53" s="18"/>
      <c r="AJR53" s="18"/>
      <c r="AJS53" s="18"/>
      <c r="AJT53" s="18"/>
      <c r="AJU53" s="18"/>
      <c r="AJV53" s="18"/>
      <c r="AJW53" s="18"/>
      <c r="AJX53" s="18"/>
      <c r="AJY53" s="18"/>
      <c r="AJZ53" s="18"/>
      <c r="AKA53" s="18"/>
      <c r="AKB53" s="18"/>
      <c r="AKC53" s="18"/>
      <c r="AKD53" s="18"/>
      <c r="AKE53" s="18"/>
      <c r="AKF53" s="18"/>
      <c r="AKG53" s="18"/>
      <c r="AKH53" s="18"/>
      <c r="AKI53" s="18"/>
      <c r="AKJ53" s="18"/>
      <c r="AKK53" s="18"/>
      <c r="AKL53" s="18"/>
      <c r="AKM53" s="18"/>
      <c r="AKN53" s="18"/>
      <c r="AKO53" s="18"/>
      <c r="AKP53" s="18"/>
      <c r="AKQ53" s="18"/>
      <c r="AKR53" s="18"/>
      <c r="AKS53" s="18"/>
      <c r="AKT53" s="18"/>
      <c r="AKU53" s="18"/>
      <c r="AKV53" s="18"/>
      <c r="AKW53" s="18"/>
      <c r="AKX53" s="18"/>
      <c r="AKY53" s="18"/>
      <c r="AKZ53" s="18"/>
      <c r="ALA53" s="18"/>
      <c r="ALB53" s="18"/>
      <c r="ALC53" s="18"/>
      <c r="ALD53" s="18"/>
      <c r="ALE53" s="18"/>
      <c r="ALF53" s="18"/>
      <c r="ALG53" s="18"/>
      <c r="ALH53" s="18"/>
      <c r="ALI53" s="18"/>
      <c r="ALJ53" s="18"/>
      <c r="ALK53" s="18"/>
      <c r="ALL53" s="18"/>
      <c r="ALM53" s="18"/>
      <c r="ALN53" s="18"/>
      <c r="ALO53" s="18"/>
      <c r="ALP53" s="18"/>
      <c r="ALQ53" s="18"/>
      <c r="ALR53" s="18"/>
      <c r="ALS53" s="18"/>
      <c r="ALT53" s="18"/>
      <c r="ALU53" s="18"/>
      <c r="ALV53" s="18"/>
      <c r="ALW53" s="18"/>
      <c r="ALX53" s="18"/>
      <c r="ALY53" s="18"/>
      <c r="ALZ53" s="18"/>
      <c r="AMA53" s="18"/>
      <c r="AMB53" s="18"/>
      <c r="AMC53" s="18"/>
      <c r="AMD53" s="18"/>
      <c r="AME53" s="18"/>
      <c r="AMF53" s="18"/>
      <c r="AMG53" s="18"/>
      <c r="AMH53" s="18"/>
    </row>
    <row r="54" spans="1:1022" s="23" customFormat="1" ht="14.1" customHeight="1" x14ac:dyDescent="0.3">
      <c r="A54" s="33">
        <v>150</v>
      </c>
      <c r="B54" s="19"/>
      <c r="C54" s="19"/>
      <c r="D54" s="57" t="s">
        <v>325</v>
      </c>
      <c r="E54" s="34" t="s">
        <v>476</v>
      </c>
      <c r="F54" s="39"/>
      <c r="G54" s="39"/>
      <c r="H54" s="38" t="s">
        <v>281</v>
      </c>
      <c r="I54" s="40"/>
      <c r="J54" s="40"/>
      <c r="K54" s="31"/>
      <c r="L54" s="40"/>
      <c r="M54" s="41"/>
      <c r="N54" s="32"/>
      <c r="O54" s="18"/>
      <c r="P54" s="36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18"/>
      <c r="CQ54" s="18"/>
      <c r="CR54" s="18"/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18"/>
      <c r="DE54" s="18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18"/>
      <c r="DS54" s="18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  <c r="EF54" s="18"/>
      <c r="EG54" s="18"/>
      <c r="EH54" s="18"/>
      <c r="EI54" s="18"/>
      <c r="EJ54" s="18"/>
      <c r="EK54" s="18"/>
      <c r="EL54" s="18"/>
      <c r="EM54" s="18"/>
      <c r="EN54" s="18"/>
      <c r="EO54" s="18"/>
      <c r="EP54" s="18"/>
      <c r="EQ54" s="18"/>
      <c r="ER54" s="18"/>
      <c r="ES54" s="18"/>
      <c r="ET54" s="18"/>
      <c r="EU54" s="18"/>
      <c r="EV54" s="18"/>
      <c r="EW54" s="18"/>
      <c r="EX54" s="18"/>
      <c r="EY54" s="18"/>
      <c r="EZ54" s="18"/>
      <c r="FA54" s="18"/>
      <c r="FB54" s="18"/>
      <c r="FC54" s="18"/>
      <c r="FD54" s="18"/>
      <c r="FE54" s="18"/>
      <c r="FF54" s="18"/>
      <c r="FG54" s="18"/>
      <c r="FH54" s="18"/>
      <c r="FI54" s="18"/>
      <c r="FJ54" s="18"/>
      <c r="FK54" s="18"/>
      <c r="FL54" s="18"/>
      <c r="FM54" s="18"/>
      <c r="FN54" s="18"/>
      <c r="FO54" s="18"/>
      <c r="FP54" s="18"/>
      <c r="FQ54" s="18"/>
      <c r="FR54" s="18"/>
      <c r="FS54" s="18"/>
      <c r="FT54" s="18"/>
      <c r="FU54" s="18"/>
      <c r="FV54" s="18"/>
      <c r="FW54" s="18"/>
      <c r="FX54" s="18"/>
      <c r="FY54" s="18"/>
      <c r="FZ54" s="18"/>
      <c r="GA54" s="18"/>
      <c r="GB54" s="18"/>
      <c r="GC54" s="18"/>
      <c r="GD54" s="18"/>
      <c r="GE54" s="18"/>
      <c r="GF54" s="18"/>
      <c r="GG54" s="18"/>
      <c r="GH54" s="18"/>
      <c r="GI54" s="18"/>
      <c r="GJ54" s="18"/>
      <c r="GK54" s="18"/>
      <c r="GL54" s="18"/>
      <c r="GM54" s="18"/>
      <c r="GN54" s="18"/>
      <c r="GO54" s="18"/>
      <c r="GP54" s="18"/>
      <c r="GQ54" s="18"/>
      <c r="GR54" s="18"/>
      <c r="GS54" s="18"/>
      <c r="GT54" s="18"/>
      <c r="GU54" s="18"/>
      <c r="GV54" s="18"/>
      <c r="GW54" s="18"/>
      <c r="GX54" s="18"/>
      <c r="GY54" s="18"/>
      <c r="GZ54" s="18"/>
      <c r="HA54" s="18"/>
      <c r="HB54" s="18"/>
      <c r="HC54" s="18"/>
      <c r="HD54" s="18"/>
      <c r="HE54" s="18"/>
      <c r="HF54" s="18"/>
      <c r="HG54" s="18"/>
      <c r="HH54" s="18"/>
      <c r="HI54" s="18"/>
      <c r="HJ54" s="18"/>
      <c r="HK54" s="18"/>
      <c r="HL54" s="18"/>
      <c r="HM54" s="18"/>
      <c r="HN54" s="18"/>
      <c r="HO54" s="18"/>
      <c r="HP54" s="18"/>
      <c r="HQ54" s="18"/>
      <c r="HR54" s="18"/>
      <c r="HS54" s="18"/>
      <c r="HT54" s="18"/>
      <c r="HU54" s="18"/>
      <c r="HV54" s="18"/>
      <c r="HW54" s="18"/>
      <c r="HX54" s="18"/>
      <c r="HY54" s="18"/>
      <c r="HZ54" s="18"/>
      <c r="IA54" s="18"/>
      <c r="IB54" s="18"/>
      <c r="IC54" s="18"/>
      <c r="ID54" s="18"/>
      <c r="IE54" s="18"/>
      <c r="IF54" s="18"/>
      <c r="IG54" s="18"/>
      <c r="IH54" s="18"/>
      <c r="II54" s="18"/>
      <c r="IJ54" s="18"/>
      <c r="IK54" s="18"/>
      <c r="IL54" s="18"/>
      <c r="IM54" s="18"/>
      <c r="IN54" s="18"/>
      <c r="IO54" s="18"/>
      <c r="IP54" s="18"/>
      <c r="IQ54" s="18"/>
      <c r="IR54" s="18"/>
      <c r="IS54" s="18"/>
      <c r="IT54" s="18"/>
      <c r="IU54" s="18"/>
      <c r="IV54" s="18"/>
      <c r="IW54" s="18"/>
      <c r="IX54" s="18"/>
      <c r="IY54" s="18"/>
      <c r="IZ54" s="18"/>
      <c r="JA54" s="18"/>
      <c r="JB54" s="18"/>
      <c r="JC54" s="18"/>
      <c r="JD54" s="18"/>
      <c r="JE54" s="18"/>
      <c r="JF54" s="18"/>
      <c r="JG54" s="18"/>
      <c r="JH54" s="18"/>
      <c r="JI54" s="18"/>
      <c r="JJ54" s="18"/>
      <c r="JK54" s="18"/>
      <c r="JL54" s="18"/>
      <c r="JM54" s="18"/>
      <c r="JN54" s="18"/>
      <c r="JO54" s="18"/>
      <c r="JP54" s="18"/>
      <c r="JQ54" s="18"/>
      <c r="JR54" s="18"/>
      <c r="JS54" s="18"/>
      <c r="JT54" s="18"/>
      <c r="JU54" s="18"/>
      <c r="JV54" s="18"/>
      <c r="JW54" s="18"/>
      <c r="JX54" s="18"/>
      <c r="JY54" s="18"/>
      <c r="JZ54" s="18"/>
      <c r="KA54" s="18"/>
      <c r="KB54" s="18"/>
      <c r="KC54" s="18"/>
      <c r="KD54" s="18"/>
      <c r="KE54" s="18"/>
      <c r="KF54" s="18"/>
      <c r="KG54" s="18"/>
      <c r="KH54" s="18"/>
      <c r="KI54" s="18"/>
      <c r="KJ54" s="18"/>
      <c r="KK54" s="18"/>
      <c r="KL54" s="18"/>
      <c r="KM54" s="18"/>
      <c r="KN54" s="18"/>
      <c r="KO54" s="18"/>
      <c r="KP54" s="18"/>
      <c r="KQ54" s="18"/>
      <c r="KR54" s="18"/>
      <c r="KS54" s="18"/>
      <c r="KT54" s="18"/>
      <c r="KU54" s="18"/>
      <c r="KV54" s="18"/>
      <c r="KW54" s="18"/>
      <c r="KX54" s="18"/>
      <c r="KY54" s="18"/>
      <c r="KZ54" s="18"/>
      <c r="LA54" s="18"/>
      <c r="LB54" s="18"/>
      <c r="LC54" s="18"/>
      <c r="LD54" s="18"/>
      <c r="LE54" s="18"/>
      <c r="LF54" s="18"/>
      <c r="LG54" s="18"/>
      <c r="LH54" s="18"/>
      <c r="LI54" s="18"/>
      <c r="LJ54" s="18"/>
      <c r="LK54" s="18"/>
      <c r="LL54" s="18"/>
      <c r="LM54" s="18"/>
      <c r="LN54" s="18"/>
      <c r="LO54" s="18"/>
      <c r="LP54" s="18"/>
      <c r="LQ54" s="18"/>
      <c r="LR54" s="18"/>
      <c r="LS54" s="18"/>
      <c r="LT54" s="18"/>
      <c r="LU54" s="18"/>
      <c r="LV54" s="18"/>
      <c r="LW54" s="18"/>
      <c r="LX54" s="18"/>
      <c r="LY54" s="18"/>
      <c r="LZ54" s="18"/>
      <c r="MA54" s="18"/>
      <c r="MB54" s="18"/>
      <c r="MC54" s="18"/>
      <c r="MD54" s="18"/>
      <c r="ME54" s="18"/>
      <c r="MF54" s="18"/>
      <c r="MG54" s="18"/>
      <c r="MH54" s="18"/>
      <c r="MI54" s="18"/>
      <c r="MJ54" s="18"/>
      <c r="MK54" s="18"/>
      <c r="ML54" s="18"/>
      <c r="MM54" s="18"/>
      <c r="MN54" s="18"/>
      <c r="MO54" s="18"/>
      <c r="MP54" s="18"/>
      <c r="MQ54" s="18"/>
      <c r="MR54" s="18"/>
      <c r="MS54" s="18"/>
      <c r="MT54" s="18"/>
      <c r="MU54" s="18"/>
      <c r="MV54" s="18"/>
      <c r="MW54" s="18"/>
      <c r="MX54" s="18"/>
      <c r="MY54" s="18"/>
      <c r="MZ54" s="18"/>
      <c r="NA54" s="18"/>
      <c r="NB54" s="18"/>
      <c r="NC54" s="18"/>
      <c r="ND54" s="18"/>
      <c r="NE54" s="18"/>
      <c r="NF54" s="18"/>
      <c r="NG54" s="18"/>
      <c r="NH54" s="18"/>
      <c r="NI54" s="18"/>
      <c r="NJ54" s="18"/>
      <c r="NK54" s="18"/>
      <c r="NL54" s="18"/>
      <c r="NM54" s="18"/>
      <c r="NN54" s="18"/>
      <c r="NO54" s="18"/>
      <c r="NP54" s="18"/>
      <c r="NQ54" s="18"/>
      <c r="NR54" s="18"/>
      <c r="NS54" s="18"/>
      <c r="NT54" s="18"/>
      <c r="NU54" s="18"/>
      <c r="NV54" s="18"/>
      <c r="NW54" s="18"/>
      <c r="NX54" s="18"/>
      <c r="NY54" s="18"/>
      <c r="NZ54" s="18"/>
      <c r="OA54" s="18"/>
      <c r="OB54" s="18"/>
      <c r="OC54" s="18"/>
      <c r="OD54" s="18"/>
      <c r="OE54" s="18"/>
      <c r="OF54" s="18"/>
      <c r="OG54" s="18"/>
      <c r="OH54" s="18"/>
      <c r="OI54" s="18"/>
      <c r="OJ54" s="18"/>
      <c r="OK54" s="18"/>
      <c r="OL54" s="18"/>
      <c r="OM54" s="18"/>
      <c r="ON54" s="18"/>
      <c r="OO54" s="18"/>
      <c r="OP54" s="18"/>
      <c r="OQ54" s="18"/>
      <c r="OR54" s="18"/>
      <c r="OS54" s="18"/>
      <c r="OT54" s="18"/>
      <c r="OU54" s="18"/>
      <c r="OV54" s="18"/>
      <c r="OW54" s="18"/>
      <c r="OX54" s="18"/>
      <c r="OY54" s="18"/>
      <c r="OZ54" s="18"/>
      <c r="PA54" s="18"/>
      <c r="PB54" s="18"/>
      <c r="PC54" s="18"/>
      <c r="PD54" s="18"/>
      <c r="PE54" s="18"/>
      <c r="PF54" s="18"/>
      <c r="PG54" s="18"/>
      <c r="PH54" s="18"/>
      <c r="PI54" s="18"/>
      <c r="PJ54" s="18"/>
      <c r="PK54" s="18"/>
      <c r="PL54" s="18"/>
      <c r="PM54" s="18"/>
      <c r="PN54" s="18"/>
      <c r="PO54" s="18"/>
      <c r="PP54" s="18"/>
      <c r="PQ54" s="18"/>
      <c r="PR54" s="18"/>
      <c r="PS54" s="18"/>
      <c r="PT54" s="18"/>
      <c r="PU54" s="18"/>
      <c r="PV54" s="18"/>
      <c r="PW54" s="18"/>
      <c r="PX54" s="18"/>
      <c r="PY54" s="18"/>
      <c r="PZ54" s="18"/>
      <c r="QA54" s="18"/>
      <c r="QB54" s="18"/>
      <c r="QC54" s="18"/>
      <c r="QD54" s="18"/>
      <c r="QE54" s="18"/>
      <c r="QF54" s="18"/>
      <c r="QG54" s="18"/>
      <c r="QH54" s="18"/>
      <c r="QI54" s="18"/>
      <c r="QJ54" s="18"/>
      <c r="QK54" s="18"/>
      <c r="QL54" s="18"/>
      <c r="QM54" s="18"/>
      <c r="QN54" s="18"/>
      <c r="QO54" s="18"/>
      <c r="QP54" s="18"/>
      <c r="QQ54" s="18"/>
      <c r="QR54" s="18"/>
      <c r="QS54" s="18"/>
      <c r="QT54" s="18"/>
      <c r="QU54" s="18"/>
      <c r="QV54" s="18"/>
      <c r="QW54" s="18"/>
      <c r="QX54" s="18"/>
      <c r="QY54" s="18"/>
      <c r="QZ54" s="18"/>
      <c r="RA54" s="18"/>
      <c r="RB54" s="18"/>
      <c r="RC54" s="18"/>
      <c r="RD54" s="18"/>
      <c r="RE54" s="18"/>
      <c r="RF54" s="18"/>
      <c r="RG54" s="18"/>
      <c r="RH54" s="18"/>
      <c r="RI54" s="18"/>
      <c r="RJ54" s="18"/>
      <c r="RK54" s="18"/>
      <c r="RL54" s="18"/>
      <c r="RM54" s="18"/>
      <c r="RN54" s="18"/>
      <c r="RO54" s="18"/>
      <c r="RP54" s="18"/>
      <c r="RQ54" s="18"/>
      <c r="RR54" s="18"/>
      <c r="RS54" s="18"/>
      <c r="RT54" s="18"/>
      <c r="RU54" s="18"/>
      <c r="RV54" s="18"/>
      <c r="RW54" s="18"/>
      <c r="RX54" s="18"/>
      <c r="RY54" s="18"/>
      <c r="RZ54" s="18"/>
      <c r="SA54" s="18"/>
      <c r="SB54" s="18"/>
      <c r="SC54" s="18"/>
      <c r="SD54" s="18"/>
      <c r="SE54" s="18"/>
      <c r="SF54" s="18"/>
      <c r="SG54" s="18"/>
      <c r="SH54" s="18"/>
      <c r="SI54" s="18"/>
      <c r="SJ54" s="18"/>
      <c r="SK54" s="18"/>
      <c r="SL54" s="18"/>
      <c r="SM54" s="18"/>
      <c r="SN54" s="18"/>
      <c r="SO54" s="18"/>
      <c r="SP54" s="18"/>
      <c r="SQ54" s="18"/>
      <c r="SR54" s="18"/>
      <c r="SS54" s="18"/>
      <c r="ST54" s="18"/>
      <c r="SU54" s="18"/>
      <c r="SV54" s="18"/>
      <c r="SW54" s="18"/>
      <c r="SX54" s="18"/>
      <c r="SY54" s="18"/>
      <c r="SZ54" s="18"/>
      <c r="TA54" s="18"/>
      <c r="TB54" s="18"/>
      <c r="TC54" s="18"/>
      <c r="TD54" s="18"/>
      <c r="TE54" s="18"/>
      <c r="TF54" s="18"/>
      <c r="TG54" s="18"/>
      <c r="TH54" s="18"/>
      <c r="TI54" s="18"/>
      <c r="TJ54" s="18"/>
      <c r="TK54" s="18"/>
      <c r="TL54" s="18"/>
      <c r="TM54" s="18"/>
      <c r="TN54" s="18"/>
      <c r="TO54" s="18"/>
      <c r="TP54" s="18"/>
      <c r="TQ54" s="18"/>
      <c r="TR54" s="18"/>
      <c r="TS54" s="18"/>
      <c r="TT54" s="18"/>
      <c r="TU54" s="18"/>
      <c r="TV54" s="18"/>
      <c r="TW54" s="18"/>
      <c r="TX54" s="18"/>
      <c r="TY54" s="18"/>
      <c r="TZ54" s="18"/>
      <c r="UA54" s="18"/>
      <c r="UB54" s="18"/>
      <c r="UC54" s="18"/>
      <c r="UD54" s="18"/>
      <c r="UE54" s="18"/>
      <c r="UF54" s="18"/>
      <c r="UG54" s="18"/>
      <c r="UH54" s="18"/>
      <c r="UI54" s="18"/>
      <c r="UJ54" s="18"/>
      <c r="UK54" s="18"/>
      <c r="UL54" s="18"/>
      <c r="UM54" s="18"/>
      <c r="UN54" s="18"/>
      <c r="UO54" s="18"/>
      <c r="UP54" s="18"/>
      <c r="UQ54" s="18"/>
      <c r="UR54" s="18"/>
      <c r="US54" s="18"/>
      <c r="UT54" s="18"/>
      <c r="UU54" s="18"/>
      <c r="UV54" s="18"/>
      <c r="UW54" s="18"/>
      <c r="UX54" s="18"/>
      <c r="UY54" s="18"/>
      <c r="UZ54" s="18"/>
      <c r="VA54" s="18"/>
      <c r="VB54" s="18"/>
      <c r="VC54" s="18"/>
      <c r="VD54" s="18"/>
      <c r="VE54" s="18"/>
      <c r="VF54" s="18"/>
      <c r="VG54" s="18"/>
      <c r="VH54" s="18"/>
      <c r="VI54" s="18"/>
      <c r="VJ54" s="18"/>
      <c r="VK54" s="18"/>
      <c r="VL54" s="18"/>
      <c r="VM54" s="18"/>
      <c r="VN54" s="18"/>
      <c r="VO54" s="18"/>
      <c r="VP54" s="18"/>
      <c r="VQ54" s="18"/>
      <c r="VR54" s="18"/>
      <c r="VS54" s="18"/>
      <c r="VT54" s="18"/>
      <c r="VU54" s="18"/>
      <c r="VV54" s="18"/>
      <c r="VW54" s="18"/>
      <c r="VX54" s="18"/>
      <c r="VY54" s="18"/>
      <c r="VZ54" s="18"/>
      <c r="WA54" s="18"/>
      <c r="WB54" s="18"/>
      <c r="WC54" s="18"/>
      <c r="WD54" s="18"/>
      <c r="WE54" s="18"/>
      <c r="WF54" s="18"/>
      <c r="WG54" s="18"/>
      <c r="WH54" s="18"/>
      <c r="WI54" s="18"/>
      <c r="WJ54" s="18"/>
      <c r="WK54" s="18"/>
      <c r="WL54" s="18"/>
      <c r="WM54" s="18"/>
      <c r="WN54" s="18"/>
      <c r="WO54" s="18"/>
      <c r="WP54" s="18"/>
      <c r="WQ54" s="18"/>
      <c r="WR54" s="18"/>
      <c r="WS54" s="18"/>
      <c r="WT54" s="18"/>
      <c r="WU54" s="18"/>
      <c r="WV54" s="18"/>
      <c r="WW54" s="18"/>
      <c r="WX54" s="18"/>
      <c r="WY54" s="18"/>
      <c r="WZ54" s="18"/>
      <c r="XA54" s="18"/>
      <c r="XB54" s="18"/>
      <c r="XC54" s="18"/>
      <c r="XD54" s="18"/>
      <c r="XE54" s="18"/>
      <c r="XF54" s="18"/>
      <c r="XG54" s="18"/>
      <c r="XH54" s="18"/>
      <c r="XI54" s="18"/>
      <c r="XJ54" s="18"/>
      <c r="XK54" s="18"/>
      <c r="XL54" s="18"/>
      <c r="XM54" s="18"/>
      <c r="XN54" s="18"/>
      <c r="XO54" s="18"/>
      <c r="XP54" s="18"/>
      <c r="XQ54" s="18"/>
      <c r="XR54" s="18"/>
      <c r="XS54" s="18"/>
      <c r="XT54" s="18"/>
      <c r="XU54" s="18"/>
      <c r="XV54" s="18"/>
      <c r="XW54" s="18"/>
      <c r="XX54" s="18"/>
      <c r="XY54" s="18"/>
      <c r="XZ54" s="18"/>
      <c r="YA54" s="18"/>
      <c r="YB54" s="18"/>
      <c r="YC54" s="18"/>
      <c r="YD54" s="18"/>
      <c r="YE54" s="18"/>
      <c r="YF54" s="18"/>
      <c r="YG54" s="18"/>
      <c r="YH54" s="18"/>
      <c r="YI54" s="18"/>
      <c r="YJ54" s="18"/>
      <c r="YK54" s="18"/>
      <c r="YL54" s="18"/>
      <c r="YM54" s="18"/>
      <c r="YN54" s="18"/>
      <c r="YO54" s="18"/>
      <c r="YP54" s="18"/>
      <c r="YQ54" s="18"/>
      <c r="YR54" s="18"/>
      <c r="YS54" s="18"/>
      <c r="YT54" s="18"/>
      <c r="YU54" s="18"/>
      <c r="YV54" s="18"/>
      <c r="YW54" s="18"/>
      <c r="YX54" s="18"/>
      <c r="YY54" s="18"/>
      <c r="YZ54" s="18"/>
      <c r="ZA54" s="18"/>
      <c r="ZB54" s="18"/>
      <c r="ZC54" s="18"/>
      <c r="ZD54" s="18"/>
      <c r="ZE54" s="18"/>
      <c r="ZF54" s="18"/>
      <c r="ZG54" s="18"/>
      <c r="ZH54" s="18"/>
      <c r="ZI54" s="18"/>
      <c r="ZJ54" s="18"/>
      <c r="ZK54" s="18"/>
      <c r="ZL54" s="18"/>
      <c r="ZM54" s="18"/>
      <c r="ZN54" s="18"/>
      <c r="ZO54" s="18"/>
      <c r="ZP54" s="18"/>
      <c r="ZQ54" s="18"/>
      <c r="ZR54" s="18"/>
      <c r="ZS54" s="18"/>
      <c r="ZT54" s="18"/>
      <c r="ZU54" s="18"/>
      <c r="ZV54" s="18"/>
      <c r="ZW54" s="18"/>
      <c r="ZX54" s="18"/>
      <c r="ZY54" s="18"/>
      <c r="ZZ54" s="18"/>
      <c r="AAA54" s="18"/>
      <c r="AAB54" s="18"/>
      <c r="AAC54" s="18"/>
      <c r="AAD54" s="18"/>
      <c r="AAE54" s="18"/>
      <c r="AAF54" s="18"/>
      <c r="AAG54" s="18"/>
      <c r="AAH54" s="18"/>
      <c r="AAI54" s="18"/>
      <c r="AAJ54" s="18"/>
      <c r="AAK54" s="18"/>
      <c r="AAL54" s="18"/>
      <c r="AAM54" s="18"/>
      <c r="AAN54" s="18"/>
      <c r="AAO54" s="18"/>
      <c r="AAP54" s="18"/>
      <c r="AAQ54" s="18"/>
      <c r="AAR54" s="18"/>
      <c r="AAS54" s="18"/>
      <c r="AAT54" s="18"/>
      <c r="AAU54" s="18"/>
      <c r="AAV54" s="18"/>
      <c r="AAW54" s="18"/>
      <c r="AAX54" s="18"/>
      <c r="AAY54" s="18"/>
      <c r="AAZ54" s="18"/>
      <c r="ABA54" s="18"/>
      <c r="ABB54" s="18"/>
      <c r="ABC54" s="18"/>
      <c r="ABD54" s="18"/>
      <c r="ABE54" s="18"/>
      <c r="ABF54" s="18"/>
      <c r="ABG54" s="18"/>
      <c r="ABH54" s="18"/>
      <c r="ABI54" s="18"/>
      <c r="ABJ54" s="18"/>
      <c r="ABK54" s="18"/>
      <c r="ABL54" s="18"/>
      <c r="ABM54" s="18"/>
      <c r="ABN54" s="18"/>
      <c r="ABO54" s="18"/>
      <c r="ABP54" s="18"/>
      <c r="ABQ54" s="18"/>
      <c r="ABR54" s="18"/>
      <c r="ABS54" s="18"/>
      <c r="ABT54" s="18"/>
      <c r="ABU54" s="18"/>
      <c r="ABV54" s="18"/>
      <c r="ABW54" s="18"/>
      <c r="ABX54" s="18"/>
      <c r="ABY54" s="18"/>
      <c r="ABZ54" s="18"/>
      <c r="ACA54" s="18"/>
      <c r="ACB54" s="18"/>
      <c r="ACC54" s="18"/>
      <c r="ACD54" s="18"/>
      <c r="ACE54" s="18"/>
      <c r="ACF54" s="18"/>
      <c r="ACG54" s="18"/>
      <c r="ACH54" s="18"/>
      <c r="ACI54" s="18"/>
      <c r="ACJ54" s="18"/>
      <c r="ACK54" s="18"/>
      <c r="ACL54" s="18"/>
      <c r="ACM54" s="18"/>
      <c r="ACN54" s="18"/>
      <c r="ACO54" s="18"/>
      <c r="ACP54" s="18"/>
      <c r="ACQ54" s="18"/>
      <c r="ACR54" s="18"/>
      <c r="ACS54" s="18"/>
      <c r="ACT54" s="18"/>
      <c r="ACU54" s="18"/>
      <c r="ACV54" s="18"/>
      <c r="ACW54" s="18"/>
      <c r="ACX54" s="18"/>
      <c r="ACY54" s="18"/>
      <c r="ACZ54" s="18"/>
      <c r="ADA54" s="18"/>
      <c r="ADB54" s="18"/>
      <c r="ADC54" s="18"/>
      <c r="ADD54" s="18"/>
      <c r="ADE54" s="18"/>
      <c r="ADF54" s="18"/>
      <c r="ADG54" s="18"/>
      <c r="ADH54" s="18"/>
      <c r="ADI54" s="18"/>
      <c r="ADJ54" s="18"/>
      <c r="ADK54" s="18"/>
      <c r="ADL54" s="18"/>
      <c r="ADM54" s="18"/>
      <c r="ADN54" s="18"/>
      <c r="ADO54" s="18"/>
      <c r="ADP54" s="18"/>
      <c r="ADQ54" s="18"/>
      <c r="ADR54" s="18"/>
      <c r="ADS54" s="18"/>
      <c r="ADT54" s="18"/>
      <c r="ADU54" s="18"/>
      <c r="ADV54" s="18"/>
      <c r="ADW54" s="18"/>
      <c r="ADX54" s="18"/>
      <c r="ADY54" s="18"/>
      <c r="ADZ54" s="18"/>
      <c r="AEA54" s="18"/>
      <c r="AEB54" s="18"/>
      <c r="AEC54" s="18"/>
      <c r="AED54" s="18"/>
      <c r="AEE54" s="18"/>
      <c r="AEF54" s="18"/>
      <c r="AEG54" s="18"/>
      <c r="AEH54" s="18"/>
      <c r="AEI54" s="18"/>
      <c r="AEJ54" s="18"/>
      <c r="AEK54" s="18"/>
      <c r="AEL54" s="18"/>
      <c r="AEM54" s="18"/>
      <c r="AEN54" s="18"/>
      <c r="AEO54" s="18"/>
      <c r="AEP54" s="18"/>
      <c r="AEQ54" s="18"/>
      <c r="AER54" s="18"/>
      <c r="AES54" s="18"/>
      <c r="AET54" s="18"/>
      <c r="AEU54" s="18"/>
      <c r="AEV54" s="18"/>
      <c r="AEW54" s="18"/>
      <c r="AEX54" s="18"/>
      <c r="AEY54" s="18"/>
      <c r="AEZ54" s="18"/>
      <c r="AFA54" s="18"/>
      <c r="AFB54" s="18"/>
      <c r="AFC54" s="18"/>
      <c r="AFD54" s="18"/>
      <c r="AFE54" s="18"/>
      <c r="AFF54" s="18"/>
      <c r="AFG54" s="18"/>
      <c r="AFH54" s="18"/>
      <c r="AFI54" s="18"/>
      <c r="AFJ54" s="18"/>
      <c r="AFK54" s="18"/>
      <c r="AFL54" s="18"/>
      <c r="AFM54" s="18"/>
      <c r="AFN54" s="18"/>
      <c r="AFO54" s="18"/>
      <c r="AFP54" s="18"/>
      <c r="AFQ54" s="18"/>
      <c r="AFR54" s="18"/>
      <c r="AFS54" s="18"/>
      <c r="AFT54" s="18"/>
      <c r="AFU54" s="18"/>
      <c r="AFV54" s="18"/>
      <c r="AFW54" s="18"/>
      <c r="AFX54" s="18"/>
      <c r="AFY54" s="18"/>
      <c r="AFZ54" s="18"/>
      <c r="AGA54" s="18"/>
      <c r="AGB54" s="18"/>
      <c r="AGC54" s="18"/>
      <c r="AGD54" s="18"/>
      <c r="AGE54" s="18"/>
      <c r="AGF54" s="18"/>
      <c r="AGG54" s="18"/>
      <c r="AGH54" s="18"/>
      <c r="AGI54" s="18"/>
      <c r="AGJ54" s="18"/>
      <c r="AGK54" s="18"/>
      <c r="AGL54" s="18"/>
      <c r="AGM54" s="18"/>
      <c r="AGN54" s="18"/>
      <c r="AGO54" s="18"/>
      <c r="AGP54" s="18"/>
      <c r="AGQ54" s="18"/>
      <c r="AGR54" s="18"/>
      <c r="AGS54" s="18"/>
      <c r="AGT54" s="18"/>
      <c r="AGU54" s="18"/>
      <c r="AGV54" s="18"/>
      <c r="AGW54" s="18"/>
      <c r="AGX54" s="18"/>
      <c r="AGY54" s="18"/>
      <c r="AGZ54" s="18"/>
      <c r="AHA54" s="18"/>
      <c r="AHB54" s="18"/>
      <c r="AHC54" s="18"/>
      <c r="AHD54" s="18"/>
      <c r="AHE54" s="18"/>
      <c r="AHF54" s="18"/>
      <c r="AHG54" s="18"/>
      <c r="AHH54" s="18"/>
      <c r="AHI54" s="18"/>
      <c r="AHJ54" s="18"/>
      <c r="AHK54" s="18"/>
      <c r="AHL54" s="18"/>
      <c r="AHM54" s="18"/>
      <c r="AHN54" s="18"/>
      <c r="AHO54" s="18"/>
      <c r="AHP54" s="18"/>
      <c r="AHQ54" s="18"/>
      <c r="AHR54" s="18"/>
      <c r="AHS54" s="18"/>
      <c r="AHT54" s="18"/>
      <c r="AHU54" s="18"/>
      <c r="AHV54" s="18"/>
      <c r="AHW54" s="18"/>
      <c r="AHX54" s="18"/>
      <c r="AHY54" s="18"/>
      <c r="AHZ54" s="18"/>
      <c r="AIA54" s="18"/>
      <c r="AIB54" s="18"/>
      <c r="AIC54" s="18"/>
      <c r="AID54" s="18"/>
      <c r="AIE54" s="18"/>
      <c r="AIF54" s="18"/>
      <c r="AIG54" s="18"/>
      <c r="AIH54" s="18"/>
      <c r="AII54" s="18"/>
      <c r="AIJ54" s="18"/>
      <c r="AIK54" s="18"/>
      <c r="AIL54" s="18"/>
      <c r="AIM54" s="18"/>
      <c r="AIN54" s="18"/>
      <c r="AIO54" s="18"/>
      <c r="AIP54" s="18"/>
      <c r="AIQ54" s="18"/>
      <c r="AIR54" s="18"/>
      <c r="AIS54" s="18"/>
      <c r="AIT54" s="18"/>
      <c r="AIU54" s="18"/>
      <c r="AIV54" s="18"/>
      <c r="AIW54" s="18"/>
      <c r="AIX54" s="18"/>
      <c r="AIY54" s="18"/>
      <c r="AIZ54" s="18"/>
      <c r="AJA54" s="18"/>
      <c r="AJB54" s="18"/>
      <c r="AJC54" s="18"/>
      <c r="AJD54" s="18"/>
      <c r="AJE54" s="18"/>
      <c r="AJF54" s="18"/>
      <c r="AJG54" s="18"/>
      <c r="AJH54" s="18"/>
      <c r="AJI54" s="18"/>
      <c r="AJJ54" s="18"/>
      <c r="AJK54" s="18"/>
      <c r="AJL54" s="18"/>
      <c r="AJM54" s="18"/>
      <c r="AJN54" s="18"/>
      <c r="AJO54" s="18"/>
      <c r="AJP54" s="18"/>
      <c r="AJQ54" s="18"/>
      <c r="AJR54" s="18"/>
      <c r="AJS54" s="18"/>
      <c r="AJT54" s="18"/>
      <c r="AJU54" s="18"/>
      <c r="AJV54" s="18"/>
      <c r="AJW54" s="18"/>
      <c r="AJX54" s="18"/>
      <c r="AJY54" s="18"/>
      <c r="AJZ54" s="18"/>
      <c r="AKA54" s="18"/>
      <c r="AKB54" s="18"/>
      <c r="AKC54" s="18"/>
      <c r="AKD54" s="18"/>
      <c r="AKE54" s="18"/>
      <c r="AKF54" s="18"/>
      <c r="AKG54" s="18"/>
      <c r="AKH54" s="18"/>
      <c r="AKI54" s="18"/>
      <c r="AKJ54" s="18"/>
      <c r="AKK54" s="18"/>
      <c r="AKL54" s="18"/>
      <c r="AKM54" s="18"/>
      <c r="AKN54" s="18"/>
      <c r="AKO54" s="18"/>
      <c r="AKP54" s="18"/>
      <c r="AKQ54" s="18"/>
      <c r="AKR54" s="18"/>
      <c r="AKS54" s="18"/>
      <c r="AKT54" s="18"/>
      <c r="AKU54" s="18"/>
      <c r="AKV54" s="18"/>
      <c r="AKW54" s="18"/>
      <c r="AKX54" s="18"/>
      <c r="AKY54" s="18"/>
      <c r="AKZ54" s="18"/>
      <c r="ALA54" s="18"/>
      <c r="ALB54" s="18"/>
      <c r="ALC54" s="18"/>
      <c r="ALD54" s="18"/>
      <c r="ALE54" s="18"/>
      <c r="ALF54" s="18"/>
      <c r="ALG54" s="18"/>
      <c r="ALH54" s="18"/>
      <c r="ALI54" s="18"/>
      <c r="ALJ54" s="18"/>
      <c r="ALK54" s="18"/>
      <c r="ALL54" s="18"/>
      <c r="ALM54" s="18"/>
      <c r="ALN54" s="18"/>
      <c r="ALO54" s="18"/>
      <c r="ALP54" s="18"/>
      <c r="ALQ54" s="18"/>
      <c r="ALR54" s="18"/>
      <c r="ALS54" s="18"/>
      <c r="ALT54" s="18"/>
      <c r="ALU54" s="18"/>
      <c r="ALV54" s="18"/>
      <c r="ALW54" s="18"/>
      <c r="ALX54" s="18"/>
      <c r="ALY54" s="18"/>
      <c r="ALZ54" s="18"/>
      <c r="AMA54" s="18"/>
      <c r="AMB54" s="18"/>
      <c r="AMC54" s="18"/>
      <c r="AMD54" s="18"/>
      <c r="AME54" s="18"/>
      <c r="AMF54" s="18"/>
      <c r="AMG54" s="18"/>
      <c r="AMH54" s="18"/>
    </row>
    <row r="55" spans="1:1022" s="23" customFormat="1" x14ac:dyDescent="0.3">
      <c r="A55" s="33">
        <v>151</v>
      </c>
      <c r="B55" s="19"/>
      <c r="C55" s="19"/>
      <c r="D55" s="57" t="s">
        <v>326</v>
      </c>
      <c r="E55" s="34" t="s">
        <v>477</v>
      </c>
      <c r="F55" s="39"/>
      <c r="G55" s="39"/>
      <c r="H55" s="38" t="s">
        <v>281</v>
      </c>
      <c r="I55" s="40"/>
      <c r="J55" s="40"/>
      <c r="K55" s="31"/>
      <c r="L55" s="40"/>
      <c r="M55" s="41"/>
      <c r="N55" s="32"/>
      <c r="O55" s="18"/>
      <c r="P55" s="36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8"/>
      <c r="BS55" s="18"/>
      <c r="BT55" s="18"/>
      <c r="BU55" s="18"/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8"/>
      <c r="CH55" s="18"/>
      <c r="CI55" s="18"/>
      <c r="CJ55" s="18"/>
      <c r="CK55" s="18"/>
      <c r="CL55" s="18"/>
      <c r="CM55" s="18"/>
      <c r="CN55" s="18"/>
      <c r="CO55" s="18"/>
      <c r="CP55" s="18"/>
      <c r="CQ55" s="18"/>
      <c r="CR55" s="18"/>
      <c r="CS55" s="18"/>
      <c r="CT55" s="18"/>
      <c r="CU55" s="18"/>
      <c r="CV55" s="18"/>
      <c r="CW55" s="18"/>
      <c r="CX55" s="18"/>
      <c r="CY55" s="18"/>
      <c r="CZ55" s="18"/>
      <c r="DA55" s="18"/>
      <c r="DB55" s="18"/>
      <c r="DC55" s="18"/>
      <c r="DD55" s="18"/>
      <c r="DE55" s="18"/>
      <c r="DF55" s="18"/>
      <c r="DG55" s="18"/>
      <c r="DH55" s="18"/>
      <c r="DI55" s="18"/>
      <c r="DJ55" s="18"/>
      <c r="DK55" s="18"/>
      <c r="DL55" s="18"/>
      <c r="DM55" s="18"/>
      <c r="DN55" s="18"/>
      <c r="DO55" s="18"/>
      <c r="DP55" s="18"/>
      <c r="DQ55" s="18"/>
      <c r="DR55" s="18"/>
      <c r="DS55" s="18"/>
      <c r="DT55" s="18"/>
      <c r="DU55" s="18"/>
      <c r="DV55" s="18"/>
      <c r="DW55" s="18"/>
      <c r="DX55" s="18"/>
      <c r="DY55" s="18"/>
      <c r="DZ55" s="18"/>
      <c r="EA55" s="18"/>
      <c r="EB55" s="18"/>
      <c r="EC55" s="18"/>
      <c r="ED55" s="18"/>
      <c r="EE55" s="18"/>
      <c r="EF55" s="18"/>
      <c r="EG55" s="18"/>
      <c r="EH55" s="18"/>
      <c r="EI55" s="18"/>
      <c r="EJ55" s="18"/>
      <c r="EK55" s="18"/>
      <c r="EL55" s="18"/>
      <c r="EM55" s="18"/>
      <c r="EN55" s="18"/>
      <c r="EO55" s="18"/>
      <c r="EP55" s="18"/>
      <c r="EQ55" s="18"/>
      <c r="ER55" s="18"/>
      <c r="ES55" s="18"/>
      <c r="ET55" s="18"/>
      <c r="EU55" s="18"/>
      <c r="EV55" s="18"/>
      <c r="EW55" s="18"/>
      <c r="EX55" s="18"/>
      <c r="EY55" s="18"/>
      <c r="EZ55" s="18"/>
      <c r="FA55" s="18"/>
      <c r="FB55" s="18"/>
      <c r="FC55" s="18"/>
      <c r="FD55" s="18"/>
      <c r="FE55" s="18"/>
      <c r="FF55" s="18"/>
      <c r="FG55" s="18"/>
      <c r="FH55" s="18"/>
      <c r="FI55" s="18"/>
      <c r="FJ55" s="18"/>
      <c r="FK55" s="18"/>
      <c r="FL55" s="18"/>
      <c r="FM55" s="18"/>
      <c r="FN55" s="18"/>
      <c r="FO55" s="18"/>
      <c r="FP55" s="18"/>
      <c r="FQ55" s="18"/>
      <c r="FR55" s="18"/>
      <c r="FS55" s="18"/>
      <c r="FT55" s="18"/>
      <c r="FU55" s="18"/>
      <c r="FV55" s="18"/>
      <c r="FW55" s="18"/>
      <c r="FX55" s="18"/>
      <c r="FY55" s="18"/>
      <c r="FZ55" s="18"/>
      <c r="GA55" s="18"/>
      <c r="GB55" s="18"/>
      <c r="GC55" s="18"/>
      <c r="GD55" s="18"/>
      <c r="GE55" s="18"/>
      <c r="GF55" s="18"/>
      <c r="GG55" s="18"/>
      <c r="GH55" s="18"/>
      <c r="GI55" s="18"/>
      <c r="GJ55" s="18"/>
      <c r="GK55" s="18"/>
      <c r="GL55" s="18"/>
      <c r="GM55" s="18"/>
      <c r="GN55" s="18"/>
      <c r="GO55" s="18"/>
      <c r="GP55" s="18"/>
      <c r="GQ55" s="18"/>
      <c r="GR55" s="18"/>
      <c r="GS55" s="18"/>
      <c r="GT55" s="18"/>
      <c r="GU55" s="18"/>
      <c r="GV55" s="18"/>
      <c r="GW55" s="18"/>
      <c r="GX55" s="18"/>
      <c r="GY55" s="18"/>
      <c r="GZ55" s="18"/>
      <c r="HA55" s="18"/>
      <c r="HB55" s="18"/>
      <c r="HC55" s="18"/>
      <c r="HD55" s="18"/>
      <c r="HE55" s="18"/>
      <c r="HF55" s="18"/>
      <c r="HG55" s="18"/>
      <c r="HH55" s="18"/>
      <c r="HI55" s="18"/>
      <c r="HJ55" s="18"/>
      <c r="HK55" s="18"/>
      <c r="HL55" s="18"/>
      <c r="HM55" s="18"/>
      <c r="HN55" s="18"/>
      <c r="HO55" s="18"/>
      <c r="HP55" s="18"/>
      <c r="HQ55" s="18"/>
      <c r="HR55" s="18"/>
      <c r="HS55" s="18"/>
      <c r="HT55" s="18"/>
      <c r="HU55" s="18"/>
      <c r="HV55" s="18"/>
      <c r="HW55" s="18"/>
      <c r="HX55" s="18"/>
      <c r="HY55" s="18"/>
      <c r="HZ55" s="18"/>
      <c r="IA55" s="18"/>
      <c r="IB55" s="18"/>
      <c r="IC55" s="18"/>
      <c r="ID55" s="18"/>
      <c r="IE55" s="18"/>
      <c r="IF55" s="18"/>
      <c r="IG55" s="18"/>
      <c r="IH55" s="18"/>
      <c r="II55" s="18"/>
      <c r="IJ55" s="18"/>
      <c r="IK55" s="18"/>
      <c r="IL55" s="18"/>
      <c r="IM55" s="18"/>
      <c r="IN55" s="18"/>
      <c r="IO55" s="18"/>
      <c r="IP55" s="18"/>
      <c r="IQ55" s="18"/>
      <c r="IR55" s="18"/>
      <c r="IS55" s="18"/>
      <c r="IT55" s="18"/>
      <c r="IU55" s="18"/>
      <c r="IV55" s="18"/>
      <c r="IW55" s="18"/>
      <c r="IX55" s="18"/>
      <c r="IY55" s="18"/>
      <c r="IZ55" s="18"/>
      <c r="JA55" s="18"/>
      <c r="JB55" s="18"/>
      <c r="JC55" s="18"/>
      <c r="JD55" s="18"/>
      <c r="JE55" s="18"/>
      <c r="JF55" s="18"/>
      <c r="JG55" s="18"/>
      <c r="JH55" s="18"/>
      <c r="JI55" s="18"/>
      <c r="JJ55" s="18"/>
      <c r="JK55" s="18"/>
      <c r="JL55" s="18"/>
      <c r="JM55" s="18"/>
      <c r="JN55" s="18"/>
      <c r="JO55" s="18"/>
      <c r="JP55" s="18"/>
      <c r="JQ55" s="18"/>
      <c r="JR55" s="18"/>
      <c r="JS55" s="18"/>
      <c r="JT55" s="18"/>
      <c r="JU55" s="18"/>
      <c r="JV55" s="18"/>
      <c r="JW55" s="18"/>
      <c r="JX55" s="18"/>
      <c r="JY55" s="18"/>
      <c r="JZ55" s="18"/>
      <c r="KA55" s="18"/>
      <c r="KB55" s="18"/>
      <c r="KC55" s="18"/>
      <c r="KD55" s="18"/>
      <c r="KE55" s="18"/>
      <c r="KF55" s="18"/>
      <c r="KG55" s="18"/>
      <c r="KH55" s="18"/>
      <c r="KI55" s="18"/>
      <c r="KJ55" s="18"/>
      <c r="KK55" s="18"/>
      <c r="KL55" s="18"/>
      <c r="KM55" s="18"/>
      <c r="KN55" s="18"/>
      <c r="KO55" s="18"/>
      <c r="KP55" s="18"/>
      <c r="KQ55" s="18"/>
      <c r="KR55" s="18"/>
      <c r="KS55" s="18"/>
      <c r="KT55" s="18"/>
      <c r="KU55" s="18"/>
      <c r="KV55" s="18"/>
      <c r="KW55" s="18"/>
      <c r="KX55" s="18"/>
      <c r="KY55" s="18"/>
      <c r="KZ55" s="18"/>
      <c r="LA55" s="18"/>
      <c r="LB55" s="18"/>
      <c r="LC55" s="18"/>
      <c r="LD55" s="18"/>
      <c r="LE55" s="18"/>
      <c r="LF55" s="18"/>
      <c r="LG55" s="18"/>
      <c r="LH55" s="18"/>
      <c r="LI55" s="18"/>
      <c r="LJ55" s="18"/>
      <c r="LK55" s="18"/>
      <c r="LL55" s="18"/>
      <c r="LM55" s="18"/>
      <c r="LN55" s="18"/>
      <c r="LO55" s="18"/>
      <c r="LP55" s="18"/>
      <c r="LQ55" s="18"/>
      <c r="LR55" s="18"/>
      <c r="LS55" s="18"/>
      <c r="LT55" s="18"/>
      <c r="LU55" s="18"/>
      <c r="LV55" s="18"/>
      <c r="LW55" s="18"/>
      <c r="LX55" s="18"/>
      <c r="LY55" s="18"/>
      <c r="LZ55" s="18"/>
      <c r="MA55" s="18"/>
      <c r="MB55" s="18"/>
      <c r="MC55" s="18"/>
      <c r="MD55" s="18"/>
      <c r="ME55" s="18"/>
      <c r="MF55" s="18"/>
      <c r="MG55" s="18"/>
      <c r="MH55" s="18"/>
      <c r="MI55" s="18"/>
      <c r="MJ55" s="18"/>
      <c r="MK55" s="18"/>
      <c r="ML55" s="18"/>
      <c r="MM55" s="18"/>
      <c r="MN55" s="18"/>
      <c r="MO55" s="18"/>
      <c r="MP55" s="18"/>
      <c r="MQ55" s="18"/>
      <c r="MR55" s="18"/>
      <c r="MS55" s="18"/>
      <c r="MT55" s="18"/>
      <c r="MU55" s="18"/>
      <c r="MV55" s="18"/>
      <c r="MW55" s="18"/>
      <c r="MX55" s="18"/>
      <c r="MY55" s="18"/>
      <c r="MZ55" s="18"/>
      <c r="NA55" s="18"/>
      <c r="NB55" s="18"/>
      <c r="NC55" s="18"/>
      <c r="ND55" s="18"/>
      <c r="NE55" s="18"/>
      <c r="NF55" s="18"/>
      <c r="NG55" s="18"/>
      <c r="NH55" s="18"/>
      <c r="NI55" s="18"/>
      <c r="NJ55" s="18"/>
      <c r="NK55" s="18"/>
      <c r="NL55" s="18"/>
      <c r="NM55" s="18"/>
      <c r="NN55" s="18"/>
      <c r="NO55" s="18"/>
      <c r="NP55" s="18"/>
      <c r="NQ55" s="18"/>
      <c r="NR55" s="18"/>
      <c r="NS55" s="18"/>
      <c r="NT55" s="18"/>
      <c r="NU55" s="18"/>
      <c r="NV55" s="18"/>
      <c r="NW55" s="18"/>
      <c r="NX55" s="18"/>
      <c r="NY55" s="18"/>
      <c r="NZ55" s="18"/>
      <c r="OA55" s="18"/>
      <c r="OB55" s="18"/>
      <c r="OC55" s="18"/>
      <c r="OD55" s="18"/>
      <c r="OE55" s="18"/>
      <c r="OF55" s="18"/>
      <c r="OG55" s="18"/>
      <c r="OH55" s="18"/>
      <c r="OI55" s="18"/>
      <c r="OJ55" s="18"/>
      <c r="OK55" s="18"/>
      <c r="OL55" s="18"/>
      <c r="OM55" s="18"/>
      <c r="ON55" s="18"/>
      <c r="OO55" s="18"/>
      <c r="OP55" s="18"/>
      <c r="OQ55" s="18"/>
      <c r="OR55" s="18"/>
      <c r="OS55" s="18"/>
      <c r="OT55" s="18"/>
      <c r="OU55" s="18"/>
      <c r="OV55" s="18"/>
      <c r="OW55" s="18"/>
      <c r="OX55" s="18"/>
      <c r="OY55" s="18"/>
      <c r="OZ55" s="18"/>
      <c r="PA55" s="18"/>
      <c r="PB55" s="18"/>
      <c r="PC55" s="18"/>
      <c r="PD55" s="18"/>
      <c r="PE55" s="18"/>
      <c r="PF55" s="18"/>
      <c r="PG55" s="18"/>
      <c r="PH55" s="18"/>
      <c r="PI55" s="18"/>
      <c r="PJ55" s="18"/>
      <c r="PK55" s="18"/>
      <c r="PL55" s="18"/>
      <c r="PM55" s="18"/>
      <c r="PN55" s="18"/>
      <c r="PO55" s="18"/>
      <c r="PP55" s="18"/>
      <c r="PQ55" s="18"/>
      <c r="PR55" s="18"/>
      <c r="PS55" s="18"/>
      <c r="PT55" s="18"/>
      <c r="PU55" s="18"/>
      <c r="PV55" s="18"/>
      <c r="PW55" s="18"/>
      <c r="PX55" s="18"/>
      <c r="PY55" s="18"/>
      <c r="PZ55" s="18"/>
      <c r="QA55" s="18"/>
      <c r="QB55" s="18"/>
      <c r="QC55" s="18"/>
      <c r="QD55" s="18"/>
      <c r="QE55" s="18"/>
      <c r="QF55" s="18"/>
      <c r="QG55" s="18"/>
      <c r="QH55" s="18"/>
      <c r="QI55" s="18"/>
      <c r="QJ55" s="18"/>
      <c r="QK55" s="18"/>
      <c r="QL55" s="18"/>
      <c r="QM55" s="18"/>
      <c r="QN55" s="18"/>
      <c r="QO55" s="18"/>
      <c r="QP55" s="18"/>
      <c r="QQ55" s="18"/>
      <c r="QR55" s="18"/>
      <c r="QS55" s="18"/>
      <c r="QT55" s="18"/>
      <c r="QU55" s="18"/>
      <c r="QV55" s="18"/>
      <c r="QW55" s="18"/>
      <c r="QX55" s="18"/>
      <c r="QY55" s="18"/>
      <c r="QZ55" s="18"/>
      <c r="RA55" s="18"/>
      <c r="RB55" s="18"/>
      <c r="RC55" s="18"/>
      <c r="RD55" s="18"/>
      <c r="RE55" s="18"/>
      <c r="RF55" s="18"/>
      <c r="RG55" s="18"/>
      <c r="RH55" s="18"/>
      <c r="RI55" s="18"/>
      <c r="RJ55" s="18"/>
      <c r="RK55" s="18"/>
      <c r="RL55" s="18"/>
      <c r="RM55" s="18"/>
      <c r="RN55" s="18"/>
      <c r="RO55" s="18"/>
      <c r="RP55" s="18"/>
      <c r="RQ55" s="18"/>
      <c r="RR55" s="18"/>
      <c r="RS55" s="18"/>
      <c r="RT55" s="18"/>
      <c r="RU55" s="18"/>
      <c r="RV55" s="18"/>
      <c r="RW55" s="18"/>
      <c r="RX55" s="18"/>
      <c r="RY55" s="18"/>
      <c r="RZ55" s="18"/>
      <c r="SA55" s="18"/>
      <c r="SB55" s="18"/>
      <c r="SC55" s="18"/>
      <c r="SD55" s="18"/>
      <c r="SE55" s="18"/>
      <c r="SF55" s="18"/>
      <c r="SG55" s="18"/>
      <c r="SH55" s="18"/>
      <c r="SI55" s="18"/>
      <c r="SJ55" s="18"/>
      <c r="SK55" s="18"/>
      <c r="SL55" s="18"/>
      <c r="SM55" s="18"/>
      <c r="SN55" s="18"/>
      <c r="SO55" s="18"/>
      <c r="SP55" s="18"/>
      <c r="SQ55" s="18"/>
      <c r="SR55" s="18"/>
      <c r="SS55" s="18"/>
      <c r="ST55" s="18"/>
      <c r="SU55" s="18"/>
      <c r="SV55" s="18"/>
      <c r="SW55" s="18"/>
      <c r="SX55" s="18"/>
      <c r="SY55" s="18"/>
      <c r="SZ55" s="18"/>
      <c r="TA55" s="18"/>
      <c r="TB55" s="18"/>
      <c r="TC55" s="18"/>
      <c r="TD55" s="18"/>
      <c r="TE55" s="18"/>
      <c r="TF55" s="18"/>
      <c r="TG55" s="18"/>
      <c r="TH55" s="18"/>
      <c r="TI55" s="18"/>
      <c r="TJ55" s="18"/>
      <c r="TK55" s="18"/>
      <c r="TL55" s="18"/>
      <c r="TM55" s="18"/>
      <c r="TN55" s="18"/>
      <c r="TO55" s="18"/>
      <c r="TP55" s="18"/>
      <c r="TQ55" s="18"/>
      <c r="TR55" s="18"/>
      <c r="TS55" s="18"/>
      <c r="TT55" s="18"/>
      <c r="TU55" s="18"/>
      <c r="TV55" s="18"/>
      <c r="TW55" s="18"/>
      <c r="TX55" s="18"/>
      <c r="TY55" s="18"/>
      <c r="TZ55" s="18"/>
      <c r="UA55" s="18"/>
      <c r="UB55" s="18"/>
      <c r="UC55" s="18"/>
      <c r="UD55" s="18"/>
      <c r="UE55" s="18"/>
      <c r="UF55" s="18"/>
      <c r="UG55" s="18"/>
      <c r="UH55" s="18"/>
      <c r="UI55" s="18"/>
      <c r="UJ55" s="18"/>
      <c r="UK55" s="18"/>
      <c r="UL55" s="18"/>
      <c r="UM55" s="18"/>
      <c r="UN55" s="18"/>
      <c r="UO55" s="18"/>
      <c r="UP55" s="18"/>
      <c r="UQ55" s="18"/>
      <c r="UR55" s="18"/>
      <c r="US55" s="18"/>
      <c r="UT55" s="18"/>
      <c r="UU55" s="18"/>
      <c r="UV55" s="18"/>
      <c r="UW55" s="18"/>
      <c r="UX55" s="18"/>
      <c r="UY55" s="18"/>
      <c r="UZ55" s="18"/>
      <c r="VA55" s="18"/>
      <c r="VB55" s="18"/>
      <c r="VC55" s="18"/>
      <c r="VD55" s="18"/>
      <c r="VE55" s="18"/>
      <c r="VF55" s="18"/>
      <c r="VG55" s="18"/>
      <c r="VH55" s="18"/>
      <c r="VI55" s="18"/>
      <c r="VJ55" s="18"/>
      <c r="VK55" s="18"/>
      <c r="VL55" s="18"/>
      <c r="VM55" s="18"/>
      <c r="VN55" s="18"/>
      <c r="VO55" s="18"/>
      <c r="VP55" s="18"/>
      <c r="VQ55" s="18"/>
      <c r="VR55" s="18"/>
      <c r="VS55" s="18"/>
      <c r="VT55" s="18"/>
      <c r="VU55" s="18"/>
      <c r="VV55" s="18"/>
      <c r="VW55" s="18"/>
      <c r="VX55" s="18"/>
      <c r="VY55" s="18"/>
      <c r="VZ55" s="18"/>
      <c r="WA55" s="18"/>
      <c r="WB55" s="18"/>
      <c r="WC55" s="18"/>
      <c r="WD55" s="18"/>
      <c r="WE55" s="18"/>
      <c r="WF55" s="18"/>
      <c r="WG55" s="18"/>
      <c r="WH55" s="18"/>
      <c r="WI55" s="18"/>
      <c r="WJ55" s="18"/>
      <c r="WK55" s="18"/>
      <c r="WL55" s="18"/>
      <c r="WM55" s="18"/>
      <c r="WN55" s="18"/>
      <c r="WO55" s="18"/>
      <c r="WP55" s="18"/>
      <c r="WQ55" s="18"/>
      <c r="WR55" s="18"/>
      <c r="WS55" s="18"/>
      <c r="WT55" s="18"/>
      <c r="WU55" s="18"/>
      <c r="WV55" s="18"/>
      <c r="WW55" s="18"/>
      <c r="WX55" s="18"/>
      <c r="WY55" s="18"/>
      <c r="WZ55" s="18"/>
      <c r="XA55" s="18"/>
      <c r="XB55" s="18"/>
      <c r="XC55" s="18"/>
      <c r="XD55" s="18"/>
      <c r="XE55" s="18"/>
      <c r="XF55" s="18"/>
      <c r="XG55" s="18"/>
      <c r="XH55" s="18"/>
      <c r="XI55" s="18"/>
      <c r="XJ55" s="18"/>
      <c r="XK55" s="18"/>
      <c r="XL55" s="18"/>
      <c r="XM55" s="18"/>
      <c r="XN55" s="18"/>
      <c r="XO55" s="18"/>
      <c r="XP55" s="18"/>
      <c r="XQ55" s="18"/>
      <c r="XR55" s="18"/>
      <c r="XS55" s="18"/>
      <c r="XT55" s="18"/>
      <c r="XU55" s="18"/>
      <c r="XV55" s="18"/>
      <c r="XW55" s="18"/>
      <c r="XX55" s="18"/>
      <c r="XY55" s="18"/>
      <c r="XZ55" s="18"/>
      <c r="YA55" s="18"/>
      <c r="YB55" s="18"/>
      <c r="YC55" s="18"/>
      <c r="YD55" s="18"/>
      <c r="YE55" s="18"/>
      <c r="YF55" s="18"/>
      <c r="YG55" s="18"/>
      <c r="YH55" s="18"/>
      <c r="YI55" s="18"/>
      <c r="YJ55" s="18"/>
      <c r="YK55" s="18"/>
      <c r="YL55" s="18"/>
      <c r="YM55" s="18"/>
      <c r="YN55" s="18"/>
      <c r="YO55" s="18"/>
      <c r="YP55" s="18"/>
      <c r="YQ55" s="18"/>
      <c r="YR55" s="18"/>
      <c r="YS55" s="18"/>
      <c r="YT55" s="18"/>
      <c r="YU55" s="18"/>
      <c r="YV55" s="18"/>
      <c r="YW55" s="18"/>
      <c r="YX55" s="18"/>
      <c r="YY55" s="18"/>
      <c r="YZ55" s="18"/>
      <c r="ZA55" s="18"/>
      <c r="ZB55" s="18"/>
      <c r="ZC55" s="18"/>
      <c r="ZD55" s="18"/>
      <c r="ZE55" s="18"/>
      <c r="ZF55" s="18"/>
      <c r="ZG55" s="18"/>
      <c r="ZH55" s="18"/>
      <c r="ZI55" s="18"/>
      <c r="ZJ55" s="18"/>
      <c r="ZK55" s="18"/>
      <c r="ZL55" s="18"/>
      <c r="ZM55" s="18"/>
      <c r="ZN55" s="18"/>
      <c r="ZO55" s="18"/>
      <c r="ZP55" s="18"/>
      <c r="ZQ55" s="18"/>
      <c r="ZR55" s="18"/>
      <c r="ZS55" s="18"/>
      <c r="ZT55" s="18"/>
      <c r="ZU55" s="18"/>
      <c r="ZV55" s="18"/>
      <c r="ZW55" s="18"/>
      <c r="ZX55" s="18"/>
      <c r="ZY55" s="18"/>
      <c r="ZZ55" s="18"/>
      <c r="AAA55" s="18"/>
      <c r="AAB55" s="18"/>
      <c r="AAC55" s="18"/>
      <c r="AAD55" s="18"/>
      <c r="AAE55" s="18"/>
      <c r="AAF55" s="18"/>
      <c r="AAG55" s="18"/>
      <c r="AAH55" s="18"/>
      <c r="AAI55" s="18"/>
      <c r="AAJ55" s="18"/>
      <c r="AAK55" s="18"/>
      <c r="AAL55" s="18"/>
      <c r="AAM55" s="18"/>
      <c r="AAN55" s="18"/>
      <c r="AAO55" s="18"/>
      <c r="AAP55" s="18"/>
      <c r="AAQ55" s="18"/>
      <c r="AAR55" s="18"/>
      <c r="AAS55" s="18"/>
      <c r="AAT55" s="18"/>
      <c r="AAU55" s="18"/>
      <c r="AAV55" s="18"/>
      <c r="AAW55" s="18"/>
      <c r="AAX55" s="18"/>
      <c r="AAY55" s="18"/>
      <c r="AAZ55" s="18"/>
      <c r="ABA55" s="18"/>
      <c r="ABB55" s="18"/>
      <c r="ABC55" s="18"/>
      <c r="ABD55" s="18"/>
      <c r="ABE55" s="18"/>
      <c r="ABF55" s="18"/>
      <c r="ABG55" s="18"/>
      <c r="ABH55" s="18"/>
      <c r="ABI55" s="18"/>
      <c r="ABJ55" s="18"/>
      <c r="ABK55" s="18"/>
      <c r="ABL55" s="18"/>
      <c r="ABM55" s="18"/>
      <c r="ABN55" s="18"/>
      <c r="ABO55" s="18"/>
      <c r="ABP55" s="18"/>
      <c r="ABQ55" s="18"/>
      <c r="ABR55" s="18"/>
      <c r="ABS55" s="18"/>
      <c r="ABT55" s="18"/>
      <c r="ABU55" s="18"/>
      <c r="ABV55" s="18"/>
      <c r="ABW55" s="18"/>
      <c r="ABX55" s="18"/>
      <c r="ABY55" s="18"/>
      <c r="ABZ55" s="18"/>
      <c r="ACA55" s="18"/>
      <c r="ACB55" s="18"/>
      <c r="ACC55" s="18"/>
      <c r="ACD55" s="18"/>
      <c r="ACE55" s="18"/>
      <c r="ACF55" s="18"/>
      <c r="ACG55" s="18"/>
      <c r="ACH55" s="18"/>
      <c r="ACI55" s="18"/>
      <c r="ACJ55" s="18"/>
      <c r="ACK55" s="18"/>
      <c r="ACL55" s="18"/>
      <c r="ACM55" s="18"/>
      <c r="ACN55" s="18"/>
      <c r="ACO55" s="18"/>
      <c r="ACP55" s="18"/>
      <c r="ACQ55" s="18"/>
      <c r="ACR55" s="18"/>
      <c r="ACS55" s="18"/>
      <c r="ACT55" s="18"/>
      <c r="ACU55" s="18"/>
      <c r="ACV55" s="18"/>
      <c r="ACW55" s="18"/>
      <c r="ACX55" s="18"/>
      <c r="ACY55" s="18"/>
      <c r="ACZ55" s="18"/>
      <c r="ADA55" s="18"/>
      <c r="ADB55" s="18"/>
      <c r="ADC55" s="18"/>
      <c r="ADD55" s="18"/>
      <c r="ADE55" s="18"/>
      <c r="ADF55" s="18"/>
      <c r="ADG55" s="18"/>
      <c r="ADH55" s="18"/>
      <c r="ADI55" s="18"/>
      <c r="ADJ55" s="18"/>
      <c r="ADK55" s="18"/>
      <c r="ADL55" s="18"/>
      <c r="ADM55" s="18"/>
      <c r="ADN55" s="18"/>
      <c r="ADO55" s="18"/>
      <c r="ADP55" s="18"/>
      <c r="ADQ55" s="18"/>
      <c r="ADR55" s="18"/>
      <c r="ADS55" s="18"/>
      <c r="ADT55" s="18"/>
      <c r="ADU55" s="18"/>
      <c r="ADV55" s="18"/>
      <c r="ADW55" s="18"/>
      <c r="ADX55" s="18"/>
      <c r="ADY55" s="18"/>
      <c r="ADZ55" s="18"/>
      <c r="AEA55" s="18"/>
      <c r="AEB55" s="18"/>
      <c r="AEC55" s="18"/>
      <c r="AED55" s="18"/>
      <c r="AEE55" s="18"/>
      <c r="AEF55" s="18"/>
      <c r="AEG55" s="18"/>
      <c r="AEH55" s="18"/>
      <c r="AEI55" s="18"/>
      <c r="AEJ55" s="18"/>
      <c r="AEK55" s="18"/>
      <c r="AEL55" s="18"/>
      <c r="AEM55" s="18"/>
      <c r="AEN55" s="18"/>
      <c r="AEO55" s="18"/>
      <c r="AEP55" s="18"/>
      <c r="AEQ55" s="18"/>
      <c r="AER55" s="18"/>
      <c r="AES55" s="18"/>
      <c r="AET55" s="18"/>
      <c r="AEU55" s="18"/>
      <c r="AEV55" s="18"/>
      <c r="AEW55" s="18"/>
      <c r="AEX55" s="18"/>
      <c r="AEY55" s="18"/>
      <c r="AEZ55" s="18"/>
      <c r="AFA55" s="18"/>
      <c r="AFB55" s="18"/>
      <c r="AFC55" s="18"/>
      <c r="AFD55" s="18"/>
      <c r="AFE55" s="18"/>
      <c r="AFF55" s="18"/>
      <c r="AFG55" s="18"/>
      <c r="AFH55" s="18"/>
      <c r="AFI55" s="18"/>
      <c r="AFJ55" s="18"/>
      <c r="AFK55" s="18"/>
      <c r="AFL55" s="18"/>
      <c r="AFM55" s="18"/>
      <c r="AFN55" s="18"/>
      <c r="AFO55" s="18"/>
      <c r="AFP55" s="18"/>
      <c r="AFQ55" s="18"/>
      <c r="AFR55" s="18"/>
      <c r="AFS55" s="18"/>
      <c r="AFT55" s="18"/>
      <c r="AFU55" s="18"/>
      <c r="AFV55" s="18"/>
      <c r="AFW55" s="18"/>
      <c r="AFX55" s="18"/>
      <c r="AFY55" s="18"/>
      <c r="AFZ55" s="18"/>
      <c r="AGA55" s="18"/>
      <c r="AGB55" s="18"/>
      <c r="AGC55" s="18"/>
      <c r="AGD55" s="18"/>
      <c r="AGE55" s="18"/>
      <c r="AGF55" s="18"/>
      <c r="AGG55" s="18"/>
      <c r="AGH55" s="18"/>
      <c r="AGI55" s="18"/>
      <c r="AGJ55" s="18"/>
      <c r="AGK55" s="18"/>
      <c r="AGL55" s="18"/>
      <c r="AGM55" s="18"/>
      <c r="AGN55" s="18"/>
      <c r="AGO55" s="18"/>
      <c r="AGP55" s="18"/>
      <c r="AGQ55" s="18"/>
      <c r="AGR55" s="18"/>
      <c r="AGS55" s="18"/>
      <c r="AGT55" s="18"/>
      <c r="AGU55" s="18"/>
      <c r="AGV55" s="18"/>
      <c r="AGW55" s="18"/>
      <c r="AGX55" s="18"/>
      <c r="AGY55" s="18"/>
      <c r="AGZ55" s="18"/>
      <c r="AHA55" s="18"/>
      <c r="AHB55" s="18"/>
      <c r="AHC55" s="18"/>
      <c r="AHD55" s="18"/>
      <c r="AHE55" s="18"/>
      <c r="AHF55" s="18"/>
      <c r="AHG55" s="18"/>
      <c r="AHH55" s="18"/>
      <c r="AHI55" s="18"/>
      <c r="AHJ55" s="18"/>
      <c r="AHK55" s="18"/>
      <c r="AHL55" s="18"/>
      <c r="AHM55" s="18"/>
      <c r="AHN55" s="18"/>
      <c r="AHO55" s="18"/>
      <c r="AHP55" s="18"/>
      <c r="AHQ55" s="18"/>
      <c r="AHR55" s="18"/>
      <c r="AHS55" s="18"/>
      <c r="AHT55" s="18"/>
      <c r="AHU55" s="18"/>
      <c r="AHV55" s="18"/>
      <c r="AHW55" s="18"/>
      <c r="AHX55" s="18"/>
      <c r="AHY55" s="18"/>
      <c r="AHZ55" s="18"/>
      <c r="AIA55" s="18"/>
      <c r="AIB55" s="18"/>
      <c r="AIC55" s="18"/>
      <c r="AID55" s="18"/>
      <c r="AIE55" s="18"/>
      <c r="AIF55" s="18"/>
      <c r="AIG55" s="18"/>
      <c r="AIH55" s="18"/>
      <c r="AII55" s="18"/>
      <c r="AIJ55" s="18"/>
      <c r="AIK55" s="18"/>
      <c r="AIL55" s="18"/>
      <c r="AIM55" s="18"/>
      <c r="AIN55" s="18"/>
      <c r="AIO55" s="18"/>
      <c r="AIP55" s="18"/>
      <c r="AIQ55" s="18"/>
      <c r="AIR55" s="18"/>
      <c r="AIS55" s="18"/>
      <c r="AIT55" s="18"/>
      <c r="AIU55" s="18"/>
      <c r="AIV55" s="18"/>
      <c r="AIW55" s="18"/>
      <c r="AIX55" s="18"/>
      <c r="AIY55" s="18"/>
      <c r="AIZ55" s="18"/>
      <c r="AJA55" s="18"/>
      <c r="AJB55" s="18"/>
      <c r="AJC55" s="18"/>
      <c r="AJD55" s="18"/>
      <c r="AJE55" s="18"/>
      <c r="AJF55" s="18"/>
      <c r="AJG55" s="18"/>
      <c r="AJH55" s="18"/>
      <c r="AJI55" s="18"/>
      <c r="AJJ55" s="18"/>
      <c r="AJK55" s="18"/>
      <c r="AJL55" s="18"/>
      <c r="AJM55" s="18"/>
      <c r="AJN55" s="18"/>
      <c r="AJO55" s="18"/>
      <c r="AJP55" s="18"/>
      <c r="AJQ55" s="18"/>
      <c r="AJR55" s="18"/>
      <c r="AJS55" s="18"/>
      <c r="AJT55" s="18"/>
      <c r="AJU55" s="18"/>
      <c r="AJV55" s="18"/>
      <c r="AJW55" s="18"/>
      <c r="AJX55" s="18"/>
      <c r="AJY55" s="18"/>
      <c r="AJZ55" s="18"/>
      <c r="AKA55" s="18"/>
      <c r="AKB55" s="18"/>
      <c r="AKC55" s="18"/>
      <c r="AKD55" s="18"/>
      <c r="AKE55" s="18"/>
      <c r="AKF55" s="18"/>
      <c r="AKG55" s="18"/>
      <c r="AKH55" s="18"/>
      <c r="AKI55" s="18"/>
      <c r="AKJ55" s="18"/>
      <c r="AKK55" s="18"/>
      <c r="AKL55" s="18"/>
      <c r="AKM55" s="18"/>
      <c r="AKN55" s="18"/>
      <c r="AKO55" s="18"/>
      <c r="AKP55" s="18"/>
      <c r="AKQ55" s="18"/>
      <c r="AKR55" s="18"/>
      <c r="AKS55" s="18"/>
      <c r="AKT55" s="18"/>
      <c r="AKU55" s="18"/>
      <c r="AKV55" s="18"/>
      <c r="AKW55" s="18"/>
      <c r="AKX55" s="18"/>
      <c r="AKY55" s="18"/>
      <c r="AKZ55" s="18"/>
      <c r="ALA55" s="18"/>
      <c r="ALB55" s="18"/>
      <c r="ALC55" s="18"/>
      <c r="ALD55" s="18"/>
      <c r="ALE55" s="18"/>
      <c r="ALF55" s="18"/>
      <c r="ALG55" s="18"/>
      <c r="ALH55" s="18"/>
      <c r="ALI55" s="18"/>
      <c r="ALJ55" s="18"/>
      <c r="ALK55" s="18"/>
      <c r="ALL55" s="18"/>
      <c r="ALM55" s="18"/>
      <c r="ALN55" s="18"/>
      <c r="ALO55" s="18"/>
      <c r="ALP55" s="18"/>
      <c r="ALQ55" s="18"/>
      <c r="ALR55" s="18"/>
      <c r="ALS55" s="18"/>
      <c r="ALT55" s="18"/>
      <c r="ALU55" s="18"/>
      <c r="ALV55" s="18"/>
      <c r="ALW55" s="18"/>
      <c r="ALX55" s="18"/>
      <c r="ALY55" s="18"/>
      <c r="ALZ55" s="18"/>
      <c r="AMA55" s="18"/>
      <c r="AMB55" s="18"/>
      <c r="AMC55" s="18"/>
      <c r="AMD55" s="18"/>
      <c r="AME55" s="18"/>
      <c r="AMF55" s="18"/>
      <c r="AMG55" s="18"/>
      <c r="AMH55" s="18"/>
    </row>
    <row r="56" spans="1:1022" s="23" customFormat="1" x14ac:dyDescent="0.3">
      <c r="A56" s="33">
        <v>152</v>
      </c>
      <c r="B56" s="19"/>
      <c r="C56" s="19"/>
      <c r="D56" s="57" t="s">
        <v>327</v>
      </c>
      <c r="E56" s="34" t="s">
        <v>478</v>
      </c>
      <c r="F56" s="39"/>
      <c r="G56" s="39"/>
      <c r="H56" s="38" t="s">
        <v>281</v>
      </c>
      <c r="I56" s="31"/>
      <c r="J56" s="40"/>
      <c r="K56" s="31"/>
      <c r="L56" s="40"/>
      <c r="M56" s="41"/>
      <c r="N56" s="32"/>
      <c r="O56" s="18"/>
      <c r="P56" s="36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18"/>
      <c r="FW56" s="18"/>
      <c r="FX56" s="18"/>
      <c r="FY56" s="18"/>
      <c r="FZ56" s="18"/>
      <c r="GA56" s="18"/>
      <c r="GB56" s="18"/>
      <c r="GC56" s="18"/>
      <c r="GD56" s="18"/>
      <c r="GE56" s="18"/>
      <c r="GF56" s="18"/>
      <c r="GG56" s="18"/>
      <c r="GH56" s="18"/>
      <c r="GI56" s="18"/>
      <c r="GJ56" s="18"/>
      <c r="GK56" s="18"/>
      <c r="GL56" s="18"/>
      <c r="GM56" s="18"/>
      <c r="GN56" s="18"/>
      <c r="GO56" s="18"/>
      <c r="GP56" s="18"/>
      <c r="GQ56" s="18"/>
      <c r="GR56" s="18"/>
      <c r="GS56" s="18"/>
      <c r="GT56" s="18"/>
      <c r="GU56" s="18"/>
      <c r="GV56" s="18"/>
      <c r="GW56" s="18"/>
      <c r="GX56" s="18"/>
      <c r="GY56" s="18"/>
      <c r="GZ56" s="18"/>
      <c r="HA56" s="18"/>
      <c r="HB56" s="18"/>
      <c r="HC56" s="18"/>
      <c r="HD56" s="18"/>
      <c r="HE56" s="18"/>
      <c r="HF56" s="18"/>
      <c r="HG56" s="18"/>
      <c r="HH56" s="18"/>
      <c r="HI56" s="18"/>
      <c r="HJ56" s="18"/>
      <c r="HK56" s="18"/>
      <c r="HL56" s="18"/>
      <c r="HM56" s="18"/>
      <c r="HN56" s="18"/>
      <c r="HO56" s="18"/>
      <c r="HP56" s="18"/>
      <c r="HQ56" s="18"/>
      <c r="HR56" s="18"/>
      <c r="HS56" s="18"/>
      <c r="HT56" s="18"/>
      <c r="HU56" s="18"/>
      <c r="HV56" s="18"/>
      <c r="HW56" s="18"/>
      <c r="HX56" s="18"/>
      <c r="HY56" s="18"/>
      <c r="HZ56" s="18"/>
      <c r="IA56" s="18"/>
      <c r="IB56" s="18"/>
      <c r="IC56" s="18"/>
      <c r="ID56" s="18"/>
      <c r="IE56" s="18"/>
      <c r="IF56" s="18"/>
      <c r="IG56" s="18"/>
      <c r="IH56" s="18"/>
      <c r="II56" s="18"/>
      <c r="IJ56" s="18"/>
      <c r="IK56" s="18"/>
      <c r="IL56" s="18"/>
      <c r="IM56" s="18"/>
      <c r="IN56" s="18"/>
      <c r="IO56" s="18"/>
      <c r="IP56" s="18"/>
      <c r="IQ56" s="18"/>
      <c r="IR56" s="18"/>
      <c r="IS56" s="18"/>
      <c r="IT56" s="18"/>
      <c r="IU56" s="18"/>
      <c r="IV56" s="18"/>
      <c r="IW56" s="18"/>
      <c r="IX56" s="18"/>
      <c r="IY56" s="18"/>
      <c r="IZ56" s="18"/>
      <c r="JA56" s="18"/>
      <c r="JB56" s="18"/>
      <c r="JC56" s="18"/>
      <c r="JD56" s="18"/>
      <c r="JE56" s="18"/>
      <c r="JF56" s="18"/>
      <c r="JG56" s="18"/>
      <c r="JH56" s="18"/>
      <c r="JI56" s="18"/>
      <c r="JJ56" s="18"/>
      <c r="JK56" s="18"/>
      <c r="JL56" s="18"/>
      <c r="JM56" s="18"/>
      <c r="JN56" s="18"/>
      <c r="JO56" s="18"/>
      <c r="JP56" s="18"/>
      <c r="JQ56" s="18"/>
      <c r="JR56" s="18"/>
      <c r="JS56" s="18"/>
      <c r="JT56" s="18"/>
      <c r="JU56" s="18"/>
      <c r="JV56" s="18"/>
      <c r="JW56" s="18"/>
      <c r="JX56" s="18"/>
      <c r="JY56" s="18"/>
      <c r="JZ56" s="18"/>
      <c r="KA56" s="18"/>
      <c r="KB56" s="18"/>
      <c r="KC56" s="18"/>
      <c r="KD56" s="18"/>
      <c r="KE56" s="18"/>
      <c r="KF56" s="18"/>
      <c r="KG56" s="18"/>
      <c r="KH56" s="18"/>
      <c r="KI56" s="18"/>
      <c r="KJ56" s="18"/>
      <c r="KK56" s="18"/>
      <c r="KL56" s="18"/>
      <c r="KM56" s="18"/>
      <c r="KN56" s="18"/>
      <c r="KO56" s="18"/>
      <c r="KP56" s="18"/>
      <c r="KQ56" s="18"/>
      <c r="KR56" s="18"/>
      <c r="KS56" s="18"/>
      <c r="KT56" s="18"/>
      <c r="KU56" s="18"/>
      <c r="KV56" s="18"/>
      <c r="KW56" s="18"/>
      <c r="KX56" s="18"/>
      <c r="KY56" s="18"/>
      <c r="KZ56" s="18"/>
      <c r="LA56" s="18"/>
      <c r="LB56" s="18"/>
      <c r="LC56" s="18"/>
      <c r="LD56" s="18"/>
      <c r="LE56" s="18"/>
      <c r="LF56" s="18"/>
      <c r="LG56" s="18"/>
      <c r="LH56" s="18"/>
      <c r="LI56" s="18"/>
      <c r="LJ56" s="18"/>
      <c r="LK56" s="18"/>
      <c r="LL56" s="18"/>
      <c r="LM56" s="18"/>
      <c r="LN56" s="18"/>
      <c r="LO56" s="18"/>
      <c r="LP56" s="18"/>
      <c r="LQ56" s="18"/>
      <c r="LR56" s="18"/>
      <c r="LS56" s="18"/>
      <c r="LT56" s="18"/>
      <c r="LU56" s="18"/>
      <c r="LV56" s="18"/>
      <c r="LW56" s="18"/>
      <c r="LX56" s="18"/>
      <c r="LY56" s="18"/>
      <c r="LZ56" s="18"/>
      <c r="MA56" s="18"/>
      <c r="MB56" s="18"/>
      <c r="MC56" s="18"/>
      <c r="MD56" s="18"/>
      <c r="ME56" s="18"/>
      <c r="MF56" s="18"/>
      <c r="MG56" s="18"/>
      <c r="MH56" s="18"/>
      <c r="MI56" s="18"/>
      <c r="MJ56" s="18"/>
      <c r="MK56" s="18"/>
      <c r="ML56" s="18"/>
      <c r="MM56" s="18"/>
      <c r="MN56" s="18"/>
      <c r="MO56" s="18"/>
      <c r="MP56" s="18"/>
      <c r="MQ56" s="18"/>
      <c r="MR56" s="18"/>
      <c r="MS56" s="18"/>
      <c r="MT56" s="18"/>
      <c r="MU56" s="18"/>
      <c r="MV56" s="18"/>
      <c r="MW56" s="18"/>
      <c r="MX56" s="18"/>
      <c r="MY56" s="18"/>
      <c r="MZ56" s="18"/>
      <c r="NA56" s="18"/>
      <c r="NB56" s="18"/>
      <c r="NC56" s="18"/>
      <c r="ND56" s="18"/>
      <c r="NE56" s="18"/>
      <c r="NF56" s="18"/>
      <c r="NG56" s="18"/>
      <c r="NH56" s="18"/>
      <c r="NI56" s="18"/>
      <c r="NJ56" s="18"/>
      <c r="NK56" s="18"/>
      <c r="NL56" s="18"/>
      <c r="NM56" s="18"/>
      <c r="NN56" s="18"/>
      <c r="NO56" s="18"/>
      <c r="NP56" s="18"/>
      <c r="NQ56" s="18"/>
      <c r="NR56" s="18"/>
      <c r="NS56" s="18"/>
      <c r="NT56" s="18"/>
      <c r="NU56" s="18"/>
      <c r="NV56" s="18"/>
      <c r="NW56" s="18"/>
      <c r="NX56" s="18"/>
      <c r="NY56" s="18"/>
      <c r="NZ56" s="18"/>
      <c r="OA56" s="18"/>
      <c r="OB56" s="18"/>
      <c r="OC56" s="18"/>
      <c r="OD56" s="18"/>
      <c r="OE56" s="18"/>
      <c r="OF56" s="18"/>
      <c r="OG56" s="18"/>
      <c r="OH56" s="18"/>
      <c r="OI56" s="18"/>
      <c r="OJ56" s="18"/>
      <c r="OK56" s="18"/>
      <c r="OL56" s="18"/>
      <c r="OM56" s="18"/>
      <c r="ON56" s="18"/>
      <c r="OO56" s="18"/>
      <c r="OP56" s="18"/>
      <c r="OQ56" s="18"/>
      <c r="OR56" s="18"/>
      <c r="OS56" s="18"/>
      <c r="OT56" s="18"/>
      <c r="OU56" s="18"/>
      <c r="OV56" s="18"/>
      <c r="OW56" s="18"/>
      <c r="OX56" s="18"/>
      <c r="OY56" s="18"/>
      <c r="OZ56" s="18"/>
      <c r="PA56" s="18"/>
      <c r="PB56" s="18"/>
      <c r="PC56" s="18"/>
      <c r="PD56" s="18"/>
      <c r="PE56" s="18"/>
      <c r="PF56" s="18"/>
      <c r="PG56" s="18"/>
      <c r="PH56" s="18"/>
      <c r="PI56" s="18"/>
      <c r="PJ56" s="18"/>
      <c r="PK56" s="18"/>
      <c r="PL56" s="18"/>
      <c r="PM56" s="18"/>
      <c r="PN56" s="18"/>
      <c r="PO56" s="18"/>
      <c r="PP56" s="18"/>
      <c r="PQ56" s="18"/>
      <c r="PR56" s="18"/>
      <c r="PS56" s="18"/>
      <c r="PT56" s="18"/>
      <c r="PU56" s="18"/>
      <c r="PV56" s="18"/>
      <c r="PW56" s="18"/>
      <c r="PX56" s="18"/>
      <c r="PY56" s="18"/>
      <c r="PZ56" s="18"/>
      <c r="QA56" s="18"/>
      <c r="QB56" s="18"/>
      <c r="QC56" s="18"/>
      <c r="QD56" s="18"/>
      <c r="QE56" s="18"/>
      <c r="QF56" s="18"/>
      <c r="QG56" s="18"/>
      <c r="QH56" s="18"/>
      <c r="QI56" s="18"/>
      <c r="QJ56" s="18"/>
      <c r="QK56" s="18"/>
      <c r="QL56" s="18"/>
      <c r="QM56" s="18"/>
      <c r="QN56" s="18"/>
      <c r="QO56" s="18"/>
      <c r="QP56" s="18"/>
      <c r="QQ56" s="18"/>
      <c r="QR56" s="18"/>
      <c r="QS56" s="18"/>
      <c r="QT56" s="18"/>
      <c r="QU56" s="18"/>
      <c r="QV56" s="18"/>
      <c r="QW56" s="18"/>
      <c r="QX56" s="18"/>
      <c r="QY56" s="18"/>
      <c r="QZ56" s="18"/>
      <c r="RA56" s="18"/>
      <c r="RB56" s="18"/>
      <c r="RC56" s="18"/>
      <c r="RD56" s="18"/>
      <c r="RE56" s="18"/>
      <c r="RF56" s="18"/>
      <c r="RG56" s="18"/>
      <c r="RH56" s="18"/>
      <c r="RI56" s="18"/>
      <c r="RJ56" s="18"/>
      <c r="RK56" s="18"/>
      <c r="RL56" s="18"/>
      <c r="RM56" s="18"/>
      <c r="RN56" s="18"/>
      <c r="RO56" s="18"/>
      <c r="RP56" s="18"/>
      <c r="RQ56" s="18"/>
      <c r="RR56" s="18"/>
      <c r="RS56" s="18"/>
      <c r="RT56" s="18"/>
      <c r="RU56" s="18"/>
      <c r="RV56" s="18"/>
      <c r="RW56" s="18"/>
      <c r="RX56" s="18"/>
      <c r="RY56" s="18"/>
      <c r="RZ56" s="18"/>
      <c r="SA56" s="18"/>
      <c r="SB56" s="18"/>
      <c r="SC56" s="18"/>
      <c r="SD56" s="18"/>
      <c r="SE56" s="18"/>
      <c r="SF56" s="18"/>
      <c r="SG56" s="18"/>
      <c r="SH56" s="18"/>
      <c r="SI56" s="18"/>
      <c r="SJ56" s="18"/>
      <c r="SK56" s="18"/>
      <c r="SL56" s="18"/>
      <c r="SM56" s="18"/>
      <c r="SN56" s="18"/>
      <c r="SO56" s="18"/>
      <c r="SP56" s="18"/>
      <c r="SQ56" s="18"/>
      <c r="SR56" s="18"/>
      <c r="SS56" s="18"/>
      <c r="ST56" s="18"/>
      <c r="SU56" s="18"/>
      <c r="SV56" s="18"/>
      <c r="SW56" s="18"/>
      <c r="SX56" s="18"/>
      <c r="SY56" s="18"/>
      <c r="SZ56" s="18"/>
      <c r="TA56" s="18"/>
      <c r="TB56" s="18"/>
      <c r="TC56" s="18"/>
      <c r="TD56" s="18"/>
      <c r="TE56" s="18"/>
      <c r="TF56" s="18"/>
      <c r="TG56" s="18"/>
      <c r="TH56" s="18"/>
      <c r="TI56" s="18"/>
      <c r="TJ56" s="18"/>
      <c r="TK56" s="18"/>
      <c r="TL56" s="18"/>
      <c r="TM56" s="18"/>
      <c r="TN56" s="18"/>
      <c r="TO56" s="18"/>
      <c r="TP56" s="18"/>
      <c r="TQ56" s="18"/>
      <c r="TR56" s="18"/>
      <c r="TS56" s="18"/>
      <c r="TT56" s="18"/>
      <c r="TU56" s="18"/>
      <c r="TV56" s="18"/>
      <c r="TW56" s="18"/>
      <c r="TX56" s="18"/>
      <c r="TY56" s="18"/>
      <c r="TZ56" s="18"/>
      <c r="UA56" s="18"/>
      <c r="UB56" s="18"/>
      <c r="UC56" s="18"/>
      <c r="UD56" s="18"/>
      <c r="UE56" s="18"/>
      <c r="UF56" s="18"/>
      <c r="UG56" s="18"/>
      <c r="UH56" s="18"/>
      <c r="UI56" s="18"/>
      <c r="UJ56" s="18"/>
      <c r="UK56" s="18"/>
      <c r="UL56" s="18"/>
      <c r="UM56" s="18"/>
      <c r="UN56" s="18"/>
      <c r="UO56" s="18"/>
      <c r="UP56" s="18"/>
      <c r="UQ56" s="18"/>
      <c r="UR56" s="18"/>
      <c r="US56" s="18"/>
      <c r="UT56" s="18"/>
      <c r="UU56" s="18"/>
      <c r="UV56" s="18"/>
      <c r="UW56" s="18"/>
      <c r="UX56" s="18"/>
      <c r="UY56" s="18"/>
      <c r="UZ56" s="18"/>
      <c r="VA56" s="18"/>
      <c r="VB56" s="18"/>
      <c r="VC56" s="18"/>
      <c r="VD56" s="18"/>
      <c r="VE56" s="18"/>
      <c r="VF56" s="18"/>
      <c r="VG56" s="18"/>
      <c r="VH56" s="18"/>
      <c r="VI56" s="18"/>
      <c r="VJ56" s="18"/>
      <c r="VK56" s="18"/>
      <c r="VL56" s="18"/>
      <c r="VM56" s="18"/>
      <c r="VN56" s="18"/>
      <c r="VO56" s="18"/>
      <c r="VP56" s="18"/>
      <c r="VQ56" s="18"/>
      <c r="VR56" s="18"/>
      <c r="VS56" s="18"/>
      <c r="VT56" s="18"/>
      <c r="VU56" s="18"/>
      <c r="VV56" s="18"/>
      <c r="VW56" s="18"/>
      <c r="VX56" s="18"/>
      <c r="VY56" s="18"/>
      <c r="VZ56" s="18"/>
      <c r="WA56" s="18"/>
      <c r="WB56" s="18"/>
      <c r="WC56" s="18"/>
      <c r="WD56" s="18"/>
      <c r="WE56" s="18"/>
      <c r="WF56" s="18"/>
      <c r="WG56" s="18"/>
      <c r="WH56" s="18"/>
      <c r="WI56" s="18"/>
      <c r="WJ56" s="18"/>
      <c r="WK56" s="18"/>
      <c r="WL56" s="18"/>
      <c r="WM56" s="18"/>
      <c r="WN56" s="18"/>
      <c r="WO56" s="18"/>
      <c r="WP56" s="18"/>
      <c r="WQ56" s="18"/>
      <c r="WR56" s="18"/>
      <c r="WS56" s="18"/>
      <c r="WT56" s="18"/>
      <c r="WU56" s="18"/>
      <c r="WV56" s="18"/>
      <c r="WW56" s="18"/>
      <c r="WX56" s="18"/>
      <c r="WY56" s="18"/>
      <c r="WZ56" s="18"/>
      <c r="XA56" s="18"/>
      <c r="XB56" s="18"/>
      <c r="XC56" s="18"/>
      <c r="XD56" s="18"/>
      <c r="XE56" s="18"/>
      <c r="XF56" s="18"/>
      <c r="XG56" s="18"/>
      <c r="XH56" s="18"/>
      <c r="XI56" s="18"/>
      <c r="XJ56" s="18"/>
      <c r="XK56" s="18"/>
      <c r="XL56" s="18"/>
      <c r="XM56" s="18"/>
      <c r="XN56" s="18"/>
      <c r="XO56" s="18"/>
      <c r="XP56" s="18"/>
      <c r="XQ56" s="18"/>
      <c r="XR56" s="18"/>
      <c r="XS56" s="18"/>
      <c r="XT56" s="18"/>
      <c r="XU56" s="18"/>
      <c r="XV56" s="18"/>
      <c r="XW56" s="18"/>
      <c r="XX56" s="18"/>
      <c r="XY56" s="18"/>
      <c r="XZ56" s="18"/>
      <c r="YA56" s="18"/>
      <c r="YB56" s="18"/>
      <c r="YC56" s="18"/>
      <c r="YD56" s="18"/>
      <c r="YE56" s="18"/>
      <c r="YF56" s="18"/>
      <c r="YG56" s="18"/>
      <c r="YH56" s="18"/>
      <c r="YI56" s="18"/>
      <c r="YJ56" s="18"/>
      <c r="YK56" s="18"/>
      <c r="YL56" s="18"/>
      <c r="YM56" s="18"/>
      <c r="YN56" s="18"/>
      <c r="YO56" s="18"/>
      <c r="YP56" s="18"/>
      <c r="YQ56" s="18"/>
      <c r="YR56" s="18"/>
      <c r="YS56" s="18"/>
      <c r="YT56" s="18"/>
      <c r="YU56" s="18"/>
      <c r="YV56" s="18"/>
      <c r="YW56" s="18"/>
      <c r="YX56" s="18"/>
      <c r="YY56" s="18"/>
      <c r="YZ56" s="18"/>
      <c r="ZA56" s="18"/>
      <c r="ZB56" s="18"/>
      <c r="ZC56" s="18"/>
      <c r="ZD56" s="18"/>
      <c r="ZE56" s="18"/>
      <c r="ZF56" s="18"/>
      <c r="ZG56" s="18"/>
      <c r="ZH56" s="18"/>
      <c r="ZI56" s="18"/>
      <c r="ZJ56" s="18"/>
      <c r="ZK56" s="18"/>
      <c r="ZL56" s="18"/>
      <c r="ZM56" s="18"/>
      <c r="ZN56" s="18"/>
      <c r="ZO56" s="18"/>
      <c r="ZP56" s="18"/>
      <c r="ZQ56" s="18"/>
      <c r="ZR56" s="18"/>
      <c r="ZS56" s="18"/>
      <c r="ZT56" s="18"/>
      <c r="ZU56" s="18"/>
      <c r="ZV56" s="18"/>
      <c r="ZW56" s="18"/>
      <c r="ZX56" s="18"/>
      <c r="ZY56" s="18"/>
      <c r="ZZ56" s="18"/>
      <c r="AAA56" s="18"/>
      <c r="AAB56" s="18"/>
      <c r="AAC56" s="18"/>
      <c r="AAD56" s="18"/>
      <c r="AAE56" s="18"/>
      <c r="AAF56" s="18"/>
      <c r="AAG56" s="18"/>
      <c r="AAH56" s="18"/>
      <c r="AAI56" s="18"/>
      <c r="AAJ56" s="18"/>
      <c r="AAK56" s="18"/>
      <c r="AAL56" s="18"/>
      <c r="AAM56" s="18"/>
      <c r="AAN56" s="18"/>
      <c r="AAO56" s="18"/>
      <c r="AAP56" s="18"/>
      <c r="AAQ56" s="18"/>
      <c r="AAR56" s="18"/>
      <c r="AAS56" s="18"/>
      <c r="AAT56" s="18"/>
      <c r="AAU56" s="18"/>
      <c r="AAV56" s="18"/>
      <c r="AAW56" s="18"/>
      <c r="AAX56" s="18"/>
      <c r="AAY56" s="18"/>
      <c r="AAZ56" s="18"/>
      <c r="ABA56" s="18"/>
      <c r="ABB56" s="18"/>
      <c r="ABC56" s="18"/>
      <c r="ABD56" s="18"/>
      <c r="ABE56" s="18"/>
      <c r="ABF56" s="18"/>
      <c r="ABG56" s="18"/>
      <c r="ABH56" s="18"/>
      <c r="ABI56" s="18"/>
      <c r="ABJ56" s="18"/>
      <c r="ABK56" s="18"/>
      <c r="ABL56" s="18"/>
      <c r="ABM56" s="18"/>
      <c r="ABN56" s="18"/>
      <c r="ABO56" s="18"/>
      <c r="ABP56" s="18"/>
      <c r="ABQ56" s="18"/>
      <c r="ABR56" s="18"/>
      <c r="ABS56" s="18"/>
      <c r="ABT56" s="18"/>
      <c r="ABU56" s="18"/>
      <c r="ABV56" s="18"/>
      <c r="ABW56" s="18"/>
      <c r="ABX56" s="18"/>
      <c r="ABY56" s="18"/>
      <c r="ABZ56" s="18"/>
      <c r="ACA56" s="18"/>
      <c r="ACB56" s="18"/>
      <c r="ACC56" s="18"/>
      <c r="ACD56" s="18"/>
      <c r="ACE56" s="18"/>
      <c r="ACF56" s="18"/>
      <c r="ACG56" s="18"/>
      <c r="ACH56" s="18"/>
      <c r="ACI56" s="18"/>
      <c r="ACJ56" s="18"/>
      <c r="ACK56" s="18"/>
      <c r="ACL56" s="18"/>
      <c r="ACM56" s="18"/>
      <c r="ACN56" s="18"/>
      <c r="ACO56" s="18"/>
      <c r="ACP56" s="18"/>
      <c r="ACQ56" s="18"/>
      <c r="ACR56" s="18"/>
      <c r="ACS56" s="18"/>
      <c r="ACT56" s="18"/>
      <c r="ACU56" s="18"/>
      <c r="ACV56" s="18"/>
      <c r="ACW56" s="18"/>
      <c r="ACX56" s="18"/>
      <c r="ACY56" s="18"/>
      <c r="ACZ56" s="18"/>
      <c r="ADA56" s="18"/>
      <c r="ADB56" s="18"/>
      <c r="ADC56" s="18"/>
      <c r="ADD56" s="18"/>
      <c r="ADE56" s="18"/>
      <c r="ADF56" s="18"/>
      <c r="ADG56" s="18"/>
      <c r="ADH56" s="18"/>
      <c r="ADI56" s="18"/>
      <c r="ADJ56" s="18"/>
      <c r="ADK56" s="18"/>
      <c r="ADL56" s="18"/>
      <c r="ADM56" s="18"/>
      <c r="ADN56" s="18"/>
      <c r="ADO56" s="18"/>
      <c r="ADP56" s="18"/>
      <c r="ADQ56" s="18"/>
      <c r="ADR56" s="18"/>
      <c r="ADS56" s="18"/>
      <c r="ADT56" s="18"/>
      <c r="ADU56" s="18"/>
      <c r="ADV56" s="18"/>
      <c r="ADW56" s="18"/>
      <c r="ADX56" s="18"/>
      <c r="ADY56" s="18"/>
      <c r="ADZ56" s="18"/>
      <c r="AEA56" s="18"/>
      <c r="AEB56" s="18"/>
      <c r="AEC56" s="18"/>
      <c r="AED56" s="18"/>
      <c r="AEE56" s="18"/>
      <c r="AEF56" s="18"/>
      <c r="AEG56" s="18"/>
      <c r="AEH56" s="18"/>
      <c r="AEI56" s="18"/>
      <c r="AEJ56" s="18"/>
      <c r="AEK56" s="18"/>
      <c r="AEL56" s="18"/>
      <c r="AEM56" s="18"/>
      <c r="AEN56" s="18"/>
      <c r="AEO56" s="18"/>
      <c r="AEP56" s="18"/>
      <c r="AEQ56" s="18"/>
      <c r="AER56" s="18"/>
      <c r="AES56" s="18"/>
      <c r="AET56" s="18"/>
      <c r="AEU56" s="18"/>
      <c r="AEV56" s="18"/>
      <c r="AEW56" s="18"/>
      <c r="AEX56" s="18"/>
      <c r="AEY56" s="18"/>
      <c r="AEZ56" s="18"/>
      <c r="AFA56" s="18"/>
      <c r="AFB56" s="18"/>
      <c r="AFC56" s="18"/>
      <c r="AFD56" s="18"/>
      <c r="AFE56" s="18"/>
      <c r="AFF56" s="18"/>
      <c r="AFG56" s="18"/>
      <c r="AFH56" s="18"/>
      <c r="AFI56" s="18"/>
      <c r="AFJ56" s="18"/>
      <c r="AFK56" s="18"/>
      <c r="AFL56" s="18"/>
      <c r="AFM56" s="18"/>
      <c r="AFN56" s="18"/>
      <c r="AFO56" s="18"/>
      <c r="AFP56" s="18"/>
      <c r="AFQ56" s="18"/>
      <c r="AFR56" s="18"/>
      <c r="AFS56" s="18"/>
      <c r="AFT56" s="18"/>
      <c r="AFU56" s="18"/>
      <c r="AFV56" s="18"/>
      <c r="AFW56" s="18"/>
      <c r="AFX56" s="18"/>
      <c r="AFY56" s="18"/>
      <c r="AFZ56" s="18"/>
      <c r="AGA56" s="18"/>
      <c r="AGB56" s="18"/>
      <c r="AGC56" s="18"/>
      <c r="AGD56" s="18"/>
      <c r="AGE56" s="18"/>
      <c r="AGF56" s="18"/>
      <c r="AGG56" s="18"/>
      <c r="AGH56" s="18"/>
      <c r="AGI56" s="18"/>
      <c r="AGJ56" s="18"/>
      <c r="AGK56" s="18"/>
      <c r="AGL56" s="18"/>
      <c r="AGM56" s="18"/>
      <c r="AGN56" s="18"/>
      <c r="AGO56" s="18"/>
      <c r="AGP56" s="18"/>
      <c r="AGQ56" s="18"/>
      <c r="AGR56" s="18"/>
      <c r="AGS56" s="18"/>
      <c r="AGT56" s="18"/>
      <c r="AGU56" s="18"/>
      <c r="AGV56" s="18"/>
      <c r="AGW56" s="18"/>
      <c r="AGX56" s="18"/>
      <c r="AGY56" s="18"/>
      <c r="AGZ56" s="18"/>
      <c r="AHA56" s="18"/>
      <c r="AHB56" s="18"/>
      <c r="AHC56" s="18"/>
      <c r="AHD56" s="18"/>
      <c r="AHE56" s="18"/>
      <c r="AHF56" s="18"/>
      <c r="AHG56" s="18"/>
      <c r="AHH56" s="18"/>
      <c r="AHI56" s="18"/>
      <c r="AHJ56" s="18"/>
      <c r="AHK56" s="18"/>
      <c r="AHL56" s="18"/>
      <c r="AHM56" s="18"/>
      <c r="AHN56" s="18"/>
      <c r="AHO56" s="18"/>
      <c r="AHP56" s="18"/>
      <c r="AHQ56" s="18"/>
      <c r="AHR56" s="18"/>
      <c r="AHS56" s="18"/>
      <c r="AHT56" s="18"/>
      <c r="AHU56" s="18"/>
      <c r="AHV56" s="18"/>
      <c r="AHW56" s="18"/>
      <c r="AHX56" s="18"/>
      <c r="AHY56" s="18"/>
      <c r="AHZ56" s="18"/>
      <c r="AIA56" s="18"/>
      <c r="AIB56" s="18"/>
      <c r="AIC56" s="18"/>
      <c r="AID56" s="18"/>
      <c r="AIE56" s="18"/>
      <c r="AIF56" s="18"/>
      <c r="AIG56" s="18"/>
      <c r="AIH56" s="18"/>
      <c r="AII56" s="18"/>
      <c r="AIJ56" s="18"/>
      <c r="AIK56" s="18"/>
      <c r="AIL56" s="18"/>
      <c r="AIM56" s="18"/>
      <c r="AIN56" s="18"/>
      <c r="AIO56" s="18"/>
      <c r="AIP56" s="18"/>
      <c r="AIQ56" s="18"/>
      <c r="AIR56" s="18"/>
      <c r="AIS56" s="18"/>
      <c r="AIT56" s="18"/>
      <c r="AIU56" s="18"/>
      <c r="AIV56" s="18"/>
      <c r="AIW56" s="18"/>
      <c r="AIX56" s="18"/>
      <c r="AIY56" s="18"/>
      <c r="AIZ56" s="18"/>
      <c r="AJA56" s="18"/>
      <c r="AJB56" s="18"/>
      <c r="AJC56" s="18"/>
      <c r="AJD56" s="18"/>
      <c r="AJE56" s="18"/>
      <c r="AJF56" s="18"/>
      <c r="AJG56" s="18"/>
      <c r="AJH56" s="18"/>
      <c r="AJI56" s="18"/>
      <c r="AJJ56" s="18"/>
      <c r="AJK56" s="18"/>
      <c r="AJL56" s="18"/>
      <c r="AJM56" s="18"/>
      <c r="AJN56" s="18"/>
      <c r="AJO56" s="18"/>
      <c r="AJP56" s="18"/>
      <c r="AJQ56" s="18"/>
      <c r="AJR56" s="18"/>
      <c r="AJS56" s="18"/>
      <c r="AJT56" s="18"/>
      <c r="AJU56" s="18"/>
      <c r="AJV56" s="18"/>
      <c r="AJW56" s="18"/>
      <c r="AJX56" s="18"/>
      <c r="AJY56" s="18"/>
      <c r="AJZ56" s="18"/>
      <c r="AKA56" s="18"/>
      <c r="AKB56" s="18"/>
      <c r="AKC56" s="18"/>
      <c r="AKD56" s="18"/>
      <c r="AKE56" s="18"/>
      <c r="AKF56" s="18"/>
      <c r="AKG56" s="18"/>
      <c r="AKH56" s="18"/>
      <c r="AKI56" s="18"/>
      <c r="AKJ56" s="18"/>
      <c r="AKK56" s="18"/>
      <c r="AKL56" s="18"/>
      <c r="AKM56" s="18"/>
      <c r="AKN56" s="18"/>
      <c r="AKO56" s="18"/>
      <c r="AKP56" s="18"/>
      <c r="AKQ56" s="18"/>
      <c r="AKR56" s="18"/>
      <c r="AKS56" s="18"/>
      <c r="AKT56" s="18"/>
      <c r="AKU56" s="18"/>
      <c r="AKV56" s="18"/>
      <c r="AKW56" s="18"/>
      <c r="AKX56" s="18"/>
      <c r="AKY56" s="18"/>
      <c r="AKZ56" s="18"/>
      <c r="ALA56" s="18"/>
      <c r="ALB56" s="18"/>
      <c r="ALC56" s="18"/>
      <c r="ALD56" s="18"/>
      <c r="ALE56" s="18"/>
      <c r="ALF56" s="18"/>
      <c r="ALG56" s="18"/>
      <c r="ALH56" s="18"/>
      <c r="ALI56" s="18"/>
      <c r="ALJ56" s="18"/>
      <c r="ALK56" s="18"/>
      <c r="ALL56" s="18"/>
      <c r="ALM56" s="18"/>
      <c r="ALN56" s="18"/>
      <c r="ALO56" s="18"/>
      <c r="ALP56" s="18"/>
      <c r="ALQ56" s="18"/>
      <c r="ALR56" s="18"/>
      <c r="ALS56" s="18"/>
      <c r="ALT56" s="18"/>
      <c r="ALU56" s="18"/>
      <c r="ALV56" s="18"/>
      <c r="ALW56" s="18"/>
      <c r="ALX56" s="18"/>
      <c r="ALY56" s="18"/>
      <c r="ALZ56" s="18"/>
      <c r="AMA56" s="18"/>
      <c r="AMB56" s="18"/>
      <c r="AMC56" s="18"/>
      <c r="AMD56" s="18"/>
      <c r="AME56" s="18"/>
      <c r="AMF56" s="18"/>
      <c r="AMG56" s="18"/>
      <c r="AMH56" s="18"/>
    </row>
    <row r="57" spans="1:1022" s="23" customFormat="1" x14ac:dyDescent="0.3">
      <c r="A57" s="33">
        <v>153</v>
      </c>
      <c r="B57" s="19"/>
      <c r="C57" s="19"/>
      <c r="D57" s="57" t="s">
        <v>328</v>
      </c>
      <c r="E57" s="34" t="s">
        <v>479</v>
      </c>
      <c r="F57" s="39"/>
      <c r="G57" s="39"/>
      <c r="H57" s="38" t="s">
        <v>281</v>
      </c>
      <c r="I57" s="31"/>
      <c r="J57" s="40"/>
      <c r="K57" s="31"/>
      <c r="L57" s="40"/>
      <c r="M57" s="41"/>
      <c r="N57" s="32"/>
      <c r="O57" s="18"/>
      <c r="P57" s="36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  <c r="GF57" s="18"/>
      <c r="GG57" s="18"/>
      <c r="GH57" s="18"/>
      <c r="GI57" s="18"/>
      <c r="GJ57" s="18"/>
      <c r="GK57" s="18"/>
      <c r="GL57" s="18"/>
      <c r="GM57" s="18"/>
      <c r="GN57" s="18"/>
      <c r="GO57" s="18"/>
      <c r="GP57" s="18"/>
      <c r="GQ57" s="18"/>
      <c r="GR57" s="18"/>
      <c r="GS57" s="18"/>
      <c r="GT57" s="18"/>
      <c r="GU57" s="18"/>
      <c r="GV57" s="18"/>
      <c r="GW57" s="18"/>
      <c r="GX57" s="18"/>
      <c r="GY57" s="18"/>
      <c r="GZ57" s="18"/>
      <c r="HA57" s="18"/>
      <c r="HB57" s="18"/>
      <c r="HC57" s="18"/>
      <c r="HD57" s="18"/>
      <c r="HE57" s="18"/>
      <c r="HF57" s="18"/>
      <c r="HG57" s="18"/>
      <c r="HH57" s="18"/>
      <c r="HI57" s="18"/>
      <c r="HJ57" s="18"/>
      <c r="HK57" s="18"/>
      <c r="HL57" s="18"/>
      <c r="HM57" s="18"/>
      <c r="HN57" s="18"/>
      <c r="HO57" s="18"/>
      <c r="HP57" s="18"/>
      <c r="HQ57" s="18"/>
      <c r="HR57" s="18"/>
      <c r="HS57" s="18"/>
      <c r="HT57" s="18"/>
      <c r="HU57" s="18"/>
      <c r="HV57" s="18"/>
      <c r="HW57" s="18"/>
      <c r="HX57" s="18"/>
      <c r="HY57" s="18"/>
      <c r="HZ57" s="18"/>
      <c r="IA57" s="18"/>
      <c r="IB57" s="18"/>
      <c r="IC57" s="18"/>
      <c r="ID57" s="18"/>
      <c r="IE57" s="18"/>
      <c r="IF57" s="18"/>
      <c r="IG57" s="18"/>
      <c r="IH57" s="18"/>
      <c r="II57" s="18"/>
      <c r="IJ57" s="18"/>
      <c r="IK57" s="18"/>
      <c r="IL57" s="18"/>
      <c r="IM57" s="18"/>
      <c r="IN57" s="18"/>
      <c r="IO57" s="18"/>
      <c r="IP57" s="18"/>
      <c r="IQ57" s="18"/>
      <c r="IR57" s="18"/>
      <c r="IS57" s="18"/>
      <c r="IT57" s="18"/>
      <c r="IU57" s="18"/>
      <c r="IV57" s="18"/>
      <c r="IW57" s="18"/>
      <c r="IX57" s="18"/>
      <c r="IY57" s="18"/>
      <c r="IZ57" s="18"/>
      <c r="JA57" s="18"/>
      <c r="JB57" s="18"/>
      <c r="JC57" s="18"/>
      <c r="JD57" s="18"/>
      <c r="JE57" s="18"/>
      <c r="JF57" s="18"/>
      <c r="JG57" s="18"/>
      <c r="JH57" s="18"/>
      <c r="JI57" s="18"/>
      <c r="JJ57" s="18"/>
      <c r="JK57" s="18"/>
      <c r="JL57" s="18"/>
      <c r="JM57" s="18"/>
      <c r="JN57" s="18"/>
      <c r="JO57" s="18"/>
      <c r="JP57" s="18"/>
      <c r="JQ57" s="18"/>
      <c r="JR57" s="18"/>
      <c r="JS57" s="18"/>
      <c r="JT57" s="18"/>
      <c r="JU57" s="18"/>
      <c r="JV57" s="18"/>
      <c r="JW57" s="18"/>
      <c r="JX57" s="18"/>
      <c r="JY57" s="18"/>
      <c r="JZ57" s="18"/>
      <c r="KA57" s="18"/>
      <c r="KB57" s="18"/>
      <c r="KC57" s="18"/>
      <c r="KD57" s="18"/>
      <c r="KE57" s="18"/>
      <c r="KF57" s="18"/>
      <c r="KG57" s="18"/>
      <c r="KH57" s="18"/>
      <c r="KI57" s="18"/>
      <c r="KJ57" s="18"/>
      <c r="KK57" s="18"/>
      <c r="KL57" s="18"/>
      <c r="KM57" s="18"/>
      <c r="KN57" s="18"/>
      <c r="KO57" s="18"/>
      <c r="KP57" s="18"/>
      <c r="KQ57" s="18"/>
      <c r="KR57" s="18"/>
      <c r="KS57" s="18"/>
      <c r="KT57" s="18"/>
      <c r="KU57" s="18"/>
      <c r="KV57" s="18"/>
      <c r="KW57" s="18"/>
      <c r="KX57" s="18"/>
      <c r="KY57" s="18"/>
      <c r="KZ57" s="18"/>
      <c r="LA57" s="18"/>
      <c r="LB57" s="18"/>
      <c r="LC57" s="18"/>
      <c r="LD57" s="18"/>
      <c r="LE57" s="18"/>
      <c r="LF57" s="18"/>
      <c r="LG57" s="18"/>
      <c r="LH57" s="18"/>
      <c r="LI57" s="18"/>
      <c r="LJ57" s="18"/>
      <c r="LK57" s="18"/>
      <c r="LL57" s="18"/>
      <c r="LM57" s="18"/>
      <c r="LN57" s="18"/>
      <c r="LO57" s="18"/>
      <c r="LP57" s="18"/>
      <c r="LQ57" s="18"/>
      <c r="LR57" s="18"/>
      <c r="LS57" s="18"/>
      <c r="LT57" s="18"/>
      <c r="LU57" s="18"/>
      <c r="LV57" s="18"/>
      <c r="LW57" s="18"/>
      <c r="LX57" s="18"/>
      <c r="LY57" s="18"/>
      <c r="LZ57" s="18"/>
      <c r="MA57" s="18"/>
      <c r="MB57" s="18"/>
      <c r="MC57" s="18"/>
      <c r="MD57" s="18"/>
      <c r="ME57" s="18"/>
      <c r="MF57" s="18"/>
      <c r="MG57" s="18"/>
      <c r="MH57" s="18"/>
      <c r="MI57" s="18"/>
      <c r="MJ57" s="18"/>
      <c r="MK57" s="18"/>
      <c r="ML57" s="18"/>
      <c r="MM57" s="18"/>
      <c r="MN57" s="18"/>
      <c r="MO57" s="18"/>
      <c r="MP57" s="18"/>
      <c r="MQ57" s="18"/>
      <c r="MR57" s="18"/>
      <c r="MS57" s="18"/>
      <c r="MT57" s="18"/>
      <c r="MU57" s="18"/>
      <c r="MV57" s="18"/>
      <c r="MW57" s="18"/>
      <c r="MX57" s="18"/>
      <c r="MY57" s="18"/>
      <c r="MZ57" s="18"/>
      <c r="NA57" s="18"/>
      <c r="NB57" s="18"/>
      <c r="NC57" s="18"/>
      <c r="ND57" s="18"/>
      <c r="NE57" s="18"/>
      <c r="NF57" s="18"/>
      <c r="NG57" s="18"/>
      <c r="NH57" s="18"/>
      <c r="NI57" s="18"/>
      <c r="NJ57" s="18"/>
      <c r="NK57" s="18"/>
      <c r="NL57" s="18"/>
      <c r="NM57" s="18"/>
      <c r="NN57" s="18"/>
      <c r="NO57" s="18"/>
      <c r="NP57" s="18"/>
      <c r="NQ57" s="18"/>
      <c r="NR57" s="18"/>
      <c r="NS57" s="18"/>
      <c r="NT57" s="18"/>
      <c r="NU57" s="18"/>
      <c r="NV57" s="18"/>
      <c r="NW57" s="18"/>
      <c r="NX57" s="18"/>
      <c r="NY57" s="18"/>
      <c r="NZ57" s="18"/>
      <c r="OA57" s="18"/>
      <c r="OB57" s="18"/>
      <c r="OC57" s="18"/>
      <c r="OD57" s="18"/>
      <c r="OE57" s="18"/>
      <c r="OF57" s="18"/>
      <c r="OG57" s="18"/>
      <c r="OH57" s="18"/>
      <c r="OI57" s="18"/>
      <c r="OJ57" s="18"/>
      <c r="OK57" s="18"/>
      <c r="OL57" s="18"/>
      <c r="OM57" s="18"/>
      <c r="ON57" s="18"/>
      <c r="OO57" s="18"/>
      <c r="OP57" s="18"/>
      <c r="OQ57" s="18"/>
      <c r="OR57" s="18"/>
      <c r="OS57" s="18"/>
      <c r="OT57" s="18"/>
      <c r="OU57" s="18"/>
      <c r="OV57" s="18"/>
      <c r="OW57" s="18"/>
      <c r="OX57" s="18"/>
      <c r="OY57" s="18"/>
      <c r="OZ57" s="18"/>
      <c r="PA57" s="18"/>
      <c r="PB57" s="18"/>
      <c r="PC57" s="18"/>
      <c r="PD57" s="18"/>
      <c r="PE57" s="18"/>
      <c r="PF57" s="18"/>
      <c r="PG57" s="18"/>
      <c r="PH57" s="18"/>
      <c r="PI57" s="18"/>
      <c r="PJ57" s="18"/>
      <c r="PK57" s="18"/>
      <c r="PL57" s="18"/>
      <c r="PM57" s="18"/>
      <c r="PN57" s="18"/>
      <c r="PO57" s="18"/>
      <c r="PP57" s="18"/>
      <c r="PQ57" s="18"/>
      <c r="PR57" s="18"/>
      <c r="PS57" s="18"/>
      <c r="PT57" s="18"/>
      <c r="PU57" s="18"/>
      <c r="PV57" s="18"/>
      <c r="PW57" s="18"/>
      <c r="PX57" s="18"/>
      <c r="PY57" s="18"/>
      <c r="PZ57" s="18"/>
      <c r="QA57" s="18"/>
      <c r="QB57" s="18"/>
      <c r="QC57" s="18"/>
      <c r="QD57" s="18"/>
      <c r="QE57" s="18"/>
      <c r="QF57" s="18"/>
      <c r="QG57" s="18"/>
      <c r="QH57" s="18"/>
      <c r="QI57" s="18"/>
      <c r="QJ57" s="18"/>
      <c r="QK57" s="18"/>
      <c r="QL57" s="18"/>
      <c r="QM57" s="18"/>
      <c r="QN57" s="18"/>
      <c r="QO57" s="18"/>
      <c r="QP57" s="18"/>
      <c r="QQ57" s="18"/>
      <c r="QR57" s="18"/>
      <c r="QS57" s="18"/>
      <c r="QT57" s="18"/>
      <c r="QU57" s="18"/>
      <c r="QV57" s="18"/>
      <c r="QW57" s="18"/>
      <c r="QX57" s="18"/>
      <c r="QY57" s="18"/>
      <c r="QZ57" s="18"/>
      <c r="RA57" s="18"/>
      <c r="RB57" s="18"/>
      <c r="RC57" s="18"/>
      <c r="RD57" s="18"/>
      <c r="RE57" s="18"/>
      <c r="RF57" s="18"/>
      <c r="RG57" s="18"/>
      <c r="RH57" s="18"/>
      <c r="RI57" s="18"/>
      <c r="RJ57" s="18"/>
      <c r="RK57" s="18"/>
      <c r="RL57" s="18"/>
      <c r="RM57" s="18"/>
      <c r="RN57" s="18"/>
      <c r="RO57" s="18"/>
      <c r="RP57" s="18"/>
      <c r="RQ57" s="18"/>
      <c r="RR57" s="18"/>
      <c r="RS57" s="18"/>
      <c r="RT57" s="18"/>
      <c r="RU57" s="18"/>
      <c r="RV57" s="18"/>
      <c r="RW57" s="18"/>
      <c r="RX57" s="18"/>
      <c r="RY57" s="18"/>
      <c r="RZ57" s="18"/>
      <c r="SA57" s="18"/>
      <c r="SB57" s="18"/>
      <c r="SC57" s="18"/>
      <c r="SD57" s="18"/>
      <c r="SE57" s="18"/>
      <c r="SF57" s="18"/>
      <c r="SG57" s="18"/>
      <c r="SH57" s="18"/>
      <c r="SI57" s="18"/>
      <c r="SJ57" s="18"/>
      <c r="SK57" s="18"/>
      <c r="SL57" s="18"/>
      <c r="SM57" s="18"/>
      <c r="SN57" s="18"/>
      <c r="SO57" s="18"/>
      <c r="SP57" s="18"/>
      <c r="SQ57" s="18"/>
      <c r="SR57" s="18"/>
      <c r="SS57" s="18"/>
      <c r="ST57" s="18"/>
      <c r="SU57" s="18"/>
      <c r="SV57" s="18"/>
      <c r="SW57" s="18"/>
      <c r="SX57" s="18"/>
      <c r="SY57" s="18"/>
      <c r="SZ57" s="18"/>
      <c r="TA57" s="18"/>
      <c r="TB57" s="18"/>
      <c r="TC57" s="18"/>
      <c r="TD57" s="18"/>
      <c r="TE57" s="18"/>
      <c r="TF57" s="18"/>
      <c r="TG57" s="18"/>
      <c r="TH57" s="18"/>
      <c r="TI57" s="18"/>
      <c r="TJ57" s="18"/>
      <c r="TK57" s="18"/>
      <c r="TL57" s="18"/>
      <c r="TM57" s="18"/>
      <c r="TN57" s="18"/>
      <c r="TO57" s="18"/>
      <c r="TP57" s="18"/>
      <c r="TQ57" s="18"/>
      <c r="TR57" s="18"/>
      <c r="TS57" s="18"/>
      <c r="TT57" s="18"/>
      <c r="TU57" s="18"/>
      <c r="TV57" s="18"/>
      <c r="TW57" s="18"/>
      <c r="TX57" s="18"/>
      <c r="TY57" s="18"/>
      <c r="TZ57" s="18"/>
      <c r="UA57" s="18"/>
      <c r="UB57" s="18"/>
      <c r="UC57" s="18"/>
      <c r="UD57" s="18"/>
      <c r="UE57" s="18"/>
      <c r="UF57" s="18"/>
      <c r="UG57" s="18"/>
      <c r="UH57" s="18"/>
      <c r="UI57" s="18"/>
      <c r="UJ57" s="18"/>
      <c r="UK57" s="18"/>
      <c r="UL57" s="18"/>
      <c r="UM57" s="18"/>
      <c r="UN57" s="18"/>
      <c r="UO57" s="18"/>
      <c r="UP57" s="18"/>
      <c r="UQ57" s="18"/>
      <c r="UR57" s="18"/>
      <c r="US57" s="18"/>
      <c r="UT57" s="18"/>
      <c r="UU57" s="18"/>
      <c r="UV57" s="18"/>
      <c r="UW57" s="18"/>
      <c r="UX57" s="18"/>
      <c r="UY57" s="18"/>
      <c r="UZ57" s="18"/>
      <c r="VA57" s="18"/>
      <c r="VB57" s="18"/>
      <c r="VC57" s="18"/>
      <c r="VD57" s="18"/>
      <c r="VE57" s="18"/>
      <c r="VF57" s="18"/>
      <c r="VG57" s="18"/>
      <c r="VH57" s="18"/>
      <c r="VI57" s="18"/>
      <c r="VJ57" s="18"/>
      <c r="VK57" s="18"/>
      <c r="VL57" s="18"/>
      <c r="VM57" s="18"/>
      <c r="VN57" s="18"/>
      <c r="VO57" s="18"/>
      <c r="VP57" s="18"/>
      <c r="VQ57" s="18"/>
      <c r="VR57" s="18"/>
      <c r="VS57" s="18"/>
      <c r="VT57" s="18"/>
      <c r="VU57" s="18"/>
      <c r="VV57" s="18"/>
      <c r="VW57" s="18"/>
      <c r="VX57" s="18"/>
      <c r="VY57" s="18"/>
      <c r="VZ57" s="18"/>
      <c r="WA57" s="18"/>
      <c r="WB57" s="18"/>
      <c r="WC57" s="18"/>
      <c r="WD57" s="18"/>
      <c r="WE57" s="18"/>
      <c r="WF57" s="18"/>
      <c r="WG57" s="18"/>
      <c r="WH57" s="18"/>
      <c r="WI57" s="18"/>
      <c r="WJ57" s="18"/>
      <c r="WK57" s="18"/>
      <c r="WL57" s="18"/>
      <c r="WM57" s="18"/>
      <c r="WN57" s="18"/>
      <c r="WO57" s="18"/>
      <c r="WP57" s="18"/>
      <c r="WQ57" s="18"/>
      <c r="WR57" s="18"/>
      <c r="WS57" s="18"/>
      <c r="WT57" s="18"/>
      <c r="WU57" s="18"/>
      <c r="WV57" s="18"/>
      <c r="WW57" s="18"/>
      <c r="WX57" s="18"/>
      <c r="WY57" s="18"/>
      <c r="WZ57" s="18"/>
      <c r="XA57" s="18"/>
      <c r="XB57" s="18"/>
      <c r="XC57" s="18"/>
      <c r="XD57" s="18"/>
      <c r="XE57" s="18"/>
      <c r="XF57" s="18"/>
      <c r="XG57" s="18"/>
      <c r="XH57" s="18"/>
      <c r="XI57" s="18"/>
      <c r="XJ57" s="18"/>
      <c r="XK57" s="18"/>
      <c r="XL57" s="18"/>
      <c r="XM57" s="18"/>
      <c r="XN57" s="18"/>
      <c r="XO57" s="18"/>
      <c r="XP57" s="18"/>
      <c r="XQ57" s="18"/>
      <c r="XR57" s="18"/>
      <c r="XS57" s="18"/>
      <c r="XT57" s="18"/>
      <c r="XU57" s="18"/>
      <c r="XV57" s="18"/>
      <c r="XW57" s="18"/>
      <c r="XX57" s="18"/>
      <c r="XY57" s="18"/>
      <c r="XZ57" s="18"/>
      <c r="YA57" s="18"/>
      <c r="YB57" s="18"/>
      <c r="YC57" s="18"/>
      <c r="YD57" s="18"/>
      <c r="YE57" s="18"/>
      <c r="YF57" s="18"/>
      <c r="YG57" s="18"/>
      <c r="YH57" s="18"/>
      <c r="YI57" s="18"/>
      <c r="YJ57" s="18"/>
      <c r="YK57" s="18"/>
      <c r="YL57" s="18"/>
      <c r="YM57" s="18"/>
      <c r="YN57" s="18"/>
      <c r="YO57" s="18"/>
      <c r="YP57" s="18"/>
      <c r="YQ57" s="18"/>
      <c r="YR57" s="18"/>
      <c r="YS57" s="18"/>
      <c r="YT57" s="18"/>
      <c r="YU57" s="18"/>
      <c r="YV57" s="18"/>
      <c r="YW57" s="18"/>
      <c r="YX57" s="18"/>
      <c r="YY57" s="18"/>
      <c r="YZ57" s="18"/>
      <c r="ZA57" s="18"/>
      <c r="ZB57" s="18"/>
      <c r="ZC57" s="18"/>
      <c r="ZD57" s="18"/>
      <c r="ZE57" s="18"/>
      <c r="ZF57" s="18"/>
      <c r="ZG57" s="18"/>
      <c r="ZH57" s="18"/>
      <c r="ZI57" s="18"/>
      <c r="ZJ57" s="18"/>
      <c r="ZK57" s="18"/>
      <c r="ZL57" s="18"/>
      <c r="ZM57" s="18"/>
      <c r="ZN57" s="18"/>
      <c r="ZO57" s="18"/>
      <c r="ZP57" s="18"/>
      <c r="ZQ57" s="18"/>
      <c r="ZR57" s="18"/>
      <c r="ZS57" s="18"/>
      <c r="ZT57" s="18"/>
      <c r="ZU57" s="18"/>
      <c r="ZV57" s="18"/>
      <c r="ZW57" s="18"/>
      <c r="ZX57" s="18"/>
      <c r="ZY57" s="18"/>
      <c r="ZZ57" s="18"/>
      <c r="AAA57" s="18"/>
      <c r="AAB57" s="18"/>
      <c r="AAC57" s="18"/>
      <c r="AAD57" s="18"/>
      <c r="AAE57" s="18"/>
      <c r="AAF57" s="18"/>
      <c r="AAG57" s="18"/>
      <c r="AAH57" s="18"/>
      <c r="AAI57" s="18"/>
      <c r="AAJ57" s="18"/>
      <c r="AAK57" s="18"/>
      <c r="AAL57" s="18"/>
      <c r="AAM57" s="18"/>
      <c r="AAN57" s="18"/>
      <c r="AAO57" s="18"/>
      <c r="AAP57" s="18"/>
      <c r="AAQ57" s="18"/>
      <c r="AAR57" s="18"/>
      <c r="AAS57" s="18"/>
      <c r="AAT57" s="18"/>
      <c r="AAU57" s="18"/>
      <c r="AAV57" s="18"/>
      <c r="AAW57" s="18"/>
      <c r="AAX57" s="18"/>
      <c r="AAY57" s="18"/>
      <c r="AAZ57" s="18"/>
      <c r="ABA57" s="18"/>
      <c r="ABB57" s="18"/>
      <c r="ABC57" s="18"/>
      <c r="ABD57" s="18"/>
      <c r="ABE57" s="18"/>
      <c r="ABF57" s="18"/>
      <c r="ABG57" s="18"/>
      <c r="ABH57" s="18"/>
      <c r="ABI57" s="18"/>
      <c r="ABJ57" s="18"/>
      <c r="ABK57" s="18"/>
      <c r="ABL57" s="18"/>
      <c r="ABM57" s="18"/>
      <c r="ABN57" s="18"/>
      <c r="ABO57" s="18"/>
      <c r="ABP57" s="18"/>
      <c r="ABQ57" s="18"/>
      <c r="ABR57" s="18"/>
      <c r="ABS57" s="18"/>
      <c r="ABT57" s="18"/>
      <c r="ABU57" s="18"/>
      <c r="ABV57" s="18"/>
      <c r="ABW57" s="18"/>
      <c r="ABX57" s="18"/>
      <c r="ABY57" s="18"/>
      <c r="ABZ57" s="18"/>
      <c r="ACA57" s="18"/>
      <c r="ACB57" s="18"/>
      <c r="ACC57" s="18"/>
      <c r="ACD57" s="18"/>
      <c r="ACE57" s="18"/>
      <c r="ACF57" s="18"/>
      <c r="ACG57" s="18"/>
      <c r="ACH57" s="18"/>
      <c r="ACI57" s="18"/>
      <c r="ACJ57" s="18"/>
      <c r="ACK57" s="18"/>
      <c r="ACL57" s="18"/>
      <c r="ACM57" s="18"/>
      <c r="ACN57" s="18"/>
      <c r="ACO57" s="18"/>
      <c r="ACP57" s="18"/>
      <c r="ACQ57" s="18"/>
      <c r="ACR57" s="18"/>
      <c r="ACS57" s="18"/>
      <c r="ACT57" s="18"/>
      <c r="ACU57" s="18"/>
      <c r="ACV57" s="18"/>
      <c r="ACW57" s="18"/>
      <c r="ACX57" s="18"/>
      <c r="ACY57" s="18"/>
      <c r="ACZ57" s="18"/>
      <c r="ADA57" s="18"/>
      <c r="ADB57" s="18"/>
      <c r="ADC57" s="18"/>
      <c r="ADD57" s="18"/>
      <c r="ADE57" s="18"/>
      <c r="ADF57" s="18"/>
      <c r="ADG57" s="18"/>
      <c r="ADH57" s="18"/>
      <c r="ADI57" s="18"/>
      <c r="ADJ57" s="18"/>
      <c r="ADK57" s="18"/>
      <c r="ADL57" s="18"/>
      <c r="ADM57" s="18"/>
      <c r="ADN57" s="18"/>
      <c r="ADO57" s="18"/>
      <c r="ADP57" s="18"/>
      <c r="ADQ57" s="18"/>
      <c r="ADR57" s="18"/>
      <c r="ADS57" s="18"/>
      <c r="ADT57" s="18"/>
      <c r="ADU57" s="18"/>
      <c r="ADV57" s="18"/>
      <c r="ADW57" s="18"/>
      <c r="ADX57" s="18"/>
      <c r="ADY57" s="18"/>
      <c r="ADZ57" s="18"/>
      <c r="AEA57" s="18"/>
      <c r="AEB57" s="18"/>
      <c r="AEC57" s="18"/>
      <c r="AED57" s="18"/>
      <c r="AEE57" s="18"/>
      <c r="AEF57" s="18"/>
      <c r="AEG57" s="18"/>
      <c r="AEH57" s="18"/>
      <c r="AEI57" s="18"/>
      <c r="AEJ57" s="18"/>
      <c r="AEK57" s="18"/>
      <c r="AEL57" s="18"/>
      <c r="AEM57" s="18"/>
      <c r="AEN57" s="18"/>
      <c r="AEO57" s="18"/>
      <c r="AEP57" s="18"/>
      <c r="AEQ57" s="18"/>
      <c r="AER57" s="18"/>
      <c r="AES57" s="18"/>
      <c r="AET57" s="18"/>
      <c r="AEU57" s="18"/>
      <c r="AEV57" s="18"/>
      <c r="AEW57" s="18"/>
      <c r="AEX57" s="18"/>
      <c r="AEY57" s="18"/>
      <c r="AEZ57" s="18"/>
      <c r="AFA57" s="18"/>
      <c r="AFB57" s="18"/>
      <c r="AFC57" s="18"/>
      <c r="AFD57" s="18"/>
      <c r="AFE57" s="18"/>
      <c r="AFF57" s="18"/>
      <c r="AFG57" s="18"/>
      <c r="AFH57" s="18"/>
      <c r="AFI57" s="18"/>
      <c r="AFJ57" s="18"/>
      <c r="AFK57" s="18"/>
      <c r="AFL57" s="18"/>
      <c r="AFM57" s="18"/>
      <c r="AFN57" s="18"/>
      <c r="AFO57" s="18"/>
      <c r="AFP57" s="18"/>
      <c r="AFQ57" s="18"/>
      <c r="AFR57" s="18"/>
      <c r="AFS57" s="18"/>
      <c r="AFT57" s="18"/>
      <c r="AFU57" s="18"/>
      <c r="AFV57" s="18"/>
      <c r="AFW57" s="18"/>
      <c r="AFX57" s="18"/>
      <c r="AFY57" s="18"/>
      <c r="AFZ57" s="18"/>
      <c r="AGA57" s="18"/>
      <c r="AGB57" s="18"/>
      <c r="AGC57" s="18"/>
      <c r="AGD57" s="18"/>
      <c r="AGE57" s="18"/>
      <c r="AGF57" s="18"/>
      <c r="AGG57" s="18"/>
      <c r="AGH57" s="18"/>
      <c r="AGI57" s="18"/>
      <c r="AGJ57" s="18"/>
      <c r="AGK57" s="18"/>
      <c r="AGL57" s="18"/>
      <c r="AGM57" s="18"/>
      <c r="AGN57" s="18"/>
      <c r="AGO57" s="18"/>
      <c r="AGP57" s="18"/>
      <c r="AGQ57" s="18"/>
      <c r="AGR57" s="18"/>
      <c r="AGS57" s="18"/>
      <c r="AGT57" s="18"/>
      <c r="AGU57" s="18"/>
      <c r="AGV57" s="18"/>
      <c r="AGW57" s="18"/>
      <c r="AGX57" s="18"/>
      <c r="AGY57" s="18"/>
      <c r="AGZ57" s="18"/>
      <c r="AHA57" s="18"/>
      <c r="AHB57" s="18"/>
      <c r="AHC57" s="18"/>
      <c r="AHD57" s="18"/>
      <c r="AHE57" s="18"/>
      <c r="AHF57" s="18"/>
      <c r="AHG57" s="18"/>
      <c r="AHH57" s="18"/>
      <c r="AHI57" s="18"/>
      <c r="AHJ57" s="18"/>
      <c r="AHK57" s="18"/>
      <c r="AHL57" s="18"/>
      <c r="AHM57" s="18"/>
      <c r="AHN57" s="18"/>
      <c r="AHO57" s="18"/>
      <c r="AHP57" s="18"/>
      <c r="AHQ57" s="18"/>
      <c r="AHR57" s="18"/>
      <c r="AHS57" s="18"/>
      <c r="AHT57" s="18"/>
      <c r="AHU57" s="18"/>
      <c r="AHV57" s="18"/>
      <c r="AHW57" s="18"/>
      <c r="AHX57" s="18"/>
      <c r="AHY57" s="18"/>
      <c r="AHZ57" s="18"/>
      <c r="AIA57" s="18"/>
      <c r="AIB57" s="18"/>
      <c r="AIC57" s="18"/>
      <c r="AID57" s="18"/>
      <c r="AIE57" s="18"/>
      <c r="AIF57" s="18"/>
      <c r="AIG57" s="18"/>
      <c r="AIH57" s="18"/>
      <c r="AII57" s="18"/>
      <c r="AIJ57" s="18"/>
      <c r="AIK57" s="18"/>
      <c r="AIL57" s="18"/>
      <c r="AIM57" s="18"/>
      <c r="AIN57" s="18"/>
      <c r="AIO57" s="18"/>
      <c r="AIP57" s="18"/>
      <c r="AIQ57" s="18"/>
      <c r="AIR57" s="18"/>
      <c r="AIS57" s="18"/>
      <c r="AIT57" s="18"/>
      <c r="AIU57" s="18"/>
      <c r="AIV57" s="18"/>
      <c r="AIW57" s="18"/>
      <c r="AIX57" s="18"/>
      <c r="AIY57" s="18"/>
      <c r="AIZ57" s="18"/>
      <c r="AJA57" s="18"/>
      <c r="AJB57" s="18"/>
      <c r="AJC57" s="18"/>
      <c r="AJD57" s="18"/>
      <c r="AJE57" s="18"/>
      <c r="AJF57" s="18"/>
      <c r="AJG57" s="18"/>
      <c r="AJH57" s="18"/>
      <c r="AJI57" s="18"/>
      <c r="AJJ57" s="18"/>
      <c r="AJK57" s="18"/>
      <c r="AJL57" s="18"/>
      <c r="AJM57" s="18"/>
      <c r="AJN57" s="18"/>
      <c r="AJO57" s="18"/>
      <c r="AJP57" s="18"/>
      <c r="AJQ57" s="18"/>
      <c r="AJR57" s="18"/>
      <c r="AJS57" s="18"/>
      <c r="AJT57" s="18"/>
      <c r="AJU57" s="18"/>
      <c r="AJV57" s="18"/>
      <c r="AJW57" s="18"/>
      <c r="AJX57" s="18"/>
      <c r="AJY57" s="18"/>
      <c r="AJZ57" s="18"/>
      <c r="AKA57" s="18"/>
      <c r="AKB57" s="18"/>
      <c r="AKC57" s="18"/>
      <c r="AKD57" s="18"/>
      <c r="AKE57" s="18"/>
      <c r="AKF57" s="18"/>
      <c r="AKG57" s="18"/>
      <c r="AKH57" s="18"/>
      <c r="AKI57" s="18"/>
      <c r="AKJ57" s="18"/>
      <c r="AKK57" s="18"/>
      <c r="AKL57" s="18"/>
      <c r="AKM57" s="18"/>
      <c r="AKN57" s="18"/>
      <c r="AKO57" s="18"/>
      <c r="AKP57" s="18"/>
      <c r="AKQ57" s="18"/>
      <c r="AKR57" s="18"/>
      <c r="AKS57" s="18"/>
      <c r="AKT57" s="18"/>
      <c r="AKU57" s="18"/>
      <c r="AKV57" s="18"/>
      <c r="AKW57" s="18"/>
      <c r="AKX57" s="18"/>
      <c r="AKY57" s="18"/>
      <c r="AKZ57" s="18"/>
      <c r="ALA57" s="18"/>
      <c r="ALB57" s="18"/>
      <c r="ALC57" s="18"/>
      <c r="ALD57" s="18"/>
      <c r="ALE57" s="18"/>
      <c r="ALF57" s="18"/>
      <c r="ALG57" s="18"/>
      <c r="ALH57" s="18"/>
      <c r="ALI57" s="18"/>
      <c r="ALJ57" s="18"/>
      <c r="ALK57" s="18"/>
      <c r="ALL57" s="18"/>
      <c r="ALM57" s="18"/>
      <c r="ALN57" s="18"/>
      <c r="ALO57" s="18"/>
      <c r="ALP57" s="18"/>
      <c r="ALQ57" s="18"/>
      <c r="ALR57" s="18"/>
      <c r="ALS57" s="18"/>
      <c r="ALT57" s="18"/>
      <c r="ALU57" s="18"/>
      <c r="ALV57" s="18"/>
      <c r="ALW57" s="18"/>
      <c r="ALX57" s="18"/>
      <c r="ALY57" s="18"/>
      <c r="ALZ57" s="18"/>
      <c r="AMA57" s="18"/>
      <c r="AMB57" s="18"/>
      <c r="AMC57" s="18"/>
      <c r="AMD57" s="18"/>
      <c r="AME57" s="18"/>
      <c r="AMF57" s="18"/>
      <c r="AMG57" s="18"/>
      <c r="AMH57" s="18"/>
    </row>
    <row r="58" spans="1:1022" s="23" customFormat="1" x14ac:dyDescent="0.3">
      <c r="A58" s="33">
        <v>154</v>
      </c>
      <c r="B58" s="19"/>
      <c r="C58" s="19"/>
      <c r="D58" s="57" t="s">
        <v>329</v>
      </c>
      <c r="E58" s="34" t="s">
        <v>480</v>
      </c>
      <c r="F58" s="39"/>
      <c r="G58" s="39"/>
      <c r="H58" s="38" t="s">
        <v>281</v>
      </c>
      <c r="I58" s="31"/>
      <c r="J58" s="40"/>
      <c r="K58" s="31"/>
      <c r="L58" s="40"/>
      <c r="M58" s="41"/>
      <c r="N58" s="32"/>
      <c r="O58" s="18"/>
      <c r="P58" s="36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  <c r="GB58" s="18"/>
      <c r="GC58" s="18"/>
      <c r="GD58" s="18"/>
      <c r="GE58" s="18"/>
      <c r="GF58" s="18"/>
      <c r="GG58" s="18"/>
      <c r="GH58" s="18"/>
      <c r="GI58" s="18"/>
      <c r="GJ58" s="18"/>
      <c r="GK58" s="18"/>
      <c r="GL58" s="18"/>
      <c r="GM58" s="18"/>
      <c r="GN58" s="18"/>
      <c r="GO58" s="18"/>
      <c r="GP58" s="18"/>
      <c r="GQ58" s="18"/>
      <c r="GR58" s="18"/>
      <c r="GS58" s="18"/>
      <c r="GT58" s="18"/>
      <c r="GU58" s="18"/>
      <c r="GV58" s="18"/>
      <c r="GW58" s="18"/>
      <c r="GX58" s="18"/>
      <c r="GY58" s="18"/>
      <c r="GZ58" s="18"/>
      <c r="HA58" s="18"/>
      <c r="HB58" s="18"/>
      <c r="HC58" s="18"/>
      <c r="HD58" s="18"/>
      <c r="HE58" s="18"/>
      <c r="HF58" s="18"/>
      <c r="HG58" s="18"/>
      <c r="HH58" s="18"/>
      <c r="HI58" s="18"/>
      <c r="HJ58" s="18"/>
      <c r="HK58" s="18"/>
      <c r="HL58" s="18"/>
      <c r="HM58" s="18"/>
      <c r="HN58" s="18"/>
      <c r="HO58" s="18"/>
      <c r="HP58" s="18"/>
      <c r="HQ58" s="18"/>
      <c r="HR58" s="18"/>
      <c r="HS58" s="18"/>
      <c r="HT58" s="18"/>
      <c r="HU58" s="18"/>
      <c r="HV58" s="18"/>
      <c r="HW58" s="18"/>
      <c r="HX58" s="18"/>
      <c r="HY58" s="18"/>
      <c r="HZ58" s="18"/>
      <c r="IA58" s="18"/>
      <c r="IB58" s="18"/>
      <c r="IC58" s="18"/>
      <c r="ID58" s="18"/>
      <c r="IE58" s="18"/>
      <c r="IF58" s="18"/>
      <c r="IG58" s="18"/>
      <c r="IH58" s="18"/>
      <c r="II58" s="18"/>
      <c r="IJ58" s="18"/>
      <c r="IK58" s="18"/>
      <c r="IL58" s="18"/>
      <c r="IM58" s="18"/>
      <c r="IN58" s="18"/>
      <c r="IO58" s="18"/>
      <c r="IP58" s="18"/>
      <c r="IQ58" s="18"/>
      <c r="IR58" s="18"/>
      <c r="IS58" s="18"/>
      <c r="IT58" s="18"/>
      <c r="IU58" s="18"/>
      <c r="IV58" s="18"/>
      <c r="IW58" s="18"/>
      <c r="IX58" s="18"/>
      <c r="IY58" s="18"/>
      <c r="IZ58" s="18"/>
      <c r="JA58" s="18"/>
      <c r="JB58" s="18"/>
      <c r="JC58" s="18"/>
      <c r="JD58" s="18"/>
      <c r="JE58" s="18"/>
      <c r="JF58" s="18"/>
      <c r="JG58" s="18"/>
      <c r="JH58" s="18"/>
      <c r="JI58" s="18"/>
      <c r="JJ58" s="18"/>
      <c r="JK58" s="18"/>
      <c r="JL58" s="18"/>
      <c r="JM58" s="18"/>
      <c r="JN58" s="18"/>
      <c r="JO58" s="18"/>
      <c r="JP58" s="18"/>
      <c r="JQ58" s="18"/>
      <c r="JR58" s="18"/>
      <c r="JS58" s="18"/>
      <c r="JT58" s="18"/>
      <c r="JU58" s="18"/>
      <c r="JV58" s="18"/>
      <c r="JW58" s="18"/>
      <c r="JX58" s="18"/>
      <c r="JY58" s="18"/>
      <c r="JZ58" s="18"/>
      <c r="KA58" s="18"/>
      <c r="KB58" s="18"/>
      <c r="KC58" s="18"/>
      <c r="KD58" s="18"/>
      <c r="KE58" s="18"/>
      <c r="KF58" s="18"/>
      <c r="KG58" s="18"/>
      <c r="KH58" s="18"/>
      <c r="KI58" s="18"/>
      <c r="KJ58" s="18"/>
      <c r="KK58" s="18"/>
      <c r="KL58" s="18"/>
      <c r="KM58" s="18"/>
      <c r="KN58" s="18"/>
      <c r="KO58" s="18"/>
      <c r="KP58" s="18"/>
      <c r="KQ58" s="18"/>
      <c r="KR58" s="18"/>
      <c r="KS58" s="18"/>
      <c r="KT58" s="18"/>
      <c r="KU58" s="18"/>
      <c r="KV58" s="18"/>
      <c r="KW58" s="18"/>
      <c r="KX58" s="18"/>
      <c r="KY58" s="18"/>
      <c r="KZ58" s="18"/>
      <c r="LA58" s="18"/>
      <c r="LB58" s="18"/>
      <c r="LC58" s="18"/>
      <c r="LD58" s="18"/>
      <c r="LE58" s="18"/>
      <c r="LF58" s="18"/>
      <c r="LG58" s="18"/>
      <c r="LH58" s="18"/>
      <c r="LI58" s="18"/>
      <c r="LJ58" s="18"/>
      <c r="LK58" s="18"/>
      <c r="LL58" s="18"/>
      <c r="LM58" s="18"/>
      <c r="LN58" s="18"/>
      <c r="LO58" s="18"/>
      <c r="LP58" s="18"/>
      <c r="LQ58" s="18"/>
      <c r="LR58" s="18"/>
      <c r="LS58" s="18"/>
      <c r="LT58" s="18"/>
      <c r="LU58" s="18"/>
      <c r="LV58" s="18"/>
      <c r="LW58" s="18"/>
      <c r="LX58" s="18"/>
      <c r="LY58" s="18"/>
      <c r="LZ58" s="18"/>
      <c r="MA58" s="18"/>
      <c r="MB58" s="18"/>
      <c r="MC58" s="18"/>
      <c r="MD58" s="18"/>
      <c r="ME58" s="18"/>
      <c r="MF58" s="18"/>
      <c r="MG58" s="18"/>
      <c r="MH58" s="18"/>
      <c r="MI58" s="18"/>
      <c r="MJ58" s="18"/>
      <c r="MK58" s="18"/>
      <c r="ML58" s="18"/>
      <c r="MM58" s="18"/>
      <c r="MN58" s="18"/>
      <c r="MO58" s="18"/>
      <c r="MP58" s="18"/>
      <c r="MQ58" s="18"/>
      <c r="MR58" s="18"/>
      <c r="MS58" s="18"/>
      <c r="MT58" s="18"/>
      <c r="MU58" s="18"/>
      <c r="MV58" s="18"/>
      <c r="MW58" s="18"/>
      <c r="MX58" s="18"/>
      <c r="MY58" s="18"/>
      <c r="MZ58" s="18"/>
      <c r="NA58" s="18"/>
      <c r="NB58" s="18"/>
      <c r="NC58" s="18"/>
      <c r="ND58" s="18"/>
      <c r="NE58" s="18"/>
      <c r="NF58" s="18"/>
      <c r="NG58" s="18"/>
      <c r="NH58" s="18"/>
      <c r="NI58" s="18"/>
      <c r="NJ58" s="18"/>
      <c r="NK58" s="18"/>
      <c r="NL58" s="18"/>
      <c r="NM58" s="18"/>
      <c r="NN58" s="18"/>
      <c r="NO58" s="18"/>
      <c r="NP58" s="18"/>
      <c r="NQ58" s="18"/>
      <c r="NR58" s="18"/>
      <c r="NS58" s="18"/>
      <c r="NT58" s="18"/>
      <c r="NU58" s="18"/>
      <c r="NV58" s="18"/>
      <c r="NW58" s="18"/>
      <c r="NX58" s="18"/>
      <c r="NY58" s="18"/>
      <c r="NZ58" s="18"/>
      <c r="OA58" s="18"/>
      <c r="OB58" s="18"/>
      <c r="OC58" s="18"/>
      <c r="OD58" s="18"/>
      <c r="OE58" s="18"/>
      <c r="OF58" s="18"/>
      <c r="OG58" s="18"/>
      <c r="OH58" s="18"/>
      <c r="OI58" s="18"/>
      <c r="OJ58" s="18"/>
      <c r="OK58" s="18"/>
      <c r="OL58" s="18"/>
      <c r="OM58" s="18"/>
      <c r="ON58" s="18"/>
      <c r="OO58" s="18"/>
      <c r="OP58" s="18"/>
      <c r="OQ58" s="18"/>
      <c r="OR58" s="18"/>
      <c r="OS58" s="18"/>
      <c r="OT58" s="18"/>
      <c r="OU58" s="18"/>
      <c r="OV58" s="18"/>
      <c r="OW58" s="18"/>
      <c r="OX58" s="18"/>
      <c r="OY58" s="18"/>
      <c r="OZ58" s="18"/>
      <c r="PA58" s="18"/>
      <c r="PB58" s="18"/>
      <c r="PC58" s="18"/>
      <c r="PD58" s="18"/>
      <c r="PE58" s="18"/>
      <c r="PF58" s="18"/>
      <c r="PG58" s="18"/>
      <c r="PH58" s="18"/>
      <c r="PI58" s="18"/>
      <c r="PJ58" s="18"/>
      <c r="PK58" s="18"/>
      <c r="PL58" s="18"/>
      <c r="PM58" s="18"/>
      <c r="PN58" s="18"/>
      <c r="PO58" s="18"/>
      <c r="PP58" s="18"/>
      <c r="PQ58" s="18"/>
      <c r="PR58" s="18"/>
      <c r="PS58" s="18"/>
      <c r="PT58" s="18"/>
      <c r="PU58" s="18"/>
      <c r="PV58" s="18"/>
      <c r="PW58" s="18"/>
      <c r="PX58" s="18"/>
      <c r="PY58" s="18"/>
      <c r="PZ58" s="18"/>
      <c r="QA58" s="18"/>
      <c r="QB58" s="18"/>
      <c r="QC58" s="18"/>
      <c r="QD58" s="18"/>
      <c r="QE58" s="18"/>
      <c r="QF58" s="18"/>
      <c r="QG58" s="18"/>
      <c r="QH58" s="18"/>
      <c r="QI58" s="18"/>
      <c r="QJ58" s="18"/>
      <c r="QK58" s="18"/>
      <c r="QL58" s="18"/>
      <c r="QM58" s="18"/>
      <c r="QN58" s="18"/>
      <c r="QO58" s="18"/>
      <c r="QP58" s="18"/>
      <c r="QQ58" s="18"/>
      <c r="QR58" s="18"/>
      <c r="QS58" s="18"/>
      <c r="QT58" s="18"/>
      <c r="QU58" s="18"/>
      <c r="QV58" s="18"/>
      <c r="QW58" s="18"/>
      <c r="QX58" s="18"/>
      <c r="QY58" s="18"/>
      <c r="QZ58" s="18"/>
      <c r="RA58" s="18"/>
      <c r="RB58" s="18"/>
      <c r="RC58" s="18"/>
      <c r="RD58" s="18"/>
      <c r="RE58" s="18"/>
      <c r="RF58" s="18"/>
      <c r="RG58" s="18"/>
      <c r="RH58" s="18"/>
      <c r="RI58" s="18"/>
      <c r="RJ58" s="18"/>
      <c r="RK58" s="18"/>
      <c r="RL58" s="18"/>
      <c r="RM58" s="18"/>
      <c r="RN58" s="18"/>
      <c r="RO58" s="18"/>
      <c r="RP58" s="18"/>
      <c r="RQ58" s="18"/>
      <c r="RR58" s="18"/>
      <c r="RS58" s="18"/>
      <c r="RT58" s="18"/>
      <c r="RU58" s="18"/>
      <c r="RV58" s="18"/>
      <c r="RW58" s="18"/>
      <c r="RX58" s="18"/>
      <c r="RY58" s="18"/>
      <c r="RZ58" s="18"/>
      <c r="SA58" s="18"/>
      <c r="SB58" s="18"/>
      <c r="SC58" s="18"/>
      <c r="SD58" s="18"/>
      <c r="SE58" s="18"/>
      <c r="SF58" s="18"/>
      <c r="SG58" s="18"/>
      <c r="SH58" s="18"/>
      <c r="SI58" s="18"/>
      <c r="SJ58" s="18"/>
      <c r="SK58" s="18"/>
      <c r="SL58" s="18"/>
      <c r="SM58" s="18"/>
      <c r="SN58" s="18"/>
      <c r="SO58" s="18"/>
      <c r="SP58" s="18"/>
      <c r="SQ58" s="18"/>
      <c r="SR58" s="18"/>
      <c r="SS58" s="18"/>
      <c r="ST58" s="18"/>
      <c r="SU58" s="18"/>
      <c r="SV58" s="18"/>
      <c r="SW58" s="18"/>
      <c r="SX58" s="18"/>
      <c r="SY58" s="18"/>
      <c r="SZ58" s="18"/>
      <c r="TA58" s="18"/>
      <c r="TB58" s="18"/>
      <c r="TC58" s="18"/>
      <c r="TD58" s="18"/>
      <c r="TE58" s="18"/>
      <c r="TF58" s="18"/>
      <c r="TG58" s="18"/>
      <c r="TH58" s="18"/>
      <c r="TI58" s="18"/>
      <c r="TJ58" s="18"/>
      <c r="TK58" s="18"/>
      <c r="TL58" s="18"/>
      <c r="TM58" s="18"/>
      <c r="TN58" s="18"/>
      <c r="TO58" s="18"/>
      <c r="TP58" s="18"/>
      <c r="TQ58" s="18"/>
      <c r="TR58" s="18"/>
      <c r="TS58" s="18"/>
      <c r="TT58" s="18"/>
      <c r="TU58" s="18"/>
      <c r="TV58" s="18"/>
      <c r="TW58" s="18"/>
      <c r="TX58" s="18"/>
      <c r="TY58" s="18"/>
      <c r="TZ58" s="18"/>
      <c r="UA58" s="18"/>
      <c r="UB58" s="18"/>
      <c r="UC58" s="18"/>
      <c r="UD58" s="18"/>
      <c r="UE58" s="18"/>
      <c r="UF58" s="18"/>
      <c r="UG58" s="18"/>
      <c r="UH58" s="18"/>
      <c r="UI58" s="18"/>
      <c r="UJ58" s="18"/>
      <c r="UK58" s="18"/>
      <c r="UL58" s="18"/>
      <c r="UM58" s="18"/>
      <c r="UN58" s="18"/>
      <c r="UO58" s="18"/>
      <c r="UP58" s="18"/>
      <c r="UQ58" s="18"/>
      <c r="UR58" s="18"/>
      <c r="US58" s="18"/>
      <c r="UT58" s="18"/>
      <c r="UU58" s="18"/>
      <c r="UV58" s="18"/>
      <c r="UW58" s="18"/>
      <c r="UX58" s="18"/>
      <c r="UY58" s="18"/>
      <c r="UZ58" s="18"/>
      <c r="VA58" s="18"/>
      <c r="VB58" s="18"/>
      <c r="VC58" s="18"/>
      <c r="VD58" s="18"/>
      <c r="VE58" s="18"/>
      <c r="VF58" s="18"/>
      <c r="VG58" s="18"/>
      <c r="VH58" s="18"/>
      <c r="VI58" s="18"/>
      <c r="VJ58" s="18"/>
      <c r="VK58" s="18"/>
      <c r="VL58" s="18"/>
      <c r="VM58" s="18"/>
      <c r="VN58" s="18"/>
      <c r="VO58" s="18"/>
      <c r="VP58" s="18"/>
      <c r="VQ58" s="18"/>
      <c r="VR58" s="18"/>
      <c r="VS58" s="18"/>
      <c r="VT58" s="18"/>
      <c r="VU58" s="18"/>
      <c r="VV58" s="18"/>
      <c r="VW58" s="18"/>
      <c r="VX58" s="18"/>
      <c r="VY58" s="18"/>
      <c r="VZ58" s="18"/>
      <c r="WA58" s="18"/>
      <c r="WB58" s="18"/>
      <c r="WC58" s="18"/>
      <c r="WD58" s="18"/>
      <c r="WE58" s="18"/>
      <c r="WF58" s="18"/>
      <c r="WG58" s="18"/>
      <c r="WH58" s="18"/>
      <c r="WI58" s="18"/>
      <c r="WJ58" s="18"/>
      <c r="WK58" s="18"/>
      <c r="WL58" s="18"/>
      <c r="WM58" s="18"/>
      <c r="WN58" s="18"/>
      <c r="WO58" s="18"/>
      <c r="WP58" s="18"/>
      <c r="WQ58" s="18"/>
      <c r="WR58" s="18"/>
      <c r="WS58" s="18"/>
      <c r="WT58" s="18"/>
      <c r="WU58" s="18"/>
      <c r="WV58" s="18"/>
      <c r="WW58" s="18"/>
      <c r="WX58" s="18"/>
      <c r="WY58" s="18"/>
      <c r="WZ58" s="18"/>
      <c r="XA58" s="18"/>
      <c r="XB58" s="18"/>
      <c r="XC58" s="18"/>
      <c r="XD58" s="18"/>
      <c r="XE58" s="18"/>
      <c r="XF58" s="18"/>
      <c r="XG58" s="18"/>
      <c r="XH58" s="18"/>
      <c r="XI58" s="18"/>
      <c r="XJ58" s="18"/>
      <c r="XK58" s="18"/>
      <c r="XL58" s="18"/>
      <c r="XM58" s="18"/>
      <c r="XN58" s="18"/>
      <c r="XO58" s="18"/>
      <c r="XP58" s="18"/>
      <c r="XQ58" s="18"/>
      <c r="XR58" s="18"/>
      <c r="XS58" s="18"/>
      <c r="XT58" s="18"/>
      <c r="XU58" s="18"/>
      <c r="XV58" s="18"/>
      <c r="XW58" s="18"/>
      <c r="XX58" s="18"/>
      <c r="XY58" s="18"/>
      <c r="XZ58" s="18"/>
      <c r="YA58" s="18"/>
      <c r="YB58" s="18"/>
      <c r="YC58" s="18"/>
      <c r="YD58" s="18"/>
      <c r="YE58" s="18"/>
      <c r="YF58" s="18"/>
      <c r="YG58" s="18"/>
      <c r="YH58" s="18"/>
      <c r="YI58" s="18"/>
      <c r="YJ58" s="18"/>
      <c r="YK58" s="18"/>
      <c r="YL58" s="18"/>
      <c r="YM58" s="18"/>
      <c r="YN58" s="18"/>
      <c r="YO58" s="18"/>
      <c r="YP58" s="18"/>
      <c r="YQ58" s="18"/>
      <c r="YR58" s="18"/>
      <c r="YS58" s="18"/>
      <c r="YT58" s="18"/>
      <c r="YU58" s="18"/>
      <c r="YV58" s="18"/>
      <c r="YW58" s="18"/>
      <c r="YX58" s="18"/>
      <c r="YY58" s="18"/>
      <c r="YZ58" s="18"/>
      <c r="ZA58" s="18"/>
      <c r="ZB58" s="18"/>
      <c r="ZC58" s="18"/>
      <c r="ZD58" s="18"/>
      <c r="ZE58" s="18"/>
      <c r="ZF58" s="18"/>
      <c r="ZG58" s="18"/>
      <c r="ZH58" s="18"/>
      <c r="ZI58" s="18"/>
      <c r="ZJ58" s="18"/>
      <c r="ZK58" s="18"/>
      <c r="ZL58" s="18"/>
      <c r="ZM58" s="18"/>
      <c r="ZN58" s="18"/>
      <c r="ZO58" s="18"/>
      <c r="ZP58" s="18"/>
      <c r="ZQ58" s="18"/>
      <c r="ZR58" s="18"/>
      <c r="ZS58" s="18"/>
      <c r="ZT58" s="18"/>
      <c r="ZU58" s="18"/>
      <c r="ZV58" s="18"/>
      <c r="ZW58" s="18"/>
      <c r="ZX58" s="18"/>
      <c r="ZY58" s="18"/>
      <c r="ZZ58" s="18"/>
      <c r="AAA58" s="18"/>
      <c r="AAB58" s="18"/>
      <c r="AAC58" s="18"/>
      <c r="AAD58" s="18"/>
      <c r="AAE58" s="18"/>
      <c r="AAF58" s="18"/>
      <c r="AAG58" s="18"/>
      <c r="AAH58" s="18"/>
      <c r="AAI58" s="18"/>
      <c r="AAJ58" s="18"/>
      <c r="AAK58" s="18"/>
      <c r="AAL58" s="18"/>
      <c r="AAM58" s="18"/>
      <c r="AAN58" s="18"/>
      <c r="AAO58" s="18"/>
      <c r="AAP58" s="18"/>
      <c r="AAQ58" s="18"/>
      <c r="AAR58" s="18"/>
      <c r="AAS58" s="18"/>
      <c r="AAT58" s="18"/>
      <c r="AAU58" s="18"/>
      <c r="AAV58" s="18"/>
      <c r="AAW58" s="18"/>
      <c r="AAX58" s="18"/>
      <c r="AAY58" s="18"/>
      <c r="AAZ58" s="18"/>
      <c r="ABA58" s="18"/>
      <c r="ABB58" s="18"/>
      <c r="ABC58" s="18"/>
      <c r="ABD58" s="18"/>
      <c r="ABE58" s="18"/>
      <c r="ABF58" s="18"/>
      <c r="ABG58" s="18"/>
      <c r="ABH58" s="18"/>
      <c r="ABI58" s="18"/>
      <c r="ABJ58" s="18"/>
      <c r="ABK58" s="18"/>
      <c r="ABL58" s="18"/>
      <c r="ABM58" s="18"/>
      <c r="ABN58" s="18"/>
      <c r="ABO58" s="18"/>
      <c r="ABP58" s="18"/>
      <c r="ABQ58" s="18"/>
      <c r="ABR58" s="18"/>
      <c r="ABS58" s="18"/>
      <c r="ABT58" s="18"/>
      <c r="ABU58" s="18"/>
      <c r="ABV58" s="18"/>
      <c r="ABW58" s="18"/>
      <c r="ABX58" s="18"/>
      <c r="ABY58" s="18"/>
      <c r="ABZ58" s="18"/>
      <c r="ACA58" s="18"/>
      <c r="ACB58" s="18"/>
      <c r="ACC58" s="18"/>
      <c r="ACD58" s="18"/>
      <c r="ACE58" s="18"/>
      <c r="ACF58" s="18"/>
      <c r="ACG58" s="18"/>
      <c r="ACH58" s="18"/>
      <c r="ACI58" s="18"/>
      <c r="ACJ58" s="18"/>
      <c r="ACK58" s="18"/>
      <c r="ACL58" s="18"/>
      <c r="ACM58" s="18"/>
      <c r="ACN58" s="18"/>
      <c r="ACO58" s="18"/>
      <c r="ACP58" s="18"/>
      <c r="ACQ58" s="18"/>
      <c r="ACR58" s="18"/>
      <c r="ACS58" s="18"/>
      <c r="ACT58" s="18"/>
      <c r="ACU58" s="18"/>
      <c r="ACV58" s="18"/>
      <c r="ACW58" s="18"/>
      <c r="ACX58" s="18"/>
      <c r="ACY58" s="18"/>
      <c r="ACZ58" s="18"/>
      <c r="ADA58" s="18"/>
      <c r="ADB58" s="18"/>
      <c r="ADC58" s="18"/>
      <c r="ADD58" s="18"/>
      <c r="ADE58" s="18"/>
      <c r="ADF58" s="18"/>
      <c r="ADG58" s="18"/>
      <c r="ADH58" s="18"/>
      <c r="ADI58" s="18"/>
      <c r="ADJ58" s="18"/>
      <c r="ADK58" s="18"/>
      <c r="ADL58" s="18"/>
      <c r="ADM58" s="18"/>
      <c r="ADN58" s="18"/>
      <c r="ADO58" s="18"/>
      <c r="ADP58" s="18"/>
      <c r="ADQ58" s="18"/>
      <c r="ADR58" s="18"/>
      <c r="ADS58" s="18"/>
      <c r="ADT58" s="18"/>
      <c r="ADU58" s="18"/>
      <c r="ADV58" s="18"/>
      <c r="ADW58" s="18"/>
      <c r="ADX58" s="18"/>
      <c r="ADY58" s="18"/>
      <c r="ADZ58" s="18"/>
      <c r="AEA58" s="18"/>
      <c r="AEB58" s="18"/>
      <c r="AEC58" s="18"/>
      <c r="AED58" s="18"/>
      <c r="AEE58" s="18"/>
      <c r="AEF58" s="18"/>
      <c r="AEG58" s="18"/>
      <c r="AEH58" s="18"/>
      <c r="AEI58" s="18"/>
      <c r="AEJ58" s="18"/>
      <c r="AEK58" s="18"/>
      <c r="AEL58" s="18"/>
      <c r="AEM58" s="18"/>
      <c r="AEN58" s="18"/>
      <c r="AEO58" s="18"/>
      <c r="AEP58" s="18"/>
      <c r="AEQ58" s="18"/>
      <c r="AER58" s="18"/>
      <c r="AES58" s="18"/>
      <c r="AET58" s="18"/>
      <c r="AEU58" s="18"/>
      <c r="AEV58" s="18"/>
      <c r="AEW58" s="18"/>
      <c r="AEX58" s="18"/>
      <c r="AEY58" s="18"/>
      <c r="AEZ58" s="18"/>
      <c r="AFA58" s="18"/>
      <c r="AFB58" s="18"/>
      <c r="AFC58" s="18"/>
      <c r="AFD58" s="18"/>
      <c r="AFE58" s="18"/>
      <c r="AFF58" s="18"/>
      <c r="AFG58" s="18"/>
      <c r="AFH58" s="18"/>
      <c r="AFI58" s="18"/>
      <c r="AFJ58" s="18"/>
      <c r="AFK58" s="18"/>
      <c r="AFL58" s="18"/>
      <c r="AFM58" s="18"/>
      <c r="AFN58" s="18"/>
      <c r="AFO58" s="18"/>
      <c r="AFP58" s="18"/>
      <c r="AFQ58" s="18"/>
      <c r="AFR58" s="18"/>
      <c r="AFS58" s="18"/>
      <c r="AFT58" s="18"/>
      <c r="AFU58" s="18"/>
      <c r="AFV58" s="18"/>
      <c r="AFW58" s="18"/>
      <c r="AFX58" s="18"/>
      <c r="AFY58" s="18"/>
      <c r="AFZ58" s="18"/>
      <c r="AGA58" s="18"/>
      <c r="AGB58" s="18"/>
      <c r="AGC58" s="18"/>
      <c r="AGD58" s="18"/>
      <c r="AGE58" s="18"/>
      <c r="AGF58" s="18"/>
      <c r="AGG58" s="18"/>
      <c r="AGH58" s="18"/>
      <c r="AGI58" s="18"/>
      <c r="AGJ58" s="18"/>
      <c r="AGK58" s="18"/>
      <c r="AGL58" s="18"/>
      <c r="AGM58" s="18"/>
      <c r="AGN58" s="18"/>
      <c r="AGO58" s="18"/>
      <c r="AGP58" s="18"/>
      <c r="AGQ58" s="18"/>
      <c r="AGR58" s="18"/>
      <c r="AGS58" s="18"/>
      <c r="AGT58" s="18"/>
      <c r="AGU58" s="18"/>
      <c r="AGV58" s="18"/>
      <c r="AGW58" s="18"/>
      <c r="AGX58" s="18"/>
      <c r="AGY58" s="18"/>
      <c r="AGZ58" s="18"/>
      <c r="AHA58" s="18"/>
      <c r="AHB58" s="18"/>
      <c r="AHC58" s="18"/>
      <c r="AHD58" s="18"/>
      <c r="AHE58" s="18"/>
      <c r="AHF58" s="18"/>
      <c r="AHG58" s="18"/>
      <c r="AHH58" s="18"/>
      <c r="AHI58" s="18"/>
      <c r="AHJ58" s="18"/>
      <c r="AHK58" s="18"/>
      <c r="AHL58" s="18"/>
      <c r="AHM58" s="18"/>
      <c r="AHN58" s="18"/>
      <c r="AHO58" s="18"/>
      <c r="AHP58" s="18"/>
      <c r="AHQ58" s="18"/>
      <c r="AHR58" s="18"/>
      <c r="AHS58" s="18"/>
      <c r="AHT58" s="18"/>
      <c r="AHU58" s="18"/>
      <c r="AHV58" s="18"/>
      <c r="AHW58" s="18"/>
      <c r="AHX58" s="18"/>
      <c r="AHY58" s="18"/>
      <c r="AHZ58" s="18"/>
      <c r="AIA58" s="18"/>
      <c r="AIB58" s="18"/>
      <c r="AIC58" s="18"/>
      <c r="AID58" s="18"/>
      <c r="AIE58" s="18"/>
      <c r="AIF58" s="18"/>
      <c r="AIG58" s="18"/>
      <c r="AIH58" s="18"/>
      <c r="AII58" s="18"/>
      <c r="AIJ58" s="18"/>
      <c r="AIK58" s="18"/>
      <c r="AIL58" s="18"/>
      <c r="AIM58" s="18"/>
      <c r="AIN58" s="18"/>
      <c r="AIO58" s="18"/>
      <c r="AIP58" s="18"/>
      <c r="AIQ58" s="18"/>
      <c r="AIR58" s="18"/>
      <c r="AIS58" s="18"/>
      <c r="AIT58" s="18"/>
      <c r="AIU58" s="18"/>
      <c r="AIV58" s="18"/>
      <c r="AIW58" s="18"/>
      <c r="AIX58" s="18"/>
      <c r="AIY58" s="18"/>
      <c r="AIZ58" s="18"/>
      <c r="AJA58" s="18"/>
      <c r="AJB58" s="18"/>
      <c r="AJC58" s="18"/>
      <c r="AJD58" s="18"/>
      <c r="AJE58" s="18"/>
      <c r="AJF58" s="18"/>
      <c r="AJG58" s="18"/>
      <c r="AJH58" s="18"/>
      <c r="AJI58" s="18"/>
      <c r="AJJ58" s="18"/>
      <c r="AJK58" s="18"/>
      <c r="AJL58" s="18"/>
      <c r="AJM58" s="18"/>
      <c r="AJN58" s="18"/>
      <c r="AJO58" s="18"/>
      <c r="AJP58" s="18"/>
      <c r="AJQ58" s="18"/>
      <c r="AJR58" s="18"/>
      <c r="AJS58" s="18"/>
      <c r="AJT58" s="18"/>
      <c r="AJU58" s="18"/>
      <c r="AJV58" s="18"/>
      <c r="AJW58" s="18"/>
      <c r="AJX58" s="18"/>
      <c r="AJY58" s="18"/>
      <c r="AJZ58" s="18"/>
      <c r="AKA58" s="18"/>
      <c r="AKB58" s="18"/>
      <c r="AKC58" s="18"/>
      <c r="AKD58" s="18"/>
      <c r="AKE58" s="18"/>
      <c r="AKF58" s="18"/>
      <c r="AKG58" s="18"/>
      <c r="AKH58" s="18"/>
      <c r="AKI58" s="18"/>
      <c r="AKJ58" s="18"/>
      <c r="AKK58" s="18"/>
      <c r="AKL58" s="18"/>
      <c r="AKM58" s="18"/>
      <c r="AKN58" s="18"/>
      <c r="AKO58" s="18"/>
      <c r="AKP58" s="18"/>
      <c r="AKQ58" s="18"/>
      <c r="AKR58" s="18"/>
      <c r="AKS58" s="18"/>
      <c r="AKT58" s="18"/>
      <c r="AKU58" s="18"/>
      <c r="AKV58" s="18"/>
      <c r="AKW58" s="18"/>
      <c r="AKX58" s="18"/>
      <c r="AKY58" s="18"/>
      <c r="AKZ58" s="18"/>
      <c r="ALA58" s="18"/>
      <c r="ALB58" s="18"/>
      <c r="ALC58" s="18"/>
      <c r="ALD58" s="18"/>
      <c r="ALE58" s="18"/>
      <c r="ALF58" s="18"/>
      <c r="ALG58" s="18"/>
      <c r="ALH58" s="18"/>
      <c r="ALI58" s="18"/>
      <c r="ALJ58" s="18"/>
      <c r="ALK58" s="18"/>
      <c r="ALL58" s="18"/>
      <c r="ALM58" s="18"/>
      <c r="ALN58" s="18"/>
      <c r="ALO58" s="18"/>
      <c r="ALP58" s="18"/>
      <c r="ALQ58" s="18"/>
      <c r="ALR58" s="18"/>
      <c r="ALS58" s="18"/>
      <c r="ALT58" s="18"/>
      <c r="ALU58" s="18"/>
      <c r="ALV58" s="18"/>
      <c r="ALW58" s="18"/>
      <c r="ALX58" s="18"/>
      <c r="ALY58" s="18"/>
      <c r="ALZ58" s="18"/>
      <c r="AMA58" s="18"/>
      <c r="AMB58" s="18"/>
      <c r="AMC58" s="18"/>
      <c r="AMD58" s="18"/>
      <c r="AME58" s="18"/>
      <c r="AMF58" s="18"/>
      <c r="AMG58" s="18"/>
      <c r="AMH58" s="18"/>
    </row>
    <row r="59" spans="1:1022" s="23" customFormat="1" x14ac:dyDescent="0.3">
      <c r="A59" s="33">
        <v>155</v>
      </c>
      <c r="B59" s="19"/>
      <c r="C59" s="19"/>
      <c r="D59" s="57" t="s">
        <v>330</v>
      </c>
      <c r="E59" s="34" t="s">
        <v>481</v>
      </c>
      <c r="F59" s="39"/>
      <c r="G59" s="39"/>
      <c r="H59" s="38" t="s">
        <v>281</v>
      </c>
      <c r="I59" s="31"/>
      <c r="J59" s="40"/>
      <c r="K59" s="31"/>
      <c r="L59" s="40"/>
      <c r="M59" s="41"/>
      <c r="N59" s="32"/>
      <c r="O59" s="18"/>
      <c r="P59" s="36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  <c r="CM59" s="18"/>
      <c r="CN59" s="18"/>
      <c r="CO59" s="18"/>
      <c r="CP59" s="18"/>
      <c r="CQ59" s="18"/>
      <c r="CR59" s="18"/>
      <c r="CS59" s="18"/>
      <c r="CT59" s="18"/>
      <c r="CU59" s="18"/>
      <c r="CV59" s="18"/>
      <c r="CW59" s="18"/>
      <c r="CX59" s="18"/>
      <c r="CY59" s="18"/>
      <c r="CZ59" s="18"/>
      <c r="DA59" s="18"/>
      <c r="DB59" s="18"/>
      <c r="DC59" s="18"/>
      <c r="DD59" s="18"/>
      <c r="DE59" s="18"/>
      <c r="DF59" s="18"/>
      <c r="DG59" s="18"/>
      <c r="DH59" s="18"/>
      <c r="DI59" s="18"/>
      <c r="DJ59" s="18"/>
      <c r="DK59" s="18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8"/>
      <c r="EF59" s="18"/>
      <c r="EG59" s="18"/>
      <c r="EH59" s="18"/>
      <c r="EI59" s="18"/>
      <c r="EJ59" s="18"/>
      <c r="EK59" s="18"/>
      <c r="EL59" s="18"/>
      <c r="EM59" s="18"/>
      <c r="EN59" s="18"/>
      <c r="EO59" s="18"/>
      <c r="EP59" s="18"/>
      <c r="EQ59" s="18"/>
      <c r="ER59" s="18"/>
      <c r="ES59" s="18"/>
      <c r="ET59" s="18"/>
      <c r="EU59" s="18"/>
      <c r="EV59" s="18"/>
      <c r="EW59" s="18"/>
      <c r="EX59" s="18"/>
      <c r="EY59" s="18"/>
      <c r="EZ59" s="18"/>
      <c r="FA59" s="18"/>
      <c r="FB59" s="18"/>
      <c r="FC59" s="18"/>
      <c r="FD59" s="18"/>
      <c r="FE59" s="18"/>
      <c r="FF59" s="18"/>
      <c r="FG59" s="18"/>
      <c r="FH59" s="18"/>
      <c r="FI59" s="18"/>
      <c r="FJ59" s="18"/>
      <c r="FK59" s="18"/>
      <c r="FL59" s="18"/>
      <c r="FM59" s="18"/>
      <c r="FN59" s="18"/>
      <c r="FO59" s="18"/>
      <c r="FP59" s="18"/>
      <c r="FQ59" s="18"/>
      <c r="FR59" s="18"/>
      <c r="FS59" s="18"/>
      <c r="FT59" s="18"/>
      <c r="FU59" s="18"/>
      <c r="FV59" s="18"/>
      <c r="FW59" s="18"/>
      <c r="FX59" s="18"/>
      <c r="FY59" s="18"/>
      <c r="FZ59" s="18"/>
      <c r="GA59" s="18"/>
      <c r="GB59" s="18"/>
      <c r="GC59" s="18"/>
      <c r="GD59" s="18"/>
      <c r="GE59" s="18"/>
      <c r="GF59" s="18"/>
      <c r="GG59" s="18"/>
      <c r="GH59" s="18"/>
      <c r="GI59" s="18"/>
      <c r="GJ59" s="18"/>
      <c r="GK59" s="18"/>
      <c r="GL59" s="18"/>
      <c r="GM59" s="18"/>
      <c r="GN59" s="18"/>
      <c r="GO59" s="18"/>
      <c r="GP59" s="18"/>
      <c r="GQ59" s="18"/>
      <c r="GR59" s="18"/>
      <c r="GS59" s="18"/>
      <c r="GT59" s="18"/>
      <c r="GU59" s="18"/>
      <c r="GV59" s="18"/>
      <c r="GW59" s="18"/>
      <c r="GX59" s="18"/>
      <c r="GY59" s="18"/>
      <c r="GZ59" s="18"/>
      <c r="HA59" s="18"/>
      <c r="HB59" s="18"/>
      <c r="HC59" s="18"/>
      <c r="HD59" s="18"/>
      <c r="HE59" s="18"/>
      <c r="HF59" s="18"/>
      <c r="HG59" s="18"/>
      <c r="HH59" s="18"/>
      <c r="HI59" s="18"/>
      <c r="HJ59" s="18"/>
      <c r="HK59" s="18"/>
      <c r="HL59" s="18"/>
      <c r="HM59" s="18"/>
      <c r="HN59" s="18"/>
      <c r="HO59" s="18"/>
      <c r="HP59" s="18"/>
      <c r="HQ59" s="18"/>
      <c r="HR59" s="18"/>
      <c r="HS59" s="18"/>
      <c r="HT59" s="18"/>
      <c r="HU59" s="18"/>
      <c r="HV59" s="18"/>
      <c r="HW59" s="18"/>
      <c r="HX59" s="18"/>
      <c r="HY59" s="18"/>
      <c r="HZ59" s="18"/>
      <c r="IA59" s="18"/>
      <c r="IB59" s="18"/>
      <c r="IC59" s="18"/>
      <c r="ID59" s="18"/>
      <c r="IE59" s="18"/>
      <c r="IF59" s="18"/>
      <c r="IG59" s="18"/>
      <c r="IH59" s="18"/>
      <c r="II59" s="18"/>
      <c r="IJ59" s="18"/>
      <c r="IK59" s="18"/>
      <c r="IL59" s="18"/>
      <c r="IM59" s="18"/>
      <c r="IN59" s="18"/>
      <c r="IO59" s="18"/>
      <c r="IP59" s="18"/>
      <c r="IQ59" s="18"/>
      <c r="IR59" s="18"/>
      <c r="IS59" s="18"/>
      <c r="IT59" s="18"/>
      <c r="IU59" s="18"/>
      <c r="IV59" s="18"/>
      <c r="IW59" s="18"/>
      <c r="IX59" s="18"/>
      <c r="IY59" s="18"/>
      <c r="IZ59" s="18"/>
      <c r="JA59" s="18"/>
      <c r="JB59" s="18"/>
      <c r="JC59" s="18"/>
      <c r="JD59" s="18"/>
      <c r="JE59" s="18"/>
      <c r="JF59" s="18"/>
      <c r="JG59" s="18"/>
      <c r="JH59" s="18"/>
      <c r="JI59" s="18"/>
      <c r="JJ59" s="18"/>
      <c r="JK59" s="18"/>
      <c r="JL59" s="18"/>
      <c r="JM59" s="18"/>
      <c r="JN59" s="18"/>
      <c r="JO59" s="18"/>
      <c r="JP59" s="18"/>
      <c r="JQ59" s="18"/>
      <c r="JR59" s="18"/>
      <c r="JS59" s="18"/>
      <c r="JT59" s="18"/>
      <c r="JU59" s="18"/>
      <c r="JV59" s="18"/>
      <c r="JW59" s="18"/>
      <c r="JX59" s="18"/>
      <c r="JY59" s="18"/>
      <c r="JZ59" s="18"/>
      <c r="KA59" s="18"/>
      <c r="KB59" s="18"/>
      <c r="KC59" s="18"/>
      <c r="KD59" s="18"/>
      <c r="KE59" s="18"/>
      <c r="KF59" s="18"/>
      <c r="KG59" s="18"/>
      <c r="KH59" s="18"/>
      <c r="KI59" s="18"/>
      <c r="KJ59" s="18"/>
      <c r="KK59" s="18"/>
      <c r="KL59" s="18"/>
      <c r="KM59" s="18"/>
      <c r="KN59" s="18"/>
      <c r="KO59" s="18"/>
      <c r="KP59" s="18"/>
      <c r="KQ59" s="18"/>
      <c r="KR59" s="18"/>
      <c r="KS59" s="18"/>
      <c r="KT59" s="18"/>
      <c r="KU59" s="18"/>
      <c r="KV59" s="18"/>
      <c r="KW59" s="18"/>
      <c r="KX59" s="18"/>
      <c r="KY59" s="18"/>
      <c r="KZ59" s="18"/>
      <c r="LA59" s="18"/>
      <c r="LB59" s="18"/>
      <c r="LC59" s="18"/>
      <c r="LD59" s="18"/>
      <c r="LE59" s="18"/>
      <c r="LF59" s="18"/>
      <c r="LG59" s="18"/>
      <c r="LH59" s="18"/>
      <c r="LI59" s="18"/>
      <c r="LJ59" s="18"/>
      <c r="LK59" s="18"/>
      <c r="LL59" s="18"/>
      <c r="LM59" s="18"/>
      <c r="LN59" s="18"/>
      <c r="LO59" s="18"/>
      <c r="LP59" s="18"/>
      <c r="LQ59" s="18"/>
      <c r="LR59" s="18"/>
      <c r="LS59" s="18"/>
      <c r="LT59" s="18"/>
      <c r="LU59" s="18"/>
      <c r="LV59" s="18"/>
      <c r="LW59" s="18"/>
      <c r="LX59" s="18"/>
      <c r="LY59" s="18"/>
      <c r="LZ59" s="18"/>
      <c r="MA59" s="18"/>
      <c r="MB59" s="18"/>
      <c r="MC59" s="18"/>
      <c r="MD59" s="18"/>
      <c r="ME59" s="18"/>
      <c r="MF59" s="18"/>
      <c r="MG59" s="18"/>
      <c r="MH59" s="18"/>
      <c r="MI59" s="18"/>
      <c r="MJ59" s="18"/>
      <c r="MK59" s="18"/>
      <c r="ML59" s="18"/>
      <c r="MM59" s="18"/>
      <c r="MN59" s="18"/>
      <c r="MO59" s="18"/>
      <c r="MP59" s="18"/>
      <c r="MQ59" s="18"/>
      <c r="MR59" s="18"/>
      <c r="MS59" s="18"/>
      <c r="MT59" s="18"/>
      <c r="MU59" s="18"/>
      <c r="MV59" s="18"/>
      <c r="MW59" s="18"/>
      <c r="MX59" s="18"/>
      <c r="MY59" s="18"/>
      <c r="MZ59" s="18"/>
      <c r="NA59" s="18"/>
      <c r="NB59" s="18"/>
      <c r="NC59" s="18"/>
      <c r="ND59" s="18"/>
      <c r="NE59" s="18"/>
      <c r="NF59" s="18"/>
      <c r="NG59" s="18"/>
      <c r="NH59" s="18"/>
      <c r="NI59" s="18"/>
      <c r="NJ59" s="18"/>
      <c r="NK59" s="18"/>
      <c r="NL59" s="18"/>
      <c r="NM59" s="18"/>
      <c r="NN59" s="18"/>
      <c r="NO59" s="18"/>
      <c r="NP59" s="18"/>
      <c r="NQ59" s="18"/>
      <c r="NR59" s="18"/>
      <c r="NS59" s="18"/>
      <c r="NT59" s="18"/>
      <c r="NU59" s="18"/>
      <c r="NV59" s="18"/>
      <c r="NW59" s="18"/>
      <c r="NX59" s="18"/>
      <c r="NY59" s="18"/>
      <c r="NZ59" s="18"/>
      <c r="OA59" s="18"/>
      <c r="OB59" s="18"/>
      <c r="OC59" s="18"/>
      <c r="OD59" s="18"/>
      <c r="OE59" s="18"/>
      <c r="OF59" s="18"/>
      <c r="OG59" s="18"/>
      <c r="OH59" s="18"/>
      <c r="OI59" s="18"/>
      <c r="OJ59" s="18"/>
      <c r="OK59" s="18"/>
      <c r="OL59" s="18"/>
      <c r="OM59" s="18"/>
      <c r="ON59" s="18"/>
      <c r="OO59" s="18"/>
      <c r="OP59" s="18"/>
      <c r="OQ59" s="18"/>
      <c r="OR59" s="18"/>
      <c r="OS59" s="18"/>
      <c r="OT59" s="18"/>
      <c r="OU59" s="18"/>
      <c r="OV59" s="18"/>
      <c r="OW59" s="18"/>
      <c r="OX59" s="18"/>
      <c r="OY59" s="18"/>
      <c r="OZ59" s="18"/>
      <c r="PA59" s="18"/>
      <c r="PB59" s="18"/>
      <c r="PC59" s="18"/>
      <c r="PD59" s="18"/>
      <c r="PE59" s="18"/>
      <c r="PF59" s="18"/>
      <c r="PG59" s="18"/>
      <c r="PH59" s="18"/>
      <c r="PI59" s="18"/>
      <c r="PJ59" s="18"/>
      <c r="PK59" s="18"/>
      <c r="PL59" s="18"/>
      <c r="PM59" s="18"/>
      <c r="PN59" s="18"/>
      <c r="PO59" s="18"/>
      <c r="PP59" s="18"/>
      <c r="PQ59" s="18"/>
      <c r="PR59" s="18"/>
      <c r="PS59" s="18"/>
      <c r="PT59" s="18"/>
      <c r="PU59" s="18"/>
      <c r="PV59" s="18"/>
      <c r="PW59" s="18"/>
      <c r="PX59" s="18"/>
      <c r="PY59" s="18"/>
      <c r="PZ59" s="18"/>
      <c r="QA59" s="18"/>
      <c r="QB59" s="18"/>
      <c r="QC59" s="18"/>
      <c r="QD59" s="18"/>
      <c r="QE59" s="18"/>
      <c r="QF59" s="18"/>
      <c r="QG59" s="18"/>
      <c r="QH59" s="18"/>
      <c r="QI59" s="18"/>
      <c r="QJ59" s="18"/>
      <c r="QK59" s="18"/>
      <c r="QL59" s="18"/>
      <c r="QM59" s="18"/>
      <c r="QN59" s="18"/>
      <c r="QO59" s="18"/>
      <c r="QP59" s="18"/>
      <c r="QQ59" s="18"/>
      <c r="QR59" s="18"/>
      <c r="QS59" s="18"/>
      <c r="QT59" s="18"/>
      <c r="QU59" s="18"/>
      <c r="QV59" s="18"/>
      <c r="QW59" s="18"/>
      <c r="QX59" s="18"/>
      <c r="QY59" s="18"/>
      <c r="QZ59" s="18"/>
      <c r="RA59" s="18"/>
      <c r="RB59" s="18"/>
      <c r="RC59" s="18"/>
      <c r="RD59" s="18"/>
      <c r="RE59" s="18"/>
      <c r="RF59" s="18"/>
      <c r="RG59" s="18"/>
      <c r="RH59" s="18"/>
      <c r="RI59" s="18"/>
      <c r="RJ59" s="18"/>
      <c r="RK59" s="18"/>
      <c r="RL59" s="18"/>
      <c r="RM59" s="18"/>
      <c r="RN59" s="18"/>
      <c r="RO59" s="18"/>
      <c r="RP59" s="18"/>
      <c r="RQ59" s="18"/>
      <c r="RR59" s="18"/>
      <c r="RS59" s="18"/>
      <c r="RT59" s="18"/>
      <c r="RU59" s="18"/>
      <c r="RV59" s="18"/>
      <c r="RW59" s="18"/>
      <c r="RX59" s="18"/>
      <c r="RY59" s="18"/>
      <c r="RZ59" s="18"/>
      <c r="SA59" s="18"/>
      <c r="SB59" s="18"/>
      <c r="SC59" s="18"/>
      <c r="SD59" s="18"/>
      <c r="SE59" s="18"/>
      <c r="SF59" s="18"/>
      <c r="SG59" s="18"/>
      <c r="SH59" s="18"/>
      <c r="SI59" s="18"/>
      <c r="SJ59" s="18"/>
      <c r="SK59" s="18"/>
      <c r="SL59" s="18"/>
      <c r="SM59" s="18"/>
      <c r="SN59" s="18"/>
      <c r="SO59" s="18"/>
      <c r="SP59" s="18"/>
      <c r="SQ59" s="18"/>
      <c r="SR59" s="18"/>
      <c r="SS59" s="18"/>
      <c r="ST59" s="18"/>
      <c r="SU59" s="18"/>
      <c r="SV59" s="18"/>
      <c r="SW59" s="18"/>
      <c r="SX59" s="18"/>
      <c r="SY59" s="18"/>
      <c r="SZ59" s="18"/>
      <c r="TA59" s="18"/>
      <c r="TB59" s="18"/>
      <c r="TC59" s="18"/>
      <c r="TD59" s="18"/>
      <c r="TE59" s="18"/>
      <c r="TF59" s="18"/>
      <c r="TG59" s="18"/>
      <c r="TH59" s="18"/>
      <c r="TI59" s="18"/>
      <c r="TJ59" s="18"/>
      <c r="TK59" s="18"/>
      <c r="TL59" s="18"/>
      <c r="TM59" s="18"/>
      <c r="TN59" s="18"/>
      <c r="TO59" s="18"/>
      <c r="TP59" s="18"/>
      <c r="TQ59" s="18"/>
      <c r="TR59" s="18"/>
      <c r="TS59" s="18"/>
      <c r="TT59" s="18"/>
      <c r="TU59" s="18"/>
      <c r="TV59" s="18"/>
      <c r="TW59" s="18"/>
      <c r="TX59" s="18"/>
      <c r="TY59" s="18"/>
      <c r="TZ59" s="18"/>
      <c r="UA59" s="18"/>
      <c r="UB59" s="18"/>
      <c r="UC59" s="18"/>
      <c r="UD59" s="18"/>
      <c r="UE59" s="18"/>
      <c r="UF59" s="18"/>
      <c r="UG59" s="18"/>
      <c r="UH59" s="18"/>
      <c r="UI59" s="18"/>
      <c r="UJ59" s="18"/>
      <c r="UK59" s="18"/>
      <c r="UL59" s="18"/>
      <c r="UM59" s="18"/>
      <c r="UN59" s="18"/>
      <c r="UO59" s="18"/>
      <c r="UP59" s="18"/>
      <c r="UQ59" s="18"/>
      <c r="UR59" s="18"/>
      <c r="US59" s="18"/>
      <c r="UT59" s="18"/>
      <c r="UU59" s="18"/>
      <c r="UV59" s="18"/>
      <c r="UW59" s="18"/>
      <c r="UX59" s="18"/>
      <c r="UY59" s="18"/>
      <c r="UZ59" s="18"/>
      <c r="VA59" s="18"/>
      <c r="VB59" s="18"/>
      <c r="VC59" s="18"/>
      <c r="VD59" s="18"/>
      <c r="VE59" s="18"/>
      <c r="VF59" s="18"/>
      <c r="VG59" s="18"/>
      <c r="VH59" s="18"/>
      <c r="VI59" s="18"/>
      <c r="VJ59" s="18"/>
      <c r="VK59" s="18"/>
      <c r="VL59" s="18"/>
      <c r="VM59" s="18"/>
      <c r="VN59" s="18"/>
      <c r="VO59" s="18"/>
      <c r="VP59" s="18"/>
      <c r="VQ59" s="18"/>
      <c r="VR59" s="18"/>
      <c r="VS59" s="18"/>
      <c r="VT59" s="18"/>
      <c r="VU59" s="18"/>
      <c r="VV59" s="18"/>
      <c r="VW59" s="18"/>
      <c r="VX59" s="18"/>
      <c r="VY59" s="18"/>
      <c r="VZ59" s="18"/>
      <c r="WA59" s="18"/>
      <c r="WB59" s="18"/>
      <c r="WC59" s="18"/>
      <c r="WD59" s="18"/>
      <c r="WE59" s="18"/>
      <c r="WF59" s="18"/>
      <c r="WG59" s="18"/>
      <c r="WH59" s="18"/>
      <c r="WI59" s="18"/>
      <c r="WJ59" s="18"/>
      <c r="WK59" s="18"/>
      <c r="WL59" s="18"/>
      <c r="WM59" s="18"/>
      <c r="WN59" s="18"/>
      <c r="WO59" s="18"/>
      <c r="WP59" s="18"/>
      <c r="WQ59" s="18"/>
      <c r="WR59" s="18"/>
      <c r="WS59" s="18"/>
      <c r="WT59" s="18"/>
      <c r="WU59" s="18"/>
      <c r="WV59" s="18"/>
      <c r="WW59" s="18"/>
      <c r="WX59" s="18"/>
      <c r="WY59" s="18"/>
      <c r="WZ59" s="18"/>
      <c r="XA59" s="18"/>
      <c r="XB59" s="18"/>
      <c r="XC59" s="18"/>
      <c r="XD59" s="18"/>
      <c r="XE59" s="18"/>
      <c r="XF59" s="18"/>
      <c r="XG59" s="18"/>
      <c r="XH59" s="18"/>
      <c r="XI59" s="18"/>
      <c r="XJ59" s="18"/>
      <c r="XK59" s="18"/>
      <c r="XL59" s="18"/>
      <c r="XM59" s="18"/>
      <c r="XN59" s="18"/>
      <c r="XO59" s="18"/>
      <c r="XP59" s="18"/>
      <c r="XQ59" s="18"/>
      <c r="XR59" s="18"/>
      <c r="XS59" s="18"/>
      <c r="XT59" s="18"/>
      <c r="XU59" s="18"/>
      <c r="XV59" s="18"/>
      <c r="XW59" s="18"/>
      <c r="XX59" s="18"/>
      <c r="XY59" s="18"/>
      <c r="XZ59" s="18"/>
      <c r="YA59" s="18"/>
      <c r="YB59" s="18"/>
      <c r="YC59" s="18"/>
      <c r="YD59" s="18"/>
      <c r="YE59" s="18"/>
      <c r="YF59" s="18"/>
      <c r="YG59" s="18"/>
      <c r="YH59" s="18"/>
      <c r="YI59" s="18"/>
      <c r="YJ59" s="18"/>
      <c r="YK59" s="18"/>
      <c r="YL59" s="18"/>
      <c r="YM59" s="18"/>
      <c r="YN59" s="18"/>
      <c r="YO59" s="18"/>
      <c r="YP59" s="18"/>
      <c r="YQ59" s="18"/>
      <c r="YR59" s="18"/>
      <c r="YS59" s="18"/>
      <c r="YT59" s="18"/>
      <c r="YU59" s="18"/>
      <c r="YV59" s="18"/>
      <c r="YW59" s="18"/>
      <c r="YX59" s="18"/>
      <c r="YY59" s="18"/>
      <c r="YZ59" s="18"/>
      <c r="ZA59" s="18"/>
      <c r="ZB59" s="18"/>
      <c r="ZC59" s="18"/>
      <c r="ZD59" s="18"/>
      <c r="ZE59" s="18"/>
      <c r="ZF59" s="18"/>
      <c r="ZG59" s="18"/>
      <c r="ZH59" s="18"/>
      <c r="ZI59" s="18"/>
      <c r="ZJ59" s="18"/>
      <c r="ZK59" s="18"/>
      <c r="ZL59" s="18"/>
      <c r="ZM59" s="18"/>
      <c r="ZN59" s="18"/>
      <c r="ZO59" s="18"/>
      <c r="ZP59" s="18"/>
      <c r="ZQ59" s="18"/>
      <c r="ZR59" s="18"/>
      <c r="ZS59" s="18"/>
      <c r="ZT59" s="18"/>
      <c r="ZU59" s="18"/>
      <c r="ZV59" s="18"/>
      <c r="ZW59" s="18"/>
      <c r="ZX59" s="18"/>
      <c r="ZY59" s="18"/>
      <c r="ZZ59" s="18"/>
      <c r="AAA59" s="18"/>
      <c r="AAB59" s="18"/>
      <c r="AAC59" s="18"/>
      <c r="AAD59" s="18"/>
      <c r="AAE59" s="18"/>
      <c r="AAF59" s="18"/>
      <c r="AAG59" s="18"/>
      <c r="AAH59" s="18"/>
      <c r="AAI59" s="18"/>
      <c r="AAJ59" s="18"/>
      <c r="AAK59" s="18"/>
      <c r="AAL59" s="18"/>
      <c r="AAM59" s="18"/>
      <c r="AAN59" s="18"/>
      <c r="AAO59" s="18"/>
      <c r="AAP59" s="18"/>
      <c r="AAQ59" s="18"/>
      <c r="AAR59" s="18"/>
      <c r="AAS59" s="18"/>
      <c r="AAT59" s="18"/>
      <c r="AAU59" s="18"/>
      <c r="AAV59" s="18"/>
      <c r="AAW59" s="18"/>
      <c r="AAX59" s="18"/>
      <c r="AAY59" s="18"/>
      <c r="AAZ59" s="18"/>
      <c r="ABA59" s="18"/>
      <c r="ABB59" s="18"/>
      <c r="ABC59" s="18"/>
      <c r="ABD59" s="18"/>
      <c r="ABE59" s="18"/>
      <c r="ABF59" s="18"/>
      <c r="ABG59" s="18"/>
      <c r="ABH59" s="18"/>
      <c r="ABI59" s="18"/>
      <c r="ABJ59" s="18"/>
      <c r="ABK59" s="18"/>
      <c r="ABL59" s="18"/>
      <c r="ABM59" s="18"/>
      <c r="ABN59" s="18"/>
      <c r="ABO59" s="18"/>
      <c r="ABP59" s="18"/>
      <c r="ABQ59" s="18"/>
      <c r="ABR59" s="18"/>
      <c r="ABS59" s="18"/>
      <c r="ABT59" s="18"/>
      <c r="ABU59" s="18"/>
      <c r="ABV59" s="18"/>
      <c r="ABW59" s="18"/>
      <c r="ABX59" s="18"/>
      <c r="ABY59" s="18"/>
      <c r="ABZ59" s="18"/>
      <c r="ACA59" s="18"/>
      <c r="ACB59" s="18"/>
      <c r="ACC59" s="18"/>
      <c r="ACD59" s="18"/>
      <c r="ACE59" s="18"/>
      <c r="ACF59" s="18"/>
      <c r="ACG59" s="18"/>
      <c r="ACH59" s="18"/>
      <c r="ACI59" s="18"/>
      <c r="ACJ59" s="18"/>
      <c r="ACK59" s="18"/>
      <c r="ACL59" s="18"/>
      <c r="ACM59" s="18"/>
      <c r="ACN59" s="18"/>
      <c r="ACO59" s="18"/>
      <c r="ACP59" s="18"/>
      <c r="ACQ59" s="18"/>
      <c r="ACR59" s="18"/>
      <c r="ACS59" s="18"/>
      <c r="ACT59" s="18"/>
      <c r="ACU59" s="18"/>
      <c r="ACV59" s="18"/>
      <c r="ACW59" s="18"/>
      <c r="ACX59" s="18"/>
      <c r="ACY59" s="18"/>
      <c r="ACZ59" s="18"/>
      <c r="ADA59" s="18"/>
      <c r="ADB59" s="18"/>
      <c r="ADC59" s="18"/>
      <c r="ADD59" s="18"/>
      <c r="ADE59" s="18"/>
      <c r="ADF59" s="18"/>
      <c r="ADG59" s="18"/>
      <c r="ADH59" s="18"/>
      <c r="ADI59" s="18"/>
      <c r="ADJ59" s="18"/>
      <c r="ADK59" s="18"/>
      <c r="ADL59" s="18"/>
      <c r="ADM59" s="18"/>
      <c r="ADN59" s="18"/>
      <c r="ADO59" s="18"/>
      <c r="ADP59" s="18"/>
      <c r="ADQ59" s="18"/>
      <c r="ADR59" s="18"/>
      <c r="ADS59" s="18"/>
      <c r="ADT59" s="18"/>
      <c r="ADU59" s="18"/>
      <c r="ADV59" s="18"/>
      <c r="ADW59" s="18"/>
      <c r="ADX59" s="18"/>
      <c r="ADY59" s="18"/>
      <c r="ADZ59" s="18"/>
      <c r="AEA59" s="18"/>
      <c r="AEB59" s="18"/>
      <c r="AEC59" s="18"/>
      <c r="AED59" s="18"/>
      <c r="AEE59" s="18"/>
      <c r="AEF59" s="18"/>
      <c r="AEG59" s="18"/>
      <c r="AEH59" s="18"/>
      <c r="AEI59" s="18"/>
      <c r="AEJ59" s="18"/>
      <c r="AEK59" s="18"/>
      <c r="AEL59" s="18"/>
      <c r="AEM59" s="18"/>
      <c r="AEN59" s="18"/>
      <c r="AEO59" s="18"/>
      <c r="AEP59" s="18"/>
      <c r="AEQ59" s="18"/>
      <c r="AER59" s="18"/>
      <c r="AES59" s="18"/>
      <c r="AET59" s="18"/>
      <c r="AEU59" s="18"/>
      <c r="AEV59" s="18"/>
      <c r="AEW59" s="18"/>
      <c r="AEX59" s="18"/>
      <c r="AEY59" s="18"/>
      <c r="AEZ59" s="18"/>
      <c r="AFA59" s="18"/>
      <c r="AFB59" s="18"/>
      <c r="AFC59" s="18"/>
      <c r="AFD59" s="18"/>
      <c r="AFE59" s="18"/>
      <c r="AFF59" s="18"/>
      <c r="AFG59" s="18"/>
      <c r="AFH59" s="18"/>
      <c r="AFI59" s="18"/>
      <c r="AFJ59" s="18"/>
      <c r="AFK59" s="18"/>
      <c r="AFL59" s="18"/>
      <c r="AFM59" s="18"/>
      <c r="AFN59" s="18"/>
      <c r="AFO59" s="18"/>
      <c r="AFP59" s="18"/>
      <c r="AFQ59" s="18"/>
      <c r="AFR59" s="18"/>
      <c r="AFS59" s="18"/>
      <c r="AFT59" s="18"/>
      <c r="AFU59" s="18"/>
      <c r="AFV59" s="18"/>
      <c r="AFW59" s="18"/>
      <c r="AFX59" s="18"/>
      <c r="AFY59" s="18"/>
      <c r="AFZ59" s="18"/>
      <c r="AGA59" s="18"/>
      <c r="AGB59" s="18"/>
      <c r="AGC59" s="18"/>
      <c r="AGD59" s="18"/>
      <c r="AGE59" s="18"/>
      <c r="AGF59" s="18"/>
      <c r="AGG59" s="18"/>
      <c r="AGH59" s="18"/>
      <c r="AGI59" s="18"/>
      <c r="AGJ59" s="18"/>
      <c r="AGK59" s="18"/>
      <c r="AGL59" s="18"/>
      <c r="AGM59" s="18"/>
      <c r="AGN59" s="18"/>
      <c r="AGO59" s="18"/>
      <c r="AGP59" s="18"/>
      <c r="AGQ59" s="18"/>
      <c r="AGR59" s="18"/>
      <c r="AGS59" s="18"/>
      <c r="AGT59" s="18"/>
      <c r="AGU59" s="18"/>
      <c r="AGV59" s="18"/>
      <c r="AGW59" s="18"/>
      <c r="AGX59" s="18"/>
      <c r="AGY59" s="18"/>
      <c r="AGZ59" s="18"/>
      <c r="AHA59" s="18"/>
      <c r="AHB59" s="18"/>
      <c r="AHC59" s="18"/>
      <c r="AHD59" s="18"/>
      <c r="AHE59" s="18"/>
      <c r="AHF59" s="18"/>
      <c r="AHG59" s="18"/>
      <c r="AHH59" s="18"/>
      <c r="AHI59" s="18"/>
      <c r="AHJ59" s="18"/>
      <c r="AHK59" s="18"/>
      <c r="AHL59" s="18"/>
      <c r="AHM59" s="18"/>
      <c r="AHN59" s="18"/>
      <c r="AHO59" s="18"/>
      <c r="AHP59" s="18"/>
      <c r="AHQ59" s="18"/>
      <c r="AHR59" s="18"/>
      <c r="AHS59" s="18"/>
      <c r="AHT59" s="18"/>
      <c r="AHU59" s="18"/>
      <c r="AHV59" s="18"/>
      <c r="AHW59" s="18"/>
      <c r="AHX59" s="18"/>
      <c r="AHY59" s="18"/>
      <c r="AHZ59" s="18"/>
      <c r="AIA59" s="18"/>
      <c r="AIB59" s="18"/>
      <c r="AIC59" s="18"/>
      <c r="AID59" s="18"/>
      <c r="AIE59" s="18"/>
      <c r="AIF59" s="18"/>
      <c r="AIG59" s="18"/>
      <c r="AIH59" s="18"/>
      <c r="AII59" s="18"/>
      <c r="AIJ59" s="18"/>
      <c r="AIK59" s="18"/>
      <c r="AIL59" s="18"/>
      <c r="AIM59" s="18"/>
      <c r="AIN59" s="18"/>
      <c r="AIO59" s="18"/>
      <c r="AIP59" s="18"/>
      <c r="AIQ59" s="18"/>
      <c r="AIR59" s="18"/>
      <c r="AIS59" s="18"/>
      <c r="AIT59" s="18"/>
      <c r="AIU59" s="18"/>
      <c r="AIV59" s="18"/>
      <c r="AIW59" s="18"/>
      <c r="AIX59" s="18"/>
      <c r="AIY59" s="18"/>
      <c r="AIZ59" s="18"/>
      <c r="AJA59" s="18"/>
      <c r="AJB59" s="18"/>
      <c r="AJC59" s="18"/>
      <c r="AJD59" s="18"/>
      <c r="AJE59" s="18"/>
      <c r="AJF59" s="18"/>
      <c r="AJG59" s="18"/>
      <c r="AJH59" s="18"/>
      <c r="AJI59" s="18"/>
      <c r="AJJ59" s="18"/>
      <c r="AJK59" s="18"/>
      <c r="AJL59" s="18"/>
      <c r="AJM59" s="18"/>
      <c r="AJN59" s="18"/>
      <c r="AJO59" s="18"/>
      <c r="AJP59" s="18"/>
      <c r="AJQ59" s="18"/>
      <c r="AJR59" s="18"/>
      <c r="AJS59" s="18"/>
      <c r="AJT59" s="18"/>
      <c r="AJU59" s="18"/>
      <c r="AJV59" s="18"/>
      <c r="AJW59" s="18"/>
      <c r="AJX59" s="18"/>
      <c r="AJY59" s="18"/>
      <c r="AJZ59" s="18"/>
      <c r="AKA59" s="18"/>
      <c r="AKB59" s="18"/>
      <c r="AKC59" s="18"/>
      <c r="AKD59" s="18"/>
      <c r="AKE59" s="18"/>
      <c r="AKF59" s="18"/>
      <c r="AKG59" s="18"/>
      <c r="AKH59" s="18"/>
      <c r="AKI59" s="18"/>
      <c r="AKJ59" s="18"/>
      <c r="AKK59" s="18"/>
      <c r="AKL59" s="18"/>
      <c r="AKM59" s="18"/>
      <c r="AKN59" s="18"/>
      <c r="AKO59" s="18"/>
      <c r="AKP59" s="18"/>
      <c r="AKQ59" s="18"/>
      <c r="AKR59" s="18"/>
      <c r="AKS59" s="18"/>
      <c r="AKT59" s="18"/>
      <c r="AKU59" s="18"/>
      <c r="AKV59" s="18"/>
      <c r="AKW59" s="18"/>
      <c r="AKX59" s="18"/>
      <c r="AKY59" s="18"/>
      <c r="AKZ59" s="18"/>
      <c r="ALA59" s="18"/>
      <c r="ALB59" s="18"/>
      <c r="ALC59" s="18"/>
      <c r="ALD59" s="18"/>
      <c r="ALE59" s="18"/>
      <c r="ALF59" s="18"/>
      <c r="ALG59" s="18"/>
      <c r="ALH59" s="18"/>
      <c r="ALI59" s="18"/>
      <c r="ALJ59" s="18"/>
      <c r="ALK59" s="18"/>
      <c r="ALL59" s="18"/>
      <c r="ALM59" s="18"/>
      <c r="ALN59" s="18"/>
      <c r="ALO59" s="18"/>
      <c r="ALP59" s="18"/>
      <c r="ALQ59" s="18"/>
      <c r="ALR59" s="18"/>
      <c r="ALS59" s="18"/>
      <c r="ALT59" s="18"/>
      <c r="ALU59" s="18"/>
      <c r="ALV59" s="18"/>
      <c r="ALW59" s="18"/>
      <c r="ALX59" s="18"/>
      <c r="ALY59" s="18"/>
      <c r="ALZ59" s="18"/>
      <c r="AMA59" s="18"/>
      <c r="AMB59" s="18"/>
      <c r="AMC59" s="18"/>
      <c r="AMD59" s="18"/>
      <c r="AME59" s="18"/>
      <c r="AMF59" s="18"/>
      <c r="AMG59" s="18"/>
      <c r="AMH59" s="18"/>
    </row>
    <row r="60" spans="1:1022" s="23" customFormat="1" x14ac:dyDescent="0.3">
      <c r="A60" s="33">
        <v>156</v>
      </c>
      <c r="B60" s="19"/>
      <c r="C60" s="19"/>
      <c r="D60" s="57" t="s">
        <v>331</v>
      </c>
      <c r="E60" s="34" t="s">
        <v>482</v>
      </c>
      <c r="F60" s="39"/>
      <c r="G60" s="39"/>
      <c r="H60" s="38" t="s">
        <v>281</v>
      </c>
      <c r="I60" s="31"/>
      <c r="J60" s="40"/>
      <c r="K60" s="31"/>
      <c r="L60" s="40"/>
      <c r="M60" s="41"/>
      <c r="N60" s="32"/>
      <c r="O60" s="18"/>
      <c r="P60" s="36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  <c r="CM60" s="18"/>
      <c r="CN60" s="18"/>
      <c r="CO60" s="18"/>
      <c r="CP60" s="18"/>
      <c r="CQ60" s="18"/>
      <c r="CR60" s="18"/>
      <c r="CS60" s="18"/>
      <c r="CT60" s="18"/>
      <c r="CU60" s="18"/>
      <c r="CV60" s="18"/>
      <c r="CW60" s="18"/>
      <c r="CX60" s="18"/>
      <c r="CY60" s="18"/>
      <c r="CZ60" s="18"/>
      <c r="DA60" s="18"/>
      <c r="DB60" s="18"/>
      <c r="DC60" s="18"/>
      <c r="DD60" s="18"/>
      <c r="DE60" s="18"/>
      <c r="DF60" s="18"/>
      <c r="DG60" s="18"/>
      <c r="DH60" s="18"/>
      <c r="DI60" s="18"/>
      <c r="DJ60" s="18"/>
      <c r="DK60" s="18"/>
      <c r="DL60" s="18"/>
      <c r="DM60" s="18"/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  <c r="DZ60" s="18"/>
      <c r="EA60" s="18"/>
      <c r="EB60" s="18"/>
      <c r="EC60" s="18"/>
      <c r="ED60" s="18"/>
      <c r="EE60" s="18"/>
      <c r="EF60" s="18"/>
      <c r="EG60" s="18"/>
      <c r="EH60" s="18"/>
      <c r="EI60" s="18"/>
      <c r="EJ60" s="18"/>
      <c r="EK60" s="18"/>
      <c r="EL60" s="18"/>
      <c r="EM60" s="18"/>
      <c r="EN60" s="18"/>
      <c r="EO60" s="18"/>
      <c r="EP60" s="18"/>
      <c r="EQ60" s="18"/>
      <c r="ER60" s="18"/>
      <c r="ES60" s="18"/>
      <c r="ET60" s="18"/>
      <c r="EU60" s="18"/>
      <c r="EV60" s="18"/>
      <c r="EW60" s="18"/>
      <c r="EX60" s="18"/>
      <c r="EY60" s="18"/>
      <c r="EZ60" s="18"/>
      <c r="FA60" s="18"/>
      <c r="FB60" s="18"/>
      <c r="FC60" s="18"/>
      <c r="FD60" s="18"/>
      <c r="FE60" s="18"/>
      <c r="FF60" s="18"/>
      <c r="FG60" s="18"/>
      <c r="FH60" s="18"/>
      <c r="FI60" s="18"/>
      <c r="FJ60" s="18"/>
      <c r="FK60" s="18"/>
      <c r="FL60" s="18"/>
      <c r="FM60" s="18"/>
      <c r="FN60" s="18"/>
      <c r="FO60" s="18"/>
      <c r="FP60" s="18"/>
      <c r="FQ60" s="18"/>
      <c r="FR60" s="18"/>
      <c r="FS60" s="18"/>
      <c r="FT60" s="18"/>
      <c r="FU60" s="18"/>
      <c r="FV60" s="18"/>
      <c r="FW60" s="18"/>
      <c r="FX60" s="18"/>
      <c r="FY60" s="18"/>
      <c r="FZ60" s="18"/>
      <c r="GA60" s="18"/>
      <c r="GB60" s="18"/>
      <c r="GC60" s="18"/>
      <c r="GD60" s="18"/>
      <c r="GE60" s="18"/>
      <c r="GF60" s="18"/>
      <c r="GG60" s="18"/>
      <c r="GH60" s="18"/>
      <c r="GI60" s="18"/>
      <c r="GJ60" s="18"/>
      <c r="GK60" s="18"/>
      <c r="GL60" s="18"/>
      <c r="GM60" s="18"/>
      <c r="GN60" s="18"/>
      <c r="GO60" s="18"/>
      <c r="GP60" s="18"/>
      <c r="GQ60" s="18"/>
      <c r="GR60" s="18"/>
      <c r="GS60" s="18"/>
      <c r="GT60" s="18"/>
      <c r="GU60" s="18"/>
      <c r="GV60" s="18"/>
      <c r="GW60" s="18"/>
      <c r="GX60" s="18"/>
      <c r="GY60" s="18"/>
      <c r="GZ60" s="18"/>
      <c r="HA60" s="18"/>
      <c r="HB60" s="18"/>
      <c r="HC60" s="18"/>
      <c r="HD60" s="18"/>
      <c r="HE60" s="18"/>
      <c r="HF60" s="18"/>
      <c r="HG60" s="18"/>
      <c r="HH60" s="18"/>
      <c r="HI60" s="18"/>
      <c r="HJ60" s="18"/>
      <c r="HK60" s="18"/>
      <c r="HL60" s="18"/>
      <c r="HM60" s="18"/>
      <c r="HN60" s="18"/>
      <c r="HO60" s="18"/>
      <c r="HP60" s="18"/>
      <c r="HQ60" s="18"/>
      <c r="HR60" s="18"/>
      <c r="HS60" s="18"/>
      <c r="HT60" s="18"/>
      <c r="HU60" s="18"/>
      <c r="HV60" s="18"/>
      <c r="HW60" s="18"/>
      <c r="HX60" s="18"/>
      <c r="HY60" s="18"/>
      <c r="HZ60" s="18"/>
      <c r="IA60" s="18"/>
      <c r="IB60" s="18"/>
      <c r="IC60" s="18"/>
      <c r="ID60" s="18"/>
      <c r="IE60" s="18"/>
      <c r="IF60" s="18"/>
      <c r="IG60" s="18"/>
      <c r="IH60" s="18"/>
      <c r="II60" s="18"/>
      <c r="IJ60" s="18"/>
      <c r="IK60" s="18"/>
      <c r="IL60" s="18"/>
      <c r="IM60" s="18"/>
      <c r="IN60" s="18"/>
      <c r="IO60" s="18"/>
      <c r="IP60" s="18"/>
      <c r="IQ60" s="18"/>
      <c r="IR60" s="18"/>
      <c r="IS60" s="18"/>
      <c r="IT60" s="18"/>
      <c r="IU60" s="18"/>
      <c r="IV60" s="18"/>
      <c r="IW60" s="18"/>
      <c r="IX60" s="18"/>
      <c r="IY60" s="18"/>
      <c r="IZ60" s="18"/>
      <c r="JA60" s="18"/>
      <c r="JB60" s="18"/>
      <c r="JC60" s="18"/>
      <c r="JD60" s="18"/>
      <c r="JE60" s="18"/>
      <c r="JF60" s="18"/>
      <c r="JG60" s="18"/>
      <c r="JH60" s="18"/>
      <c r="JI60" s="18"/>
      <c r="JJ60" s="18"/>
      <c r="JK60" s="18"/>
      <c r="JL60" s="18"/>
      <c r="JM60" s="18"/>
      <c r="JN60" s="18"/>
      <c r="JO60" s="18"/>
      <c r="JP60" s="18"/>
      <c r="JQ60" s="18"/>
      <c r="JR60" s="18"/>
      <c r="JS60" s="18"/>
      <c r="JT60" s="18"/>
      <c r="JU60" s="18"/>
      <c r="JV60" s="18"/>
      <c r="JW60" s="18"/>
      <c r="JX60" s="18"/>
      <c r="JY60" s="18"/>
      <c r="JZ60" s="18"/>
      <c r="KA60" s="18"/>
      <c r="KB60" s="18"/>
      <c r="KC60" s="18"/>
      <c r="KD60" s="18"/>
      <c r="KE60" s="18"/>
      <c r="KF60" s="18"/>
      <c r="KG60" s="18"/>
      <c r="KH60" s="18"/>
      <c r="KI60" s="18"/>
      <c r="KJ60" s="18"/>
      <c r="KK60" s="18"/>
      <c r="KL60" s="18"/>
      <c r="KM60" s="18"/>
      <c r="KN60" s="18"/>
      <c r="KO60" s="18"/>
      <c r="KP60" s="18"/>
      <c r="KQ60" s="18"/>
      <c r="KR60" s="18"/>
      <c r="KS60" s="18"/>
      <c r="KT60" s="18"/>
      <c r="KU60" s="18"/>
      <c r="KV60" s="18"/>
      <c r="KW60" s="18"/>
      <c r="KX60" s="18"/>
      <c r="KY60" s="18"/>
      <c r="KZ60" s="18"/>
      <c r="LA60" s="18"/>
      <c r="LB60" s="18"/>
      <c r="LC60" s="18"/>
      <c r="LD60" s="18"/>
      <c r="LE60" s="18"/>
      <c r="LF60" s="18"/>
      <c r="LG60" s="18"/>
      <c r="LH60" s="18"/>
      <c r="LI60" s="18"/>
      <c r="LJ60" s="18"/>
      <c r="LK60" s="18"/>
      <c r="LL60" s="18"/>
      <c r="LM60" s="18"/>
      <c r="LN60" s="18"/>
      <c r="LO60" s="18"/>
      <c r="LP60" s="18"/>
      <c r="LQ60" s="18"/>
      <c r="LR60" s="18"/>
      <c r="LS60" s="18"/>
      <c r="LT60" s="18"/>
      <c r="LU60" s="18"/>
      <c r="LV60" s="18"/>
      <c r="LW60" s="18"/>
      <c r="LX60" s="18"/>
      <c r="LY60" s="18"/>
      <c r="LZ60" s="18"/>
      <c r="MA60" s="18"/>
      <c r="MB60" s="18"/>
      <c r="MC60" s="18"/>
      <c r="MD60" s="18"/>
      <c r="ME60" s="18"/>
      <c r="MF60" s="18"/>
      <c r="MG60" s="18"/>
      <c r="MH60" s="18"/>
      <c r="MI60" s="18"/>
      <c r="MJ60" s="18"/>
      <c r="MK60" s="18"/>
      <c r="ML60" s="18"/>
      <c r="MM60" s="18"/>
      <c r="MN60" s="18"/>
      <c r="MO60" s="18"/>
      <c r="MP60" s="18"/>
      <c r="MQ60" s="18"/>
      <c r="MR60" s="18"/>
      <c r="MS60" s="18"/>
      <c r="MT60" s="18"/>
      <c r="MU60" s="18"/>
      <c r="MV60" s="18"/>
      <c r="MW60" s="18"/>
      <c r="MX60" s="18"/>
      <c r="MY60" s="18"/>
      <c r="MZ60" s="18"/>
      <c r="NA60" s="18"/>
      <c r="NB60" s="18"/>
      <c r="NC60" s="18"/>
      <c r="ND60" s="18"/>
      <c r="NE60" s="18"/>
      <c r="NF60" s="18"/>
      <c r="NG60" s="18"/>
      <c r="NH60" s="18"/>
      <c r="NI60" s="18"/>
      <c r="NJ60" s="18"/>
      <c r="NK60" s="18"/>
      <c r="NL60" s="18"/>
      <c r="NM60" s="18"/>
      <c r="NN60" s="18"/>
      <c r="NO60" s="18"/>
      <c r="NP60" s="18"/>
      <c r="NQ60" s="18"/>
      <c r="NR60" s="18"/>
      <c r="NS60" s="18"/>
      <c r="NT60" s="18"/>
      <c r="NU60" s="18"/>
      <c r="NV60" s="18"/>
      <c r="NW60" s="18"/>
      <c r="NX60" s="18"/>
      <c r="NY60" s="18"/>
      <c r="NZ60" s="18"/>
      <c r="OA60" s="18"/>
      <c r="OB60" s="18"/>
      <c r="OC60" s="18"/>
      <c r="OD60" s="18"/>
      <c r="OE60" s="18"/>
      <c r="OF60" s="18"/>
      <c r="OG60" s="18"/>
      <c r="OH60" s="18"/>
      <c r="OI60" s="18"/>
      <c r="OJ60" s="18"/>
      <c r="OK60" s="18"/>
      <c r="OL60" s="18"/>
      <c r="OM60" s="18"/>
      <c r="ON60" s="18"/>
      <c r="OO60" s="18"/>
      <c r="OP60" s="18"/>
      <c r="OQ60" s="18"/>
      <c r="OR60" s="18"/>
      <c r="OS60" s="18"/>
      <c r="OT60" s="18"/>
      <c r="OU60" s="18"/>
      <c r="OV60" s="18"/>
      <c r="OW60" s="18"/>
      <c r="OX60" s="18"/>
      <c r="OY60" s="18"/>
      <c r="OZ60" s="18"/>
      <c r="PA60" s="18"/>
      <c r="PB60" s="18"/>
      <c r="PC60" s="18"/>
      <c r="PD60" s="18"/>
      <c r="PE60" s="18"/>
      <c r="PF60" s="18"/>
      <c r="PG60" s="18"/>
      <c r="PH60" s="18"/>
      <c r="PI60" s="18"/>
      <c r="PJ60" s="18"/>
      <c r="PK60" s="18"/>
      <c r="PL60" s="18"/>
      <c r="PM60" s="18"/>
      <c r="PN60" s="18"/>
      <c r="PO60" s="18"/>
      <c r="PP60" s="18"/>
      <c r="PQ60" s="18"/>
      <c r="PR60" s="18"/>
      <c r="PS60" s="18"/>
      <c r="PT60" s="18"/>
      <c r="PU60" s="18"/>
      <c r="PV60" s="18"/>
      <c r="PW60" s="18"/>
      <c r="PX60" s="18"/>
      <c r="PY60" s="18"/>
      <c r="PZ60" s="18"/>
      <c r="QA60" s="18"/>
      <c r="QB60" s="18"/>
      <c r="QC60" s="18"/>
      <c r="QD60" s="18"/>
      <c r="QE60" s="18"/>
      <c r="QF60" s="18"/>
      <c r="QG60" s="18"/>
      <c r="QH60" s="18"/>
      <c r="QI60" s="18"/>
      <c r="QJ60" s="18"/>
      <c r="QK60" s="18"/>
      <c r="QL60" s="18"/>
      <c r="QM60" s="18"/>
      <c r="QN60" s="18"/>
      <c r="QO60" s="18"/>
      <c r="QP60" s="18"/>
      <c r="QQ60" s="18"/>
      <c r="QR60" s="18"/>
      <c r="QS60" s="18"/>
      <c r="QT60" s="18"/>
      <c r="QU60" s="18"/>
      <c r="QV60" s="18"/>
      <c r="QW60" s="18"/>
      <c r="QX60" s="18"/>
      <c r="QY60" s="18"/>
      <c r="QZ60" s="18"/>
      <c r="RA60" s="18"/>
      <c r="RB60" s="18"/>
      <c r="RC60" s="18"/>
      <c r="RD60" s="18"/>
      <c r="RE60" s="18"/>
      <c r="RF60" s="18"/>
      <c r="RG60" s="18"/>
      <c r="RH60" s="18"/>
      <c r="RI60" s="18"/>
      <c r="RJ60" s="18"/>
      <c r="RK60" s="18"/>
      <c r="RL60" s="18"/>
      <c r="RM60" s="18"/>
      <c r="RN60" s="18"/>
      <c r="RO60" s="18"/>
      <c r="RP60" s="18"/>
      <c r="RQ60" s="18"/>
      <c r="RR60" s="18"/>
      <c r="RS60" s="18"/>
      <c r="RT60" s="18"/>
      <c r="RU60" s="18"/>
      <c r="RV60" s="18"/>
      <c r="RW60" s="18"/>
      <c r="RX60" s="18"/>
      <c r="RY60" s="18"/>
      <c r="RZ60" s="18"/>
      <c r="SA60" s="18"/>
      <c r="SB60" s="18"/>
      <c r="SC60" s="18"/>
      <c r="SD60" s="18"/>
      <c r="SE60" s="18"/>
      <c r="SF60" s="18"/>
      <c r="SG60" s="18"/>
      <c r="SH60" s="18"/>
      <c r="SI60" s="18"/>
      <c r="SJ60" s="18"/>
      <c r="SK60" s="18"/>
      <c r="SL60" s="18"/>
      <c r="SM60" s="18"/>
      <c r="SN60" s="18"/>
      <c r="SO60" s="18"/>
      <c r="SP60" s="18"/>
      <c r="SQ60" s="18"/>
      <c r="SR60" s="18"/>
      <c r="SS60" s="18"/>
      <c r="ST60" s="18"/>
      <c r="SU60" s="18"/>
      <c r="SV60" s="18"/>
      <c r="SW60" s="18"/>
      <c r="SX60" s="18"/>
      <c r="SY60" s="18"/>
      <c r="SZ60" s="18"/>
      <c r="TA60" s="18"/>
      <c r="TB60" s="18"/>
      <c r="TC60" s="18"/>
      <c r="TD60" s="18"/>
      <c r="TE60" s="18"/>
      <c r="TF60" s="18"/>
      <c r="TG60" s="18"/>
      <c r="TH60" s="18"/>
      <c r="TI60" s="18"/>
      <c r="TJ60" s="18"/>
      <c r="TK60" s="18"/>
      <c r="TL60" s="18"/>
      <c r="TM60" s="18"/>
      <c r="TN60" s="18"/>
      <c r="TO60" s="18"/>
      <c r="TP60" s="18"/>
      <c r="TQ60" s="18"/>
      <c r="TR60" s="18"/>
      <c r="TS60" s="18"/>
      <c r="TT60" s="18"/>
      <c r="TU60" s="18"/>
      <c r="TV60" s="18"/>
      <c r="TW60" s="18"/>
      <c r="TX60" s="18"/>
      <c r="TY60" s="18"/>
      <c r="TZ60" s="18"/>
      <c r="UA60" s="18"/>
      <c r="UB60" s="18"/>
      <c r="UC60" s="18"/>
      <c r="UD60" s="18"/>
      <c r="UE60" s="18"/>
      <c r="UF60" s="18"/>
      <c r="UG60" s="18"/>
      <c r="UH60" s="18"/>
      <c r="UI60" s="18"/>
      <c r="UJ60" s="18"/>
      <c r="UK60" s="18"/>
      <c r="UL60" s="18"/>
      <c r="UM60" s="18"/>
      <c r="UN60" s="18"/>
      <c r="UO60" s="18"/>
      <c r="UP60" s="18"/>
      <c r="UQ60" s="18"/>
      <c r="UR60" s="18"/>
      <c r="US60" s="18"/>
      <c r="UT60" s="18"/>
      <c r="UU60" s="18"/>
      <c r="UV60" s="18"/>
      <c r="UW60" s="18"/>
      <c r="UX60" s="18"/>
      <c r="UY60" s="18"/>
      <c r="UZ60" s="18"/>
      <c r="VA60" s="18"/>
      <c r="VB60" s="18"/>
      <c r="VC60" s="18"/>
      <c r="VD60" s="18"/>
      <c r="VE60" s="18"/>
      <c r="VF60" s="18"/>
      <c r="VG60" s="18"/>
      <c r="VH60" s="18"/>
      <c r="VI60" s="18"/>
      <c r="VJ60" s="18"/>
      <c r="VK60" s="18"/>
      <c r="VL60" s="18"/>
      <c r="VM60" s="18"/>
      <c r="VN60" s="18"/>
      <c r="VO60" s="18"/>
      <c r="VP60" s="18"/>
      <c r="VQ60" s="18"/>
      <c r="VR60" s="18"/>
      <c r="VS60" s="18"/>
      <c r="VT60" s="18"/>
      <c r="VU60" s="18"/>
      <c r="VV60" s="18"/>
      <c r="VW60" s="18"/>
      <c r="VX60" s="18"/>
      <c r="VY60" s="18"/>
      <c r="VZ60" s="18"/>
      <c r="WA60" s="18"/>
      <c r="WB60" s="18"/>
      <c r="WC60" s="18"/>
      <c r="WD60" s="18"/>
      <c r="WE60" s="18"/>
      <c r="WF60" s="18"/>
      <c r="WG60" s="18"/>
      <c r="WH60" s="18"/>
      <c r="WI60" s="18"/>
      <c r="WJ60" s="18"/>
      <c r="WK60" s="18"/>
      <c r="WL60" s="18"/>
      <c r="WM60" s="18"/>
      <c r="WN60" s="18"/>
      <c r="WO60" s="18"/>
      <c r="WP60" s="18"/>
      <c r="WQ60" s="18"/>
      <c r="WR60" s="18"/>
      <c r="WS60" s="18"/>
      <c r="WT60" s="18"/>
      <c r="WU60" s="18"/>
      <c r="WV60" s="18"/>
      <c r="WW60" s="18"/>
      <c r="WX60" s="18"/>
      <c r="WY60" s="18"/>
      <c r="WZ60" s="18"/>
      <c r="XA60" s="18"/>
      <c r="XB60" s="18"/>
      <c r="XC60" s="18"/>
      <c r="XD60" s="18"/>
      <c r="XE60" s="18"/>
      <c r="XF60" s="18"/>
      <c r="XG60" s="18"/>
      <c r="XH60" s="18"/>
      <c r="XI60" s="18"/>
      <c r="XJ60" s="18"/>
      <c r="XK60" s="18"/>
      <c r="XL60" s="18"/>
      <c r="XM60" s="18"/>
      <c r="XN60" s="18"/>
      <c r="XO60" s="18"/>
      <c r="XP60" s="18"/>
      <c r="XQ60" s="18"/>
      <c r="XR60" s="18"/>
      <c r="XS60" s="18"/>
      <c r="XT60" s="18"/>
      <c r="XU60" s="18"/>
      <c r="XV60" s="18"/>
      <c r="XW60" s="18"/>
      <c r="XX60" s="18"/>
      <c r="XY60" s="18"/>
      <c r="XZ60" s="18"/>
      <c r="YA60" s="18"/>
      <c r="YB60" s="18"/>
      <c r="YC60" s="18"/>
      <c r="YD60" s="18"/>
      <c r="YE60" s="18"/>
      <c r="YF60" s="18"/>
      <c r="YG60" s="18"/>
      <c r="YH60" s="18"/>
      <c r="YI60" s="18"/>
      <c r="YJ60" s="18"/>
      <c r="YK60" s="18"/>
      <c r="YL60" s="18"/>
      <c r="YM60" s="18"/>
      <c r="YN60" s="18"/>
      <c r="YO60" s="18"/>
      <c r="YP60" s="18"/>
      <c r="YQ60" s="18"/>
      <c r="YR60" s="18"/>
      <c r="YS60" s="18"/>
      <c r="YT60" s="18"/>
      <c r="YU60" s="18"/>
      <c r="YV60" s="18"/>
      <c r="YW60" s="18"/>
      <c r="YX60" s="18"/>
      <c r="YY60" s="18"/>
      <c r="YZ60" s="18"/>
      <c r="ZA60" s="18"/>
      <c r="ZB60" s="18"/>
      <c r="ZC60" s="18"/>
      <c r="ZD60" s="18"/>
      <c r="ZE60" s="18"/>
      <c r="ZF60" s="18"/>
      <c r="ZG60" s="18"/>
      <c r="ZH60" s="18"/>
      <c r="ZI60" s="18"/>
      <c r="ZJ60" s="18"/>
      <c r="ZK60" s="18"/>
      <c r="ZL60" s="18"/>
      <c r="ZM60" s="18"/>
      <c r="ZN60" s="18"/>
      <c r="ZO60" s="18"/>
      <c r="ZP60" s="18"/>
      <c r="ZQ60" s="18"/>
      <c r="ZR60" s="18"/>
      <c r="ZS60" s="18"/>
      <c r="ZT60" s="18"/>
      <c r="ZU60" s="18"/>
      <c r="ZV60" s="18"/>
      <c r="ZW60" s="18"/>
      <c r="ZX60" s="18"/>
      <c r="ZY60" s="18"/>
      <c r="ZZ60" s="18"/>
      <c r="AAA60" s="18"/>
      <c r="AAB60" s="18"/>
      <c r="AAC60" s="18"/>
      <c r="AAD60" s="18"/>
      <c r="AAE60" s="18"/>
      <c r="AAF60" s="18"/>
      <c r="AAG60" s="18"/>
      <c r="AAH60" s="18"/>
      <c r="AAI60" s="18"/>
      <c r="AAJ60" s="18"/>
      <c r="AAK60" s="18"/>
      <c r="AAL60" s="18"/>
      <c r="AAM60" s="18"/>
      <c r="AAN60" s="18"/>
      <c r="AAO60" s="18"/>
      <c r="AAP60" s="18"/>
      <c r="AAQ60" s="18"/>
      <c r="AAR60" s="18"/>
      <c r="AAS60" s="18"/>
      <c r="AAT60" s="18"/>
      <c r="AAU60" s="18"/>
      <c r="AAV60" s="18"/>
      <c r="AAW60" s="18"/>
      <c r="AAX60" s="18"/>
      <c r="AAY60" s="18"/>
      <c r="AAZ60" s="18"/>
      <c r="ABA60" s="18"/>
      <c r="ABB60" s="18"/>
      <c r="ABC60" s="18"/>
      <c r="ABD60" s="18"/>
      <c r="ABE60" s="18"/>
      <c r="ABF60" s="18"/>
      <c r="ABG60" s="18"/>
      <c r="ABH60" s="18"/>
      <c r="ABI60" s="18"/>
      <c r="ABJ60" s="18"/>
      <c r="ABK60" s="18"/>
      <c r="ABL60" s="18"/>
      <c r="ABM60" s="18"/>
      <c r="ABN60" s="18"/>
      <c r="ABO60" s="18"/>
      <c r="ABP60" s="18"/>
      <c r="ABQ60" s="18"/>
      <c r="ABR60" s="18"/>
      <c r="ABS60" s="18"/>
      <c r="ABT60" s="18"/>
      <c r="ABU60" s="18"/>
      <c r="ABV60" s="18"/>
      <c r="ABW60" s="18"/>
      <c r="ABX60" s="18"/>
      <c r="ABY60" s="18"/>
      <c r="ABZ60" s="18"/>
      <c r="ACA60" s="18"/>
      <c r="ACB60" s="18"/>
      <c r="ACC60" s="18"/>
      <c r="ACD60" s="18"/>
      <c r="ACE60" s="18"/>
      <c r="ACF60" s="18"/>
      <c r="ACG60" s="18"/>
      <c r="ACH60" s="18"/>
      <c r="ACI60" s="18"/>
      <c r="ACJ60" s="18"/>
      <c r="ACK60" s="18"/>
      <c r="ACL60" s="18"/>
      <c r="ACM60" s="18"/>
      <c r="ACN60" s="18"/>
      <c r="ACO60" s="18"/>
      <c r="ACP60" s="18"/>
      <c r="ACQ60" s="18"/>
      <c r="ACR60" s="18"/>
      <c r="ACS60" s="18"/>
      <c r="ACT60" s="18"/>
      <c r="ACU60" s="18"/>
      <c r="ACV60" s="18"/>
      <c r="ACW60" s="18"/>
      <c r="ACX60" s="18"/>
      <c r="ACY60" s="18"/>
      <c r="ACZ60" s="18"/>
      <c r="ADA60" s="18"/>
      <c r="ADB60" s="18"/>
      <c r="ADC60" s="18"/>
      <c r="ADD60" s="18"/>
      <c r="ADE60" s="18"/>
      <c r="ADF60" s="18"/>
      <c r="ADG60" s="18"/>
      <c r="ADH60" s="18"/>
      <c r="ADI60" s="18"/>
      <c r="ADJ60" s="18"/>
      <c r="ADK60" s="18"/>
      <c r="ADL60" s="18"/>
      <c r="ADM60" s="18"/>
      <c r="ADN60" s="18"/>
      <c r="ADO60" s="18"/>
      <c r="ADP60" s="18"/>
      <c r="ADQ60" s="18"/>
      <c r="ADR60" s="18"/>
      <c r="ADS60" s="18"/>
      <c r="ADT60" s="18"/>
      <c r="ADU60" s="18"/>
      <c r="ADV60" s="18"/>
      <c r="ADW60" s="18"/>
      <c r="ADX60" s="18"/>
      <c r="ADY60" s="18"/>
      <c r="ADZ60" s="18"/>
      <c r="AEA60" s="18"/>
      <c r="AEB60" s="18"/>
      <c r="AEC60" s="18"/>
      <c r="AED60" s="18"/>
      <c r="AEE60" s="18"/>
      <c r="AEF60" s="18"/>
      <c r="AEG60" s="18"/>
      <c r="AEH60" s="18"/>
      <c r="AEI60" s="18"/>
      <c r="AEJ60" s="18"/>
      <c r="AEK60" s="18"/>
      <c r="AEL60" s="18"/>
      <c r="AEM60" s="18"/>
      <c r="AEN60" s="18"/>
      <c r="AEO60" s="18"/>
      <c r="AEP60" s="18"/>
      <c r="AEQ60" s="18"/>
      <c r="AER60" s="18"/>
      <c r="AES60" s="18"/>
      <c r="AET60" s="18"/>
      <c r="AEU60" s="18"/>
      <c r="AEV60" s="18"/>
      <c r="AEW60" s="18"/>
      <c r="AEX60" s="18"/>
      <c r="AEY60" s="18"/>
      <c r="AEZ60" s="18"/>
      <c r="AFA60" s="18"/>
      <c r="AFB60" s="18"/>
      <c r="AFC60" s="18"/>
      <c r="AFD60" s="18"/>
      <c r="AFE60" s="18"/>
      <c r="AFF60" s="18"/>
      <c r="AFG60" s="18"/>
      <c r="AFH60" s="18"/>
      <c r="AFI60" s="18"/>
      <c r="AFJ60" s="18"/>
      <c r="AFK60" s="18"/>
      <c r="AFL60" s="18"/>
      <c r="AFM60" s="18"/>
      <c r="AFN60" s="18"/>
      <c r="AFO60" s="18"/>
      <c r="AFP60" s="18"/>
      <c r="AFQ60" s="18"/>
      <c r="AFR60" s="18"/>
      <c r="AFS60" s="18"/>
      <c r="AFT60" s="18"/>
      <c r="AFU60" s="18"/>
      <c r="AFV60" s="18"/>
      <c r="AFW60" s="18"/>
      <c r="AFX60" s="18"/>
      <c r="AFY60" s="18"/>
      <c r="AFZ60" s="18"/>
      <c r="AGA60" s="18"/>
      <c r="AGB60" s="18"/>
      <c r="AGC60" s="18"/>
      <c r="AGD60" s="18"/>
      <c r="AGE60" s="18"/>
      <c r="AGF60" s="18"/>
      <c r="AGG60" s="18"/>
      <c r="AGH60" s="18"/>
      <c r="AGI60" s="18"/>
      <c r="AGJ60" s="18"/>
      <c r="AGK60" s="18"/>
      <c r="AGL60" s="18"/>
      <c r="AGM60" s="18"/>
      <c r="AGN60" s="18"/>
      <c r="AGO60" s="18"/>
      <c r="AGP60" s="18"/>
      <c r="AGQ60" s="18"/>
      <c r="AGR60" s="18"/>
      <c r="AGS60" s="18"/>
      <c r="AGT60" s="18"/>
      <c r="AGU60" s="18"/>
      <c r="AGV60" s="18"/>
      <c r="AGW60" s="18"/>
      <c r="AGX60" s="18"/>
      <c r="AGY60" s="18"/>
      <c r="AGZ60" s="18"/>
      <c r="AHA60" s="18"/>
      <c r="AHB60" s="18"/>
      <c r="AHC60" s="18"/>
      <c r="AHD60" s="18"/>
      <c r="AHE60" s="18"/>
      <c r="AHF60" s="18"/>
      <c r="AHG60" s="18"/>
      <c r="AHH60" s="18"/>
      <c r="AHI60" s="18"/>
      <c r="AHJ60" s="18"/>
      <c r="AHK60" s="18"/>
      <c r="AHL60" s="18"/>
      <c r="AHM60" s="18"/>
      <c r="AHN60" s="18"/>
      <c r="AHO60" s="18"/>
      <c r="AHP60" s="18"/>
      <c r="AHQ60" s="18"/>
      <c r="AHR60" s="18"/>
      <c r="AHS60" s="18"/>
      <c r="AHT60" s="18"/>
      <c r="AHU60" s="18"/>
      <c r="AHV60" s="18"/>
      <c r="AHW60" s="18"/>
      <c r="AHX60" s="18"/>
      <c r="AHY60" s="18"/>
      <c r="AHZ60" s="18"/>
      <c r="AIA60" s="18"/>
      <c r="AIB60" s="18"/>
      <c r="AIC60" s="18"/>
      <c r="AID60" s="18"/>
      <c r="AIE60" s="18"/>
      <c r="AIF60" s="18"/>
      <c r="AIG60" s="18"/>
      <c r="AIH60" s="18"/>
      <c r="AII60" s="18"/>
      <c r="AIJ60" s="18"/>
      <c r="AIK60" s="18"/>
      <c r="AIL60" s="18"/>
      <c r="AIM60" s="18"/>
      <c r="AIN60" s="18"/>
      <c r="AIO60" s="18"/>
      <c r="AIP60" s="18"/>
      <c r="AIQ60" s="18"/>
      <c r="AIR60" s="18"/>
      <c r="AIS60" s="18"/>
      <c r="AIT60" s="18"/>
      <c r="AIU60" s="18"/>
      <c r="AIV60" s="18"/>
      <c r="AIW60" s="18"/>
      <c r="AIX60" s="18"/>
      <c r="AIY60" s="18"/>
      <c r="AIZ60" s="18"/>
      <c r="AJA60" s="18"/>
      <c r="AJB60" s="18"/>
      <c r="AJC60" s="18"/>
      <c r="AJD60" s="18"/>
      <c r="AJE60" s="18"/>
      <c r="AJF60" s="18"/>
      <c r="AJG60" s="18"/>
      <c r="AJH60" s="18"/>
      <c r="AJI60" s="18"/>
      <c r="AJJ60" s="18"/>
      <c r="AJK60" s="18"/>
      <c r="AJL60" s="18"/>
      <c r="AJM60" s="18"/>
      <c r="AJN60" s="18"/>
      <c r="AJO60" s="18"/>
      <c r="AJP60" s="18"/>
      <c r="AJQ60" s="18"/>
      <c r="AJR60" s="18"/>
      <c r="AJS60" s="18"/>
      <c r="AJT60" s="18"/>
      <c r="AJU60" s="18"/>
      <c r="AJV60" s="18"/>
      <c r="AJW60" s="18"/>
      <c r="AJX60" s="18"/>
      <c r="AJY60" s="18"/>
      <c r="AJZ60" s="18"/>
      <c r="AKA60" s="18"/>
      <c r="AKB60" s="18"/>
      <c r="AKC60" s="18"/>
      <c r="AKD60" s="18"/>
      <c r="AKE60" s="18"/>
      <c r="AKF60" s="18"/>
      <c r="AKG60" s="18"/>
      <c r="AKH60" s="18"/>
      <c r="AKI60" s="18"/>
      <c r="AKJ60" s="18"/>
      <c r="AKK60" s="18"/>
      <c r="AKL60" s="18"/>
      <c r="AKM60" s="18"/>
      <c r="AKN60" s="18"/>
      <c r="AKO60" s="18"/>
      <c r="AKP60" s="18"/>
      <c r="AKQ60" s="18"/>
      <c r="AKR60" s="18"/>
      <c r="AKS60" s="18"/>
      <c r="AKT60" s="18"/>
      <c r="AKU60" s="18"/>
      <c r="AKV60" s="18"/>
      <c r="AKW60" s="18"/>
      <c r="AKX60" s="18"/>
      <c r="AKY60" s="18"/>
      <c r="AKZ60" s="18"/>
      <c r="ALA60" s="18"/>
      <c r="ALB60" s="18"/>
      <c r="ALC60" s="18"/>
      <c r="ALD60" s="18"/>
      <c r="ALE60" s="18"/>
      <c r="ALF60" s="18"/>
      <c r="ALG60" s="18"/>
      <c r="ALH60" s="18"/>
      <c r="ALI60" s="18"/>
      <c r="ALJ60" s="18"/>
      <c r="ALK60" s="18"/>
      <c r="ALL60" s="18"/>
      <c r="ALM60" s="18"/>
      <c r="ALN60" s="18"/>
      <c r="ALO60" s="18"/>
      <c r="ALP60" s="18"/>
      <c r="ALQ60" s="18"/>
      <c r="ALR60" s="18"/>
      <c r="ALS60" s="18"/>
      <c r="ALT60" s="18"/>
      <c r="ALU60" s="18"/>
      <c r="ALV60" s="18"/>
      <c r="ALW60" s="18"/>
      <c r="ALX60" s="18"/>
      <c r="ALY60" s="18"/>
      <c r="ALZ60" s="18"/>
      <c r="AMA60" s="18"/>
      <c r="AMB60" s="18"/>
      <c r="AMC60" s="18"/>
      <c r="AMD60" s="18"/>
      <c r="AME60" s="18"/>
      <c r="AMF60" s="18"/>
      <c r="AMG60" s="18"/>
      <c r="AMH60" s="18"/>
    </row>
    <row r="61" spans="1:1022" s="23" customFormat="1" x14ac:dyDescent="0.3">
      <c r="A61" s="33">
        <v>157</v>
      </c>
      <c r="B61" s="19"/>
      <c r="C61" s="19"/>
      <c r="D61" s="57" t="s">
        <v>332</v>
      </c>
      <c r="E61" s="34" t="s">
        <v>483</v>
      </c>
      <c r="F61" s="39"/>
      <c r="G61" s="39"/>
      <c r="H61" s="38" t="s">
        <v>281</v>
      </c>
      <c r="I61" s="31"/>
      <c r="J61" s="40"/>
      <c r="K61" s="31"/>
      <c r="L61" s="40"/>
      <c r="M61" s="41"/>
      <c r="N61" s="32"/>
      <c r="O61" s="18"/>
      <c r="P61" s="36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  <c r="CO61" s="18"/>
      <c r="CP61" s="18"/>
      <c r="CQ61" s="18"/>
      <c r="CR61" s="18"/>
      <c r="CS61" s="18"/>
      <c r="CT61" s="18"/>
      <c r="CU61" s="18"/>
      <c r="CV61" s="18"/>
      <c r="CW61" s="18"/>
      <c r="CX61" s="18"/>
      <c r="CY61" s="18"/>
      <c r="CZ61" s="18"/>
      <c r="DA61" s="18"/>
      <c r="DB61" s="18"/>
      <c r="DC61" s="18"/>
      <c r="DD61" s="18"/>
      <c r="DE61" s="18"/>
      <c r="DF61" s="18"/>
      <c r="DG61" s="18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8"/>
      <c r="EF61" s="18"/>
      <c r="EG61" s="18"/>
      <c r="EH61" s="18"/>
      <c r="EI61" s="18"/>
      <c r="EJ61" s="18"/>
      <c r="EK61" s="18"/>
      <c r="EL61" s="18"/>
      <c r="EM61" s="18"/>
      <c r="EN61" s="18"/>
      <c r="EO61" s="18"/>
      <c r="EP61" s="18"/>
      <c r="EQ61" s="18"/>
      <c r="ER61" s="18"/>
      <c r="ES61" s="18"/>
      <c r="ET61" s="18"/>
      <c r="EU61" s="18"/>
      <c r="EV61" s="18"/>
      <c r="EW61" s="18"/>
      <c r="EX61" s="18"/>
      <c r="EY61" s="18"/>
      <c r="EZ61" s="18"/>
      <c r="FA61" s="18"/>
      <c r="FB61" s="18"/>
      <c r="FC61" s="18"/>
      <c r="FD61" s="18"/>
      <c r="FE61" s="18"/>
      <c r="FF61" s="18"/>
      <c r="FG61" s="18"/>
      <c r="FH61" s="18"/>
      <c r="FI61" s="18"/>
      <c r="FJ61" s="18"/>
      <c r="FK61" s="18"/>
      <c r="FL61" s="18"/>
      <c r="FM61" s="18"/>
      <c r="FN61" s="18"/>
      <c r="FO61" s="18"/>
      <c r="FP61" s="18"/>
      <c r="FQ61" s="18"/>
      <c r="FR61" s="18"/>
      <c r="FS61" s="18"/>
      <c r="FT61" s="18"/>
      <c r="FU61" s="18"/>
      <c r="FV61" s="18"/>
      <c r="FW61" s="18"/>
      <c r="FX61" s="18"/>
      <c r="FY61" s="18"/>
      <c r="FZ61" s="18"/>
      <c r="GA61" s="18"/>
      <c r="GB61" s="18"/>
      <c r="GC61" s="18"/>
      <c r="GD61" s="18"/>
      <c r="GE61" s="18"/>
      <c r="GF61" s="18"/>
      <c r="GG61" s="18"/>
      <c r="GH61" s="18"/>
      <c r="GI61" s="18"/>
      <c r="GJ61" s="18"/>
      <c r="GK61" s="18"/>
      <c r="GL61" s="18"/>
      <c r="GM61" s="18"/>
      <c r="GN61" s="18"/>
      <c r="GO61" s="18"/>
      <c r="GP61" s="18"/>
      <c r="GQ61" s="18"/>
      <c r="GR61" s="18"/>
      <c r="GS61" s="18"/>
      <c r="GT61" s="18"/>
      <c r="GU61" s="18"/>
      <c r="GV61" s="18"/>
      <c r="GW61" s="18"/>
      <c r="GX61" s="18"/>
      <c r="GY61" s="18"/>
      <c r="GZ61" s="18"/>
      <c r="HA61" s="18"/>
      <c r="HB61" s="18"/>
      <c r="HC61" s="18"/>
      <c r="HD61" s="18"/>
      <c r="HE61" s="18"/>
      <c r="HF61" s="18"/>
      <c r="HG61" s="18"/>
      <c r="HH61" s="18"/>
      <c r="HI61" s="18"/>
      <c r="HJ61" s="18"/>
      <c r="HK61" s="18"/>
      <c r="HL61" s="18"/>
      <c r="HM61" s="18"/>
      <c r="HN61" s="18"/>
      <c r="HO61" s="18"/>
      <c r="HP61" s="18"/>
      <c r="HQ61" s="18"/>
      <c r="HR61" s="18"/>
      <c r="HS61" s="18"/>
      <c r="HT61" s="18"/>
      <c r="HU61" s="18"/>
      <c r="HV61" s="18"/>
      <c r="HW61" s="18"/>
      <c r="HX61" s="18"/>
      <c r="HY61" s="18"/>
      <c r="HZ61" s="18"/>
      <c r="IA61" s="18"/>
      <c r="IB61" s="18"/>
      <c r="IC61" s="18"/>
      <c r="ID61" s="18"/>
      <c r="IE61" s="18"/>
      <c r="IF61" s="18"/>
      <c r="IG61" s="18"/>
      <c r="IH61" s="18"/>
      <c r="II61" s="18"/>
      <c r="IJ61" s="18"/>
      <c r="IK61" s="18"/>
      <c r="IL61" s="18"/>
      <c r="IM61" s="18"/>
      <c r="IN61" s="18"/>
      <c r="IO61" s="18"/>
      <c r="IP61" s="18"/>
      <c r="IQ61" s="18"/>
      <c r="IR61" s="18"/>
      <c r="IS61" s="18"/>
      <c r="IT61" s="18"/>
      <c r="IU61" s="18"/>
      <c r="IV61" s="18"/>
      <c r="IW61" s="18"/>
      <c r="IX61" s="18"/>
      <c r="IY61" s="18"/>
      <c r="IZ61" s="18"/>
      <c r="JA61" s="18"/>
      <c r="JB61" s="18"/>
      <c r="JC61" s="18"/>
      <c r="JD61" s="18"/>
      <c r="JE61" s="18"/>
      <c r="JF61" s="18"/>
      <c r="JG61" s="18"/>
      <c r="JH61" s="18"/>
      <c r="JI61" s="18"/>
      <c r="JJ61" s="18"/>
      <c r="JK61" s="18"/>
      <c r="JL61" s="18"/>
      <c r="JM61" s="18"/>
      <c r="JN61" s="18"/>
      <c r="JO61" s="18"/>
      <c r="JP61" s="18"/>
      <c r="JQ61" s="18"/>
      <c r="JR61" s="18"/>
      <c r="JS61" s="18"/>
      <c r="JT61" s="18"/>
      <c r="JU61" s="18"/>
      <c r="JV61" s="18"/>
      <c r="JW61" s="18"/>
      <c r="JX61" s="18"/>
      <c r="JY61" s="18"/>
      <c r="JZ61" s="18"/>
      <c r="KA61" s="18"/>
      <c r="KB61" s="18"/>
      <c r="KC61" s="18"/>
      <c r="KD61" s="18"/>
      <c r="KE61" s="18"/>
      <c r="KF61" s="18"/>
      <c r="KG61" s="18"/>
      <c r="KH61" s="18"/>
      <c r="KI61" s="18"/>
      <c r="KJ61" s="18"/>
      <c r="KK61" s="18"/>
      <c r="KL61" s="18"/>
      <c r="KM61" s="18"/>
      <c r="KN61" s="18"/>
      <c r="KO61" s="18"/>
      <c r="KP61" s="18"/>
      <c r="KQ61" s="18"/>
      <c r="KR61" s="18"/>
      <c r="KS61" s="18"/>
      <c r="KT61" s="18"/>
      <c r="KU61" s="18"/>
      <c r="KV61" s="18"/>
      <c r="KW61" s="18"/>
      <c r="KX61" s="18"/>
      <c r="KY61" s="18"/>
      <c r="KZ61" s="18"/>
      <c r="LA61" s="18"/>
      <c r="LB61" s="18"/>
      <c r="LC61" s="18"/>
      <c r="LD61" s="18"/>
      <c r="LE61" s="18"/>
      <c r="LF61" s="18"/>
      <c r="LG61" s="18"/>
      <c r="LH61" s="18"/>
      <c r="LI61" s="18"/>
      <c r="LJ61" s="18"/>
      <c r="LK61" s="18"/>
      <c r="LL61" s="18"/>
      <c r="LM61" s="18"/>
      <c r="LN61" s="18"/>
      <c r="LO61" s="18"/>
      <c r="LP61" s="18"/>
      <c r="LQ61" s="18"/>
      <c r="LR61" s="18"/>
      <c r="LS61" s="18"/>
      <c r="LT61" s="18"/>
      <c r="LU61" s="18"/>
      <c r="LV61" s="18"/>
      <c r="LW61" s="18"/>
      <c r="LX61" s="18"/>
      <c r="LY61" s="18"/>
      <c r="LZ61" s="18"/>
      <c r="MA61" s="18"/>
      <c r="MB61" s="18"/>
      <c r="MC61" s="18"/>
      <c r="MD61" s="18"/>
      <c r="ME61" s="18"/>
      <c r="MF61" s="18"/>
      <c r="MG61" s="18"/>
      <c r="MH61" s="18"/>
      <c r="MI61" s="18"/>
      <c r="MJ61" s="18"/>
      <c r="MK61" s="18"/>
      <c r="ML61" s="18"/>
      <c r="MM61" s="18"/>
      <c r="MN61" s="18"/>
      <c r="MO61" s="18"/>
      <c r="MP61" s="18"/>
      <c r="MQ61" s="18"/>
      <c r="MR61" s="18"/>
      <c r="MS61" s="18"/>
      <c r="MT61" s="18"/>
      <c r="MU61" s="18"/>
      <c r="MV61" s="18"/>
      <c r="MW61" s="18"/>
      <c r="MX61" s="18"/>
      <c r="MY61" s="18"/>
      <c r="MZ61" s="18"/>
      <c r="NA61" s="18"/>
      <c r="NB61" s="18"/>
      <c r="NC61" s="18"/>
      <c r="ND61" s="18"/>
      <c r="NE61" s="18"/>
      <c r="NF61" s="18"/>
      <c r="NG61" s="18"/>
      <c r="NH61" s="18"/>
      <c r="NI61" s="18"/>
      <c r="NJ61" s="18"/>
      <c r="NK61" s="18"/>
      <c r="NL61" s="18"/>
      <c r="NM61" s="18"/>
      <c r="NN61" s="18"/>
      <c r="NO61" s="18"/>
      <c r="NP61" s="18"/>
      <c r="NQ61" s="18"/>
      <c r="NR61" s="18"/>
      <c r="NS61" s="18"/>
      <c r="NT61" s="18"/>
      <c r="NU61" s="18"/>
      <c r="NV61" s="18"/>
      <c r="NW61" s="18"/>
      <c r="NX61" s="18"/>
      <c r="NY61" s="18"/>
      <c r="NZ61" s="18"/>
      <c r="OA61" s="18"/>
      <c r="OB61" s="18"/>
      <c r="OC61" s="18"/>
      <c r="OD61" s="18"/>
      <c r="OE61" s="18"/>
      <c r="OF61" s="18"/>
      <c r="OG61" s="18"/>
      <c r="OH61" s="18"/>
      <c r="OI61" s="18"/>
      <c r="OJ61" s="18"/>
      <c r="OK61" s="18"/>
      <c r="OL61" s="18"/>
      <c r="OM61" s="18"/>
      <c r="ON61" s="18"/>
      <c r="OO61" s="18"/>
      <c r="OP61" s="18"/>
      <c r="OQ61" s="18"/>
      <c r="OR61" s="18"/>
      <c r="OS61" s="18"/>
      <c r="OT61" s="18"/>
      <c r="OU61" s="18"/>
      <c r="OV61" s="18"/>
      <c r="OW61" s="18"/>
      <c r="OX61" s="18"/>
      <c r="OY61" s="18"/>
      <c r="OZ61" s="18"/>
      <c r="PA61" s="18"/>
      <c r="PB61" s="18"/>
      <c r="PC61" s="18"/>
      <c r="PD61" s="18"/>
      <c r="PE61" s="18"/>
      <c r="PF61" s="18"/>
      <c r="PG61" s="18"/>
      <c r="PH61" s="18"/>
      <c r="PI61" s="18"/>
      <c r="PJ61" s="18"/>
      <c r="PK61" s="18"/>
      <c r="PL61" s="18"/>
      <c r="PM61" s="18"/>
      <c r="PN61" s="18"/>
      <c r="PO61" s="18"/>
      <c r="PP61" s="18"/>
      <c r="PQ61" s="18"/>
      <c r="PR61" s="18"/>
      <c r="PS61" s="18"/>
      <c r="PT61" s="18"/>
      <c r="PU61" s="18"/>
      <c r="PV61" s="18"/>
      <c r="PW61" s="18"/>
      <c r="PX61" s="18"/>
      <c r="PY61" s="18"/>
      <c r="PZ61" s="18"/>
      <c r="QA61" s="18"/>
      <c r="QB61" s="18"/>
      <c r="QC61" s="18"/>
      <c r="QD61" s="18"/>
      <c r="QE61" s="18"/>
      <c r="QF61" s="18"/>
      <c r="QG61" s="18"/>
      <c r="QH61" s="18"/>
      <c r="QI61" s="18"/>
      <c r="QJ61" s="18"/>
      <c r="QK61" s="18"/>
      <c r="QL61" s="18"/>
      <c r="QM61" s="18"/>
      <c r="QN61" s="18"/>
      <c r="QO61" s="18"/>
      <c r="QP61" s="18"/>
      <c r="QQ61" s="18"/>
      <c r="QR61" s="18"/>
      <c r="QS61" s="18"/>
      <c r="QT61" s="18"/>
      <c r="QU61" s="18"/>
      <c r="QV61" s="18"/>
      <c r="QW61" s="18"/>
      <c r="QX61" s="18"/>
      <c r="QY61" s="18"/>
      <c r="QZ61" s="18"/>
      <c r="RA61" s="18"/>
      <c r="RB61" s="18"/>
      <c r="RC61" s="18"/>
      <c r="RD61" s="18"/>
      <c r="RE61" s="18"/>
      <c r="RF61" s="18"/>
      <c r="RG61" s="18"/>
      <c r="RH61" s="18"/>
      <c r="RI61" s="18"/>
      <c r="RJ61" s="18"/>
      <c r="RK61" s="18"/>
      <c r="RL61" s="18"/>
      <c r="RM61" s="18"/>
      <c r="RN61" s="18"/>
      <c r="RO61" s="18"/>
      <c r="RP61" s="18"/>
      <c r="RQ61" s="18"/>
      <c r="RR61" s="18"/>
      <c r="RS61" s="18"/>
      <c r="RT61" s="18"/>
      <c r="RU61" s="18"/>
      <c r="RV61" s="18"/>
      <c r="RW61" s="18"/>
      <c r="RX61" s="18"/>
      <c r="RY61" s="18"/>
      <c r="RZ61" s="18"/>
      <c r="SA61" s="18"/>
      <c r="SB61" s="18"/>
      <c r="SC61" s="18"/>
      <c r="SD61" s="18"/>
      <c r="SE61" s="18"/>
      <c r="SF61" s="18"/>
      <c r="SG61" s="18"/>
      <c r="SH61" s="18"/>
      <c r="SI61" s="18"/>
      <c r="SJ61" s="18"/>
      <c r="SK61" s="18"/>
      <c r="SL61" s="18"/>
      <c r="SM61" s="18"/>
      <c r="SN61" s="18"/>
      <c r="SO61" s="18"/>
      <c r="SP61" s="18"/>
      <c r="SQ61" s="18"/>
      <c r="SR61" s="18"/>
      <c r="SS61" s="18"/>
      <c r="ST61" s="18"/>
      <c r="SU61" s="18"/>
      <c r="SV61" s="18"/>
      <c r="SW61" s="18"/>
      <c r="SX61" s="18"/>
      <c r="SY61" s="18"/>
      <c r="SZ61" s="18"/>
      <c r="TA61" s="18"/>
      <c r="TB61" s="18"/>
      <c r="TC61" s="18"/>
      <c r="TD61" s="18"/>
      <c r="TE61" s="18"/>
      <c r="TF61" s="18"/>
      <c r="TG61" s="18"/>
      <c r="TH61" s="18"/>
      <c r="TI61" s="18"/>
      <c r="TJ61" s="18"/>
      <c r="TK61" s="18"/>
      <c r="TL61" s="18"/>
      <c r="TM61" s="18"/>
      <c r="TN61" s="18"/>
      <c r="TO61" s="18"/>
      <c r="TP61" s="18"/>
      <c r="TQ61" s="18"/>
      <c r="TR61" s="18"/>
      <c r="TS61" s="18"/>
      <c r="TT61" s="18"/>
      <c r="TU61" s="18"/>
      <c r="TV61" s="18"/>
      <c r="TW61" s="18"/>
      <c r="TX61" s="18"/>
      <c r="TY61" s="18"/>
      <c r="TZ61" s="18"/>
      <c r="UA61" s="18"/>
      <c r="UB61" s="18"/>
      <c r="UC61" s="18"/>
      <c r="UD61" s="18"/>
      <c r="UE61" s="18"/>
      <c r="UF61" s="18"/>
      <c r="UG61" s="18"/>
      <c r="UH61" s="18"/>
      <c r="UI61" s="18"/>
      <c r="UJ61" s="18"/>
      <c r="UK61" s="18"/>
      <c r="UL61" s="18"/>
      <c r="UM61" s="18"/>
      <c r="UN61" s="18"/>
      <c r="UO61" s="18"/>
      <c r="UP61" s="18"/>
      <c r="UQ61" s="18"/>
      <c r="UR61" s="18"/>
      <c r="US61" s="18"/>
      <c r="UT61" s="18"/>
      <c r="UU61" s="18"/>
      <c r="UV61" s="18"/>
      <c r="UW61" s="18"/>
      <c r="UX61" s="18"/>
      <c r="UY61" s="18"/>
      <c r="UZ61" s="18"/>
      <c r="VA61" s="18"/>
      <c r="VB61" s="18"/>
      <c r="VC61" s="18"/>
      <c r="VD61" s="18"/>
      <c r="VE61" s="18"/>
      <c r="VF61" s="18"/>
      <c r="VG61" s="18"/>
      <c r="VH61" s="18"/>
      <c r="VI61" s="18"/>
      <c r="VJ61" s="18"/>
      <c r="VK61" s="18"/>
      <c r="VL61" s="18"/>
      <c r="VM61" s="18"/>
      <c r="VN61" s="18"/>
      <c r="VO61" s="18"/>
      <c r="VP61" s="18"/>
      <c r="VQ61" s="18"/>
      <c r="VR61" s="18"/>
      <c r="VS61" s="18"/>
      <c r="VT61" s="18"/>
      <c r="VU61" s="18"/>
      <c r="VV61" s="18"/>
      <c r="VW61" s="18"/>
      <c r="VX61" s="18"/>
      <c r="VY61" s="18"/>
      <c r="VZ61" s="18"/>
      <c r="WA61" s="18"/>
      <c r="WB61" s="18"/>
      <c r="WC61" s="18"/>
      <c r="WD61" s="18"/>
      <c r="WE61" s="18"/>
      <c r="WF61" s="18"/>
      <c r="WG61" s="18"/>
      <c r="WH61" s="18"/>
      <c r="WI61" s="18"/>
      <c r="WJ61" s="18"/>
      <c r="WK61" s="18"/>
      <c r="WL61" s="18"/>
      <c r="WM61" s="18"/>
      <c r="WN61" s="18"/>
      <c r="WO61" s="18"/>
      <c r="WP61" s="18"/>
      <c r="WQ61" s="18"/>
      <c r="WR61" s="18"/>
      <c r="WS61" s="18"/>
      <c r="WT61" s="18"/>
      <c r="WU61" s="18"/>
      <c r="WV61" s="18"/>
      <c r="WW61" s="18"/>
      <c r="WX61" s="18"/>
      <c r="WY61" s="18"/>
      <c r="WZ61" s="18"/>
      <c r="XA61" s="18"/>
      <c r="XB61" s="18"/>
      <c r="XC61" s="18"/>
      <c r="XD61" s="18"/>
      <c r="XE61" s="18"/>
      <c r="XF61" s="18"/>
      <c r="XG61" s="18"/>
      <c r="XH61" s="18"/>
      <c r="XI61" s="18"/>
      <c r="XJ61" s="18"/>
      <c r="XK61" s="18"/>
      <c r="XL61" s="18"/>
      <c r="XM61" s="18"/>
      <c r="XN61" s="18"/>
      <c r="XO61" s="18"/>
      <c r="XP61" s="18"/>
      <c r="XQ61" s="18"/>
      <c r="XR61" s="18"/>
      <c r="XS61" s="18"/>
      <c r="XT61" s="18"/>
      <c r="XU61" s="18"/>
      <c r="XV61" s="18"/>
      <c r="XW61" s="18"/>
      <c r="XX61" s="18"/>
      <c r="XY61" s="18"/>
      <c r="XZ61" s="18"/>
      <c r="YA61" s="18"/>
      <c r="YB61" s="18"/>
      <c r="YC61" s="18"/>
      <c r="YD61" s="18"/>
      <c r="YE61" s="18"/>
      <c r="YF61" s="18"/>
      <c r="YG61" s="18"/>
      <c r="YH61" s="18"/>
      <c r="YI61" s="18"/>
      <c r="YJ61" s="18"/>
      <c r="YK61" s="18"/>
      <c r="YL61" s="18"/>
      <c r="YM61" s="18"/>
      <c r="YN61" s="18"/>
      <c r="YO61" s="18"/>
      <c r="YP61" s="18"/>
      <c r="YQ61" s="18"/>
      <c r="YR61" s="18"/>
      <c r="YS61" s="18"/>
      <c r="YT61" s="18"/>
      <c r="YU61" s="18"/>
      <c r="YV61" s="18"/>
      <c r="YW61" s="18"/>
      <c r="YX61" s="18"/>
      <c r="YY61" s="18"/>
      <c r="YZ61" s="18"/>
      <c r="ZA61" s="18"/>
      <c r="ZB61" s="18"/>
      <c r="ZC61" s="18"/>
      <c r="ZD61" s="18"/>
      <c r="ZE61" s="18"/>
      <c r="ZF61" s="18"/>
      <c r="ZG61" s="18"/>
      <c r="ZH61" s="18"/>
      <c r="ZI61" s="18"/>
      <c r="ZJ61" s="18"/>
      <c r="ZK61" s="18"/>
      <c r="ZL61" s="18"/>
      <c r="ZM61" s="18"/>
      <c r="ZN61" s="18"/>
      <c r="ZO61" s="18"/>
      <c r="ZP61" s="18"/>
      <c r="ZQ61" s="18"/>
      <c r="ZR61" s="18"/>
      <c r="ZS61" s="18"/>
      <c r="ZT61" s="18"/>
      <c r="ZU61" s="18"/>
      <c r="ZV61" s="18"/>
      <c r="ZW61" s="18"/>
      <c r="ZX61" s="18"/>
      <c r="ZY61" s="18"/>
      <c r="ZZ61" s="18"/>
      <c r="AAA61" s="18"/>
      <c r="AAB61" s="18"/>
      <c r="AAC61" s="18"/>
      <c r="AAD61" s="18"/>
      <c r="AAE61" s="18"/>
      <c r="AAF61" s="18"/>
      <c r="AAG61" s="18"/>
      <c r="AAH61" s="18"/>
      <c r="AAI61" s="18"/>
      <c r="AAJ61" s="18"/>
      <c r="AAK61" s="18"/>
      <c r="AAL61" s="18"/>
      <c r="AAM61" s="18"/>
      <c r="AAN61" s="18"/>
      <c r="AAO61" s="18"/>
      <c r="AAP61" s="18"/>
      <c r="AAQ61" s="18"/>
      <c r="AAR61" s="18"/>
      <c r="AAS61" s="18"/>
      <c r="AAT61" s="18"/>
      <c r="AAU61" s="18"/>
      <c r="AAV61" s="18"/>
      <c r="AAW61" s="18"/>
      <c r="AAX61" s="18"/>
      <c r="AAY61" s="18"/>
      <c r="AAZ61" s="18"/>
      <c r="ABA61" s="18"/>
      <c r="ABB61" s="18"/>
      <c r="ABC61" s="18"/>
      <c r="ABD61" s="18"/>
      <c r="ABE61" s="18"/>
      <c r="ABF61" s="18"/>
      <c r="ABG61" s="18"/>
      <c r="ABH61" s="18"/>
      <c r="ABI61" s="18"/>
      <c r="ABJ61" s="18"/>
      <c r="ABK61" s="18"/>
      <c r="ABL61" s="18"/>
      <c r="ABM61" s="18"/>
      <c r="ABN61" s="18"/>
      <c r="ABO61" s="18"/>
      <c r="ABP61" s="18"/>
      <c r="ABQ61" s="18"/>
      <c r="ABR61" s="18"/>
      <c r="ABS61" s="18"/>
      <c r="ABT61" s="18"/>
      <c r="ABU61" s="18"/>
      <c r="ABV61" s="18"/>
      <c r="ABW61" s="18"/>
      <c r="ABX61" s="18"/>
      <c r="ABY61" s="18"/>
      <c r="ABZ61" s="18"/>
      <c r="ACA61" s="18"/>
      <c r="ACB61" s="18"/>
      <c r="ACC61" s="18"/>
      <c r="ACD61" s="18"/>
      <c r="ACE61" s="18"/>
      <c r="ACF61" s="18"/>
      <c r="ACG61" s="18"/>
      <c r="ACH61" s="18"/>
      <c r="ACI61" s="18"/>
      <c r="ACJ61" s="18"/>
      <c r="ACK61" s="18"/>
      <c r="ACL61" s="18"/>
      <c r="ACM61" s="18"/>
      <c r="ACN61" s="18"/>
      <c r="ACO61" s="18"/>
      <c r="ACP61" s="18"/>
      <c r="ACQ61" s="18"/>
      <c r="ACR61" s="18"/>
      <c r="ACS61" s="18"/>
      <c r="ACT61" s="18"/>
      <c r="ACU61" s="18"/>
      <c r="ACV61" s="18"/>
      <c r="ACW61" s="18"/>
      <c r="ACX61" s="18"/>
      <c r="ACY61" s="18"/>
      <c r="ACZ61" s="18"/>
      <c r="ADA61" s="18"/>
      <c r="ADB61" s="18"/>
      <c r="ADC61" s="18"/>
      <c r="ADD61" s="18"/>
      <c r="ADE61" s="18"/>
      <c r="ADF61" s="18"/>
      <c r="ADG61" s="18"/>
      <c r="ADH61" s="18"/>
      <c r="ADI61" s="18"/>
      <c r="ADJ61" s="18"/>
      <c r="ADK61" s="18"/>
      <c r="ADL61" s="18"/>
      <c r="ADM61" s="18"/>
      <c r="ADN61" s="18"/>
      <c r="ADO61" s="18"/>
      <c r="ADP61" s="18"/>
      <c r="ADQ61" s="18"/>
      <c r="ADR61" s="18"/>
      <c r="ADS61" s="18"/>
      <c r="ADT61" s="18"/>
      <c r="ADU61" s="18"/>
      <c r="ADV61" s="18"/>
      <c r="ADW61" s="18"/>
      <c r="ADX61" s="18"/>
      <c r="ADY61" s="18"/>
      <c r="ADZ61" s="18"/>
      <c r="AEA61" s="18"/>
      <c r="AEB61" s="18"/>
      <c r="AEC61" s="18"/>
      <c r="AED61" s="18"/>
      <c r="AEE61" s="18"/>
      <c r="AEF61" s="18"/>
      <c r="AEG61" s="18"/>
      <c r="AEH61" s="18"/>
      <c r="AEI61" s="18"/>
      <c r="AEJ61" s="18"/>
      <c r="AEK61" s="18"/>
      <c r="AEL61" s="18"/>
      <c r="AEM61" s="18"/>
      <c r="AEN61" s="18"/>
      <c r="AEO61" s="18"/>
      <c r="AEP61" s="18"/>
      <c r="AEQ61" s="18"/>
      <c r="AER61" s="18"/>
      <c r="AES61" s="18"/>
      <c r="AET61" s="18"/>
      <c r="AEU61" s="18"/>
      <c r="AEV61" s="18"/>
      <c r="AEW61" s="18"/>
      <c r="AEX61" s="18"/>
      <c r="AEY61" s="18"/>
      <c r="AEZ61" s="18"/>
      <c r="AFA61" s="18"/>
      <c r="AFB61" s="18"/>
      <c r="AFC61" s="18"/>
      <c r="AFD61" s="18"/>
      <c r="AFE61" s="18"/>
      <c r="AFF61" s="18"/>
      <c r="AFG61" s="18"/>
      <c r="AFH61" s="18"/>
      <c r="AFI61" s="18"/>
      <c r="AFJ61" s="18"/>
      <c r="AFK61" s="18"/>
      <c r="AFL61" s="18"/>
      <c r="AFM61" s="18"/>
      <c r="AFN61" s="18"/>
      <c r="AFO61" s="18"/>
      <c r="AFP61" s="18"/>
      <c r="AFQ61" s="18"/>
      <c r="AFR61" s="18"/>
      <c r="AFS61" s="18"/>
      <c r="AFT61" s="18"/>
      <c r="AFU61" s="18"/>
      <c r="AFV61" s="18"/>
      <c r="AFW61" s="18"/>
      <c r="AFX61" s="18"/>
      <c r="AFY61" s="18"/>
      <c r="AFZ61" s="18"/>
      <c r="AGA61" s="18"/>
      <c r="AGB61" s="18"/>
      <c r="AGC61" s="18"/>
      <c r="AGD61" s="18"/>
      <c r="AGE61" s="18"/>
      <c r="AGF61" s="18"/>
      <c r="AGG61" s="18"/>
      <c r="AGH61" s="18"/>
      <c r="AGI61" s="18"/>
      <c r="AGJ61" s="18"/>
      <c r="AGK61" s="18"/>
      <c r="AGL61" s="18"/>
      <c r="AGM61" s="18"/>
      <c r="AGN61" s="18"/>
      <c r="AGO61" s="18"/>
      <c r="AGP61" s="18"/>
      <c r="AGQ61" s="18"/>
      <c r="AGR61" s="18"/>
      <c r="AGS61" s="18"/>
      <c r="AGT61" s="18"/>
      <c r="AGU61" s="18"/>
      <c r="AGV61" s="18"/>
      <c r="AGW61" s="18"/>
      <c r="AGX61" s="18"/>
      <c r="AGY61" s="18"/>
      <c r="AGZ61" s="18"/>
      <c r="AHA61" s="18"/>
      <c r="AHB61" s="18"/>
      <c r="AHC61" s="18"/>
      <c r="AHD61" s="18"/>
      <c r="AHE61" s="18"/>
      <c r="AHF61" s="18"/>
      <c r="AHG61" s="18"/>
      <c r="AHH61" s="18"/>
      <c r="AHI61" s="18"/>
      <c r="AHJ61" s="18"/>
      <c r="AHK61" s="18"/>
      <c r="AHL61" s="18"/>
      <c r="AHM61" s="18"/>
      <c r="AHN61" s="18"/>
      <c r="AHO61" s="18"/>
      <c r="AHP61" s="18"/>
      <c r="AHQ61" s="18"/>
      <c r="AHR61" s="18"/>
      <c r="AHS61" s="18"/>
      <c r="AHT61" s="18"/>
      <c r="AHU61" s="18"/>
      <c r="AHV61" s="18"/>
      <c r="AHW61" s="18"/>
      <c r="AHX61" s="18"/>
      <c r="AHY61" s="18"/>
      <c r="AHZ61" s="18"/>
      <c r="AIA61" s="18"/>
      <c r="AIB61" s="18"/>
      <c r="AIC61" s="18"/>
      <c r="AID61" s="18"/>
      <c r="AIE61" s="18"/>
      <c r="AIF61" s="18"/>
      <c r="AIG61" s="18"/>
      <c r="AIH61" s="18"/>
      <c r="AII61" s="18"/>
      <c r="AIJ61" s="18"/>
      <c r="AIK61" s="18"/>
      <c r="AIL61" s="18"/>
      <c r="AIM61" s="18"/>
      <c r="AIN61" s="18"/>
      <c r="AIO61" s="18"/>
      <c r="AIP61" s="18"/>
      <c r="AIQ61" s="18"/>
      <c r="AIR61" s="18"/>
      <c r="AIS61" s="18"/>
      <c r="AIT61" s="18"/>
      <c r="AIU61" s="18"/>
      <c r="AIV61" s="18"/>
      <c r="AIW61" s="18"/>
      <c r="AIX61" s="18"/>
      <c r="AIY61" s="18"/>
      <c r="AIZ61" s="18"/>
      <c r="AJA61" s="18"/>
      <c r="AJB61" s="18"/>
      <c r="AJC61" s="18"/>
      <c r="AJD61" s="18"/>
      <c r="AJE61" s="18"/>
      <c r="AJF61" s="18"/>
      <c r="AJG61" s="18"/>
      <c r="AJH61" s="18"/>
      <c r="AJI61" s="18"/>
      <c r="AJJ61" s="18"/>
      <c r="AJK61" s="18"/>
      <c r="AJL61" s="18"/>
      <c r="AJM61" s="18"/>
      <c r="AJN61" s="18"/>
      <c r="AJO61" s="18"/>
      <c r="AJP61" s="18"/>
      <c r="AJQ61" s="18"/>
      <c r="AJR61" s="18"/>
      <c r="AJS61" s="18"/>
      <c r="AJT61" s="18"/>
      <c r="AJU61" s="18"/>
      <c r="AJV61" s="18"/>
      <c r="AJW61" s="18"/>
      <c r="AJX61" s="18"/>
      <c r="AJY61" s="18"/>
      <c r="AJZ61" s="18"/>
      <c r="AKA61" s="18"/>
      <c r="AKB61" s="18"/>
      <c r="AKC61" s="18"/>
      <c r="AKD61" s="18"/>
      <c r="AKE61" s="18"/>
      <c r="AKF61" s="18"/>
      <c r="AKG61" s="18"/>
      <c r="AKH61" s="18"/>
      <c r="AKI61" s="18"/>
      <c r="AKJ61" s="18"/>
      <c r="AKK61" s="18"/>
      <c r="AKL61" s="18"/>
      <c r="AKM61" s="18"/>
      <c r="AKN61" s="18"/>
      <c r="AKO61" s="18"/>
      <c r="AKP61" s="18"/>
      <c r="AKQ61" s="18"/>
      <c r="AKR61" s="18"/>
      <c r="AKS61" s="18"/>
      <c r="AKT61" s="18"/>
      <c r="AKU61" s="18"/>
      <c r="AKV61" s="18"/>
      <c r="AKW61" s="18"/>
      <c r="AKX61" s="18"/>
      <c r="AKY61" s="18"/>
      <c r="AKZ61" s="18"/>
      <c r="ALA61" s="18"/>
      <c r="ALB61" s="18"/>
      <c r="ALC61" s="18"/>
      <c r="ALD61" s="18"/>
      <c r="ALE61" s="18"/>
      <c r="ALF61" s="18"/>
      <c r="ALG61" s="18"/>
      <c r="ALH61" s="18"/>
      <c r="ALI61" s="18"/>
      <c r="ALJ61" s="18"/>
      <c r="ALK61" s="18"/>
      <c r="ALL61" s="18"/>
      <c r="ALM61" s="18"/>
      <c r="ALN61" s="18"/>
      <c r="ALO61" s="18"/>
      <c r="ALP61" s="18"/>
      <c r="ALQ61" s="18"/>
      <c r="ALR61" s="18"/>
      <c r="ALS61" s="18"/>
      <c r="ALT61" s="18"/>
      <c r="ALU61" s="18"/>
      <c r="ALV61" s="18"/>
      <c r="ALW61" s="18"/>
      <c r="ALX61" s="18"/>
      <c r="ALY61" s="18"/>
      <c r="ALZ61" s="18"/>
      <c r="AMA61" s="18"/>
      <c r="AMB61" s="18"/>
      <c r="AMC61" s="18"/>
      <c r="AMD61" s="18"/>
      <c r="AME61" s="18"/>
      <c r="AMF61" s="18"/>
      <c r="AMG61" s="18"/>
      <c r="AMH61" s="18"/>
    </row>
    <row r="62" spans="1:1022" s="23" customFormat="1" x14ac:dyDescent="0.3">
      <c r="A62" s="33">
        <v>158</v>
      </c>
      <c r="B62" s="19"/>
      <c r="C62" s="19"/>
      <c r="D62" s="57" t="s">
        <v>289</v>
      </c>
      <c r="E62" s="34" t="s">
        <v>439</v>
      </c>
      <c r="F62" s="39"/>
      <c r="G62" s="39"/>
      <c r="H62" s="38" t="s">
        <v>281</v>
      </c>
      <c r="I62" s="31"/>
      <c r="J62" s="40"/>
      <c r="K62" s="31"/>
      <c r="L62" s="40"/>
      <c r="M62" s="41"/>
      <c r="N62" s="32"/>
      <c r="O62" s="18"/>
      <c r="P62" s="36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/>
      <c r="CK62" s="18"/>
      <c r="CL62" s="18"/>
      <c r="CM62" s="18"/>
      <c r="CN62" s="18"/>
      <c r="CO62" s="18"/>
      <c r="CP62" s="18"/>
      <c r="CQ62" s="18"/>
      <c r="CR62" s="18"/>
      <c r="CS62" s="18"/>
      <c r="CT62" s="18"/>
      <c r="CU62" s="18"/>
      <c r="CV62" s="18"/>
      <c r="CW62" s="18"/>
      <c r="CX62" s="18"/>
      <c r="CY62" s="18"/>
      <c r="CZ62" s="18"/>
      <c r="DA62" s="18"/>
      <c r="DB62" s="18"/>
      <c r="DC62" s="18"/>
      <c r="DD62" s="18"/>
      <c r="DE62" s="18"/>
      <c r="DF62" s="18"/>
      <c r="DG62" s="18"/>
      <c r="DH62" s="18"/>
      <c r="DI62" s="18"/>
      <c r="DJ62" s="18"/>
      <c r="DK62" s="18"/>
      <c r="DL62" s="18"/>
      <c r="DM62" s="18"/>
      <c r="DN62" s="18"/>
      <c r="DO62" s="18"/>
      <c r="DP62" s="18"/>
      <c r="DQ62" s="18"/>
      <c r="DR62" s="18"/>
      <c r="DS62" s="18"/>
      <c r="DT62" s="18"/>
      <c r="DU62" s="18"/>
      <c r="DV62" s="18"/>
      <c r="DW62" s="18"/>
      <c r="DX62" s="18"/>
      <c r="DY62" s="18"/>
      <c r="DZ62" s="18"/>
      <c r="EA62" s="18"/>
      <c r="EB62" s="18"/>
      <c r="EC62" s="18"/>
      <c r="ED62" s="18"/>
      <c r="EE62" s="18"/>
      <c r="EF62" s="18"/>
      <c r="EG62" s="18"/>
      <c r="EH62" s="18"/>
      <c r="EI62" s="18"/>
      <c r="EJ62" s="18"/>
      <c r="EK62" s="18"/>
      <c r="EL62" s="18"/>
      <c r="EM62" s="18"/>
      <c r="EN62" s="18"/>
      <c r="EO62" s="18"/>
      <c r="EP62" s="18"/>
      <c r="EQ62" s="18"/>
      <c r="ER62" s="18"/>
      <c r="ES62" s="18"/>
      <c r="ET62" s="18"/>
      <c r="EU62" s="18"/>
      <c r="EV62" s="18"/>
      <c r="EW62" s="18"/>
      <c r="EX62" s="18"/>
      <c r="EY62" s="18"/>
      <c r="EZ62" s="18"/>
      <c r="FA62" s="18"/>
      <c r="FB62" s="18"/>
      <c r="FC62" s="18"/>
      <c r="FD62" s="18"/>
      <c r="FE62" s="18"/>
      <c r="FF62" s="18"/>
      <c r="FG62" s="18"/>
      <c r="FH62" s="18"/>
      <c r="FI62" s="18"/>
      <c r="FJ62" s="18"/>
      <c r="FK62" s="18"/>
      <c r="FL62" s="18"/>
      <c r="FM62" s="18"/>
      <c r="FN62" s="18"/>
      <c r="FO62" s="18"/>
      <c r="FP62" s="18"/>
      <c r="FQ62" s="18"/>
      <c r="FR62" s="18"/>
      <c r="FS62" s="18"/>
      <c r="FT62" s="18"/>
      <c r="FU62" s="18"/>
      <c r="FV62" s="18"/>
      <c r="FW62" s="18"/>
      <c r="FX62" s="18"/>
      <c r="FY62" s="18"/>
      <c r="FZ62" s="18"/>
      <c r="GA62" s="18"/>
      <c r="GB62" s="18"/>
      <c r="GC62" s="18"/>
      <c r="GD62" s="18"/>
      <c r="GE62" s="18"/>
      <c r="GF62" s="18"/>
      <c r="GG62" s="18"/>
      <c r="GH62" s="18"/>
      <c r="GI62" s="18"/>
      <c r="GJ62" s="18"/>
      <c r="GK62" s="18"/>
      <c r="GL62" s="18"/>
      <c r="GM62" s="18"/>
      <c r="GN62" s="18"/>
      <c r="GO62" s="18"/>
      <c r="GP62" s="18"/>
      <c r="GQ62" s="18"/>
      <c r="GR62" s="18"/>
      <c r="GS62" s="18"/>
      <c r="GT62" s="18"/>
      <c r="GU62" s="18"/>
      <c r="GV62" s="18"/>
      <c r="GW62" s="18"/>
      <c r="GX62" s="18"/>
      <c r="GY62" s="18"/>
      <c r="GZ62" s="18"/>
      <c r="HA62" s="18"/>
      <c r="HB62" s="18"/>
      <c r="HC62" s="18"/>
      <c r="HD62" s="18"/>
      <c r="HE62" s="18"/>
      <c r="HF62" s="18"/>
      <c r="HG62" s="18"/>
      <c r="HH62" s="18"/>
      <c r="HI62" s="18"/>
      <c r="HJ62" s="18"/>
      <c r="HK62" s="18"/>
      <c r="HL62" s="18"/>
      <c r="HM62" s="18"/>
      <c r="HN62" s="18"/>
      <c r="HO62" s="18"/>
      <c r="HP62" s="18"/>
      <c r="HQ62" s="18"/>
      <c r="HR62" s="18"/>
      <c r="HS62" s="18"/>
      <c r="HT62" s="18"/>
      <c r="HU62" s="18"/>
      <c r="HV62" s="18"/>
      <c r="HW62" s="18"/>
      <c r="HX62" s="18"/>
      <c r="HY62" s="18"/>
      <c r="HZ62" s="18"/>
      <c r="IA62" s="18"/>
      <c r="IB62" s="18"/>
      <c r="IC62" s="18"/>
      <c r="ID62" s="18"/>
      <c r="IE62" s="18"/>
      <c r="IF62" s="18"/>
      <c r="IG62" s="18"/>
      <c r="IH62" s="18"/>
      <c r="II62" s="18"/>
      <c r="IJ62" s="18"/>
      <c r="IK62" s="18"/>
      <c r="IL62" s="18"/>
      <c r="IM62" s="18"/>
      <c r="IN62" s="18"/>
      <c r="IO62" s="18"/>
      <c r="IP62" s="18"/>
      <c r="IQ62" s="18"/>
      <c r="IR62" s="18"/>
      <c r="IS62" s="18"/>
      <c r="IT62" s="18"/>
      <c r="IU62" s="18"/>
      <c r="IV62" s="18"/>
      <c r="IW62" s="18"/>
      <c r="IX62" s="18"/>
      <c r="IY62" s="18"/>
      <c r="IZ62" s="18"/>
      <c r="JA62" s="18"/>
      <c r="JB62" s="18"/>
      <c r="JC62" s="18"/>
      <c r="JD62" s="18"/>
      <c r="JE62" s="18"/>
      <c r="JF62" s="18"/>
      <c r="JG62" s="18"/>
      <c r="JH62" s="18"/>
      <c r="JI62" s="18"/>
      <c r="JJ62" s="18"/>
      <c r="JK62" s="18"/>
      <c r="JL62" s="18"/>
      <c r="JM62" s="18"/>
      <c r="JN62" s="18"/>
      <c r="JO62" s="18"/>
      <c r="JP62" s="18"/>
      <c r="JQ62" s="18"/>
      <c r="JR62" s="18"/>
      <c r="JS62" s="18"/>
      <c r="JT62" s="18"/>
      <c r="JU62" s="18"/>
      <c r="JV62" s="18"/>
      <c r="JW62" s="18"/>
      <c r="JX62" s="18"/>
      <c r="JY62" s="18"/>
      <c r="JZ62" s="18"/>
      <c r="KA62" s="18"/>
      <c r="KB62" s="18"/>
      <c r="KC62" s="18"/>
      <c r="KD62" s="18"/>
      <c r="KE62" s="18"/>
      <c r="KF62" s="18"/>
      <c r="KG62" s="18"/>
      <c r="KH62" s="18"/>
      <c r="KI62" s="18"/>
      <c r="KJ62" s="18"/>
      <c r="KK62" s="18"/>
      <c r="KL62" s="18"/>
      <c r="KM62" s="18"/>
      <c r="KN62" s="18"/>
      <c r="KO62" s="18"/>
      <c r="KP62" s="18"/>
      <c r="KQ62" s="18"/>
      <c r="KR62" s="18"/>
      <c r="KS62" s="18"/>
      <c r="KT62" s="18"/>
      <c r="KU62" s="18"/>
      <c r="KV62" s="18"/>
      <c r="KW62" s="18"/>
      <c r="KX62" s="18"/>
      <c r="KY62" s="18"/>
      <c r="KZ62" s="18"/>
      <c r="LA62" s="18"/>
      <c r="LB62" s="18"/>
      <c r="LC62" s="18"/>
      <c r="LD62" s="18"/>
      <c r="LE62" s="18"/>
      <c r="LF62" s="18"/>
      <c r="LG62" s="18"/>
      <c r="LH62" s="18"/>
      <c r="LI62" s="18"/>
      <c r="LJ62" s="18"/>
      <c r="LK62" s="18"/>
      <c r="LL62" s="18"/>
      <c r="LM62" s="18"/>
      <c r="LN62" s="18"/>
      <c r="LO62" s="18"/>
      <c r="LP62" s="18"/>
      <c r="LQ62" s="18"/>
      <c r="LR62" s="18"/>
      <c r="LS62" s="18"/>
      <c r="LT62" s="18"/>
      <c r="LU62" s="18"/>
      <c r="LV62" s="18"/>
      <c r="LW62" s="18"/>
      <c r="LX62" s="18"/>
      <c r="LY62" s="18"/>
      <c r="LZ62" s="18"/>
      <c r="MA62" s="18"/>
      <c r="MB62" s="18"/>
      <c r="MC62" s="18"/>
      <c r="MD62" s="18"/>
      <c r="ME62" s="18"/>
      <c r="MF62" s="18"/>
      <c r="MG62" s="18"/>
      <c r="MH62" s="18"/>
      <c r="MI62" s="18"/>
      <c r="MJ62" s="18"/>
      <c r="MK62" s="18"/>
      <c r="ML62" s="18"/>
      <c r="MM62" s="18"/>
      <c r="MN62" s="18"/>
      <c r="MO62" s="18"/>
      <c r="MP62" s="18"/>
      <c r="MQ62" s="18"/>
      <c r="MR62" s="18"/>
      <c r="MS62" s="18"/>
      <c r="MT62" s="18"/>
      <c r="MU62" s="18"/>
      <c r="MV62" s="18"/>
      <c r="MW62" s="18"/>
      <c r="MX62" s="18"/>
      <c r="MY62" s="18"/>
      <c r="MZ62" s="18"/>
      <c r="NA62" s="18"/>
      <c r="NB62" s="18"/>
      <c r="NC62" s="18"/>
      <c r="ND62" s="18"/>
      <c r="NE62" s="18"/>
      <c r="NF62" s="18"/>
      <c r="NG62" s="18"/>
      <c r="NH62" s="18"/>
      <c r="NI62" s="18"/>
      <c r="NJ62" s="18"/>
      <c r="NK62" s="18"/>
      <c r="NL62" s="18"/>
      <c r="NM62" s="18"/>
      <c r="NN62" s="18"/>
      <c r="NO62" s="18"/>
      <c r="NP62" s="18"/>
      <c r="NQ62" s="18"/>
      <c r="NR62" s="18"/>
      <c r="NS62" s="18"/>
      <c r="NT62" s="18"/>
      <c r="NU62" s="18"/>
      <c r="NV62" s="18"/>
      <c r="NW62" s="18"/>
      <c r="NX62" s="18"/>
      <c r="NY62" s="18"/>
      <c r="NZ62" s="18"/>
      <c r="OA62" s="18"/>
      <c r="OB62" s="18"/>
      <c r="OC62" s="18"/>
      <c r="OD62" s="18"/>
      <c r="OE62" s="18"/>
      <c r="OF62" s="18"/>
      <c r="OG62" s="18"/>
      <c r="OH62" s="18"/>
      <c r="OI62" s="18"/>
      <c r="OJ62" s="18"/>
      <c r="OK62" s="18"/>
      <c r="OL62" s="18"/>
      <c r="OM62" s="18"/>
      <c r="ON62" s="18"/>
      <c r="OO62" s="18"/>
      <c r="OP62" s="18"/>
      <c r="OQ62" s="18"/>
      <c r="OR62" s="18"/>
      <c r="OS62" s="18"/>
      <c r="OT62" s="18"/>
      <c r="OU62" s="18"/>
      <c r="OV62" s="18"/>
      <c r="OW62" s="18"/>
      <c r="OX62" s="18"/>
      <c r="OY62" s="18"/>
      <c r="OZ62" s="18"/>
      <c r="PA62" s="18"/>
      <c r="PB62" s="18"/>
      <c r="PC62" s="18"/>
      <c r="PD62" s="18"/>
      <c r="PE62" s="18"/>
      <c r="PF62" s="18"/>
      <c r="PG62" s="18"/>
      <c r="PH62" s="18"/>
      <c r="PI62" s="18"/>
      <c r="PJ62" s="18"/>
      <c r="PK62" s="18"/>
      <c r="PL62" s="18"/>
      <c r="PM62" s="18"/>
      <c r="PN62" s="18"/>
      <c r="PO62" s="18"/>
      <c r="PP62" s="18"/>
      <c r="PQ62" s="18"/>
      <c r="PR62" s="18"/>
      <c r="PS62" s="18"/>
      <c r="PT62" s="18"/>
      <c r="PU62" s="18"/>
      <c r="PV62" s="18"/>
      <c r="PW62" s="18"/>
      <c r="PX62" s="18"/>
      <c r="PY62" s="18"/>
      <c r="PZ62" s="18"/>
      <c r="QA62" s="18"/>
      <c r="QB62" s="18"/>
      <c r="QC62" s="18"/>
      <c r="QD62" s="18"/>
      <c r="QE62" s="18"/>
      <c r="QF62" s="18"/>
      <c r="QG62" s="18"/>
      <c r="QH62" s="18"/>
      <c r="QI62" s="18"/>
      <c r="QJ62" s="18"/>
      <c r="QK62" s="18"/>
      <c r="QL62" s="18"/>
      <c r="QM62" s="18"/>
      <c r="QN62" s="18"/>
      <c r="QO62" s="18"/>
      <c r="QP62" s="18"/>
      <c r="QQ62" s="18"/>
      <c r="QR62" s="18"/>
      <c r="QS62" s="18"/>
      <c r="QT62" s="18"/>
      <c r="QU62" s="18"/>
      <c r="QV62" s="18"/>
      <c r="QW62" s="18"/>
      <c r="QX62" s="18"/>
      <c r="QY62" s="18"/>
      <c r="QZ62" s="18"/>
      <c r="RA62" s="18"/>
      <c r="RB62" s="18"/>
      <c r="RC62" s="18"/>
      <c r="RD62" s="18"/>
      <c r="RE62" s="18"/>
      <c r="RF62" s="18"/>
      <c r="RG62" s="18"/>
      <c r="RH62" s="18"/>
      <c r="RI62" s="18"/>
      <c r="RJ62" s="18"/>
      <c r="RK62" s="18"/>
      <c r="RL62" s="18"/>
      <c r="RM62" s="18"/>
      <c r="RN62" s="18"/>
      <c r="RO62" s="18"/>
      <c r="RP62" s="18"/>
      <c r="RQ62" s="18"/>
      <c r="RR62" s="18"/>
      <c r="RS62" s="18"/>
      <c r="RT62" s="18"/>
      <c r="RU62" s="18"/>
      <c r="RV62" s="18"/>
      <c r="RW62" s="18"/>
      <c r="RX62" s="18"/>
      <c r="RY62" s="18"/>
      <c r="RZ62" s="18"/>
      <c r="SA62" s="18"/>
      <c r="SB62" s="18"/>
      <c r="SC62" s="18"/>
      <c r="SD62" s="18"/>
      <c r="SE62" s="18"/>
      <c r="SF62" s="18"/>
      <c r="SG62" s="18"/>
      <c r="SH62" s="18"/>
      <c r="SI62" s="18"/>
      <c r="SJ62" s="18"/>
      <c r="SK62" s="18"/>
      <c r="SL62" s="18"/>
      <c r="SM62" s="18"/>
      <c r="SN62" s="18"/>
      <c r="SO62" s="18"/>
      <c r="SP62" s="18"/>
      <c r="SQ62" s="18"/>
      <c r="SR62" s="18"/>
      <c r="SS62" s="18"/>
      <c r="ST62" s="18"/>
      <c r="SU62" s="18"/>
      <c r="SV62" s="18"/>
      <c r="SW62" s="18"/>
      <c r="SX62" s="18"/>
      <c r="SY62" s="18"/>
      <c r="SZ62" s="18"/>
      <c r="TA62" s="18"/>
      <c r="TB62" s="18"/>
      <c r="TC62" s="18"/>
      <c r="TD62" s="18"/>
      <c r="TE62" s="18"/>
      <c r="TF62" s="18"/>
      <c r="TG62" s="18"/>
      <c r="TH62" s="18"/>
      <c r="TI62" s="18"/>
      <c r="TJ62" s="18"/>
      <c r="TK62" s="18"/>
      <c r="TL62" s="18"/>
      <c r="TM62" s="18"/>
      <c r="TN62" s="18"/>
      <c r="TO62" s="18"/>
      <c r="TP62" s="18"/>
      <c r="TQ62" s="18"/>
      <c r="TR62" s="18"/>
      <c r="TS62" s="18"/>
      <c r="TT62" s="18"/>
      <c r="TU62" s="18"/>
      <c r="TV62" s="18"/>
      <c r="TW62" s="18"/>
      <c r="TX62" s="18"/>
      <c r="TY62" s="18"/>
      <c r="TZ62" s="18"/>
      <c r="UA62" s="18"/>
      <c r="UB62" s="18"/>
      <c r="UC62" s="18"/>
      <c r="UD62" s="18"/>
      <c r="UE62" s="18"/>
      <c r="UF62" s="18"/>
      <c r="UG62" s="18"/>
      <c r="UH62" s="18"/>
      <c r="UI62" s="18"/>
      <c r="UJ62" s="18"/>
      <c r="UK62" s="18"/>
      <c r="UL62" s="18"/>
      <c r="UM62" s="18"/>
      <c r="UN62" s="18"/>
      <c r="UO62" s="18"/>
      <c r="UP62" s="18"/>
      <c r="UQ62" s="18"/>
      <c r="UR62" s="18"/>
      <c r="US62" s="18"/>
      <c r="UT62" s="18"/>
      <c r="UU62" s="18"/>
      <c r="UV62" s="18"/>
      <c r="UW62" s="18"/>
      <c r="UX62" s="18"/>
      <c r="UY62" s="18"/>
      <c r="UZ62" s="18"/>
      <c r="VA62" s="18"/>
      <c r="VB62" s="18"/>
      <c r="VC62" s="18"/>
      <c r="VD62" s="18"/>
      <c r="VE62" s="18"/>
      <c r="VF62" s="18"/>
      <c r="VG62" s="18"/>
      <c r="VH62" s="18"/>
      <c r="VI62" s="18"/>
      <c r="VJ62" s="18"/>
      <c r="VK62" s="18"/>
      <c r="VL62" s="18"/>
      <c r="VM62" s="18"/>
      <c r="VN62" s="18"/>
      <c r="VO62" s="18"/>
      <c r="VP62" s="18"/>
      <c r="VQ62" s="18"/>
      <c r="VR62" s="18"/>
      <c r="VS62" s="18"/>
      <c r="VT62" s="18"/>
      <c r="VU62" s="18"/>
      <c r="VV62" s="18"/>
      <c r="VW62" s="18"/>
      <c r="VX62" s="18"/>
      <c r="VY62" s="18"/>
      <c r="VZ62" s="18"/>
      <c r="WA62" s="18"/>
      <c r="WB62" s="18"/>
      <c r="WC62" s="18"/>
      <c r="WD62" s="18"/>
      <c r="WE62" s="18"/>
      <c r="WF62" s="18"/>
      <c r="WG62" s="18"/>
      <c r="WH62" s="18"/>
      <c r="WI62" s="18"/>
      <c r="WJ62" s="18"/>
      <c r="WK62" s="18"/>
      <c r="WL62" s="18"/>
      <c r="WM62" s="18"/>
      <c r="WN62" s="18"/>
      <c r="WO62" s="18"/>
      <c r="WP62" s="18"/>
      <c r="WQ62" s="18"/>
      <c r="WR62" s="18"/>
      <c r="WS62" s="18"/>
      <c r="WT62" s="18"/>
      <c r="WU62" s="18"/>
      <c r="WV62" s="18"/>
      <c r="WW62" s="18"/>
      <c r="WX62" s="18"/>
      <c r="WY62" s="18"/>
      <c r="WZ62" s="18"/>
      <c r="XA62" s="18"/>
      <c r="XB62" s="18"/>
      <c r="XC62" s="18"/>
      <c r="XD62" s="18"/>
      <c r="XE62" s="18"/>
      <c r="XF62" s="18"/>
      <c r="XG62" s="18"/>
      <c r="XH62" s="18"/>
      <c r="XI62" s="18"/>
      <c r="XJ62" s="18"/>
      <c r="XK62" s="18"/>
      <c r="XL62" s="18"/>
      <c r="XM62" s="18"/>
      <c r="XN62" s="18"/>
      <c r="XO62" s="18"/>
      <c r="XP62" s="18"/>
      <c r="XQ62" s="18"/>
      <c r="XR62" s="18"/>
      <c r="XS62" s="18"/>
      <c r="XT62" s="18"/>
      <c r="XU62" s="18"/>
      <c r="XV62" s="18"/>
      <c r="XW62" s="18"/>
      <c r="XX62" s="18"/>
      <c r="XY62" s="18"/>
      <c r="XZ62" s="18"/>
      <c r="YA62" s="18"/>
      <c r="YB62" s="18"/>
      <c r="YC62" s="18"/>
      <c r="YD62" s="18"/>
      <c r="YE62" s="18"/>
      <c r="YF62" s="18"/>
      <c r="YG62" s="18"/>
      <c r="YH62" s="18"/>
      <c r="YI62" s="18"/>
      <c r="YJ62" s="18"/>
      <c r="YK62" s="18"/>
      <c r="YL62" s="18"/>
      <c r="YM62" s="18"/>
      <c r="YN62" s="18"/>
      <c r="YO62" s="18"/>
      <c r="YP62" s="18"/>
      <c r="YQ62" s="18"/>
      <c r="YR62" s="18"/>
      <c r="YS62" s="18"/>
      <c r="YT62" s="18"/>
      <c r="YU62" s="18"/>
      <c r="YV62" s="18"/>
      <c r="YW62" s="18"/>
      <c r="YX62" s="18"/>
      <c r="YY62" s="18"/>
      <c r="YZ62" s="18"/>
      <c r="ZA62" s="18"/>
      <c r="ZB62" s="18"/>
      <c r="ZC62" s="18"/>
      <c r="ZD62" s="18"/>
      <c r="ZE62" s="18"/>
      <c r="ZF62" s="18"/>
      <c r="ZG62" s="18"/>
      <c r="ZH62" s="18"/>
      <c r="ZI62" s="18"/>
      <c r="ZJ62" s="18"/>
      <c r="ZK62" s="18"/>
      <c r="ZL62" s="18"/>
      <c r="ZM62" s="18"/>
      <c r="ZN62" s="18"/>
      <c r="ZO62" s="18"/>
      <c r="ZP62" s="18"/>
      <c r="ZQ62" s="18"/>
      <c r="ZR62" s="18"/>
      <c r="ZS62" s="18"/>
      <c r="ZT62" s="18"/>
      <c r="ZU62" s="18"/>
      <c r="ZV62" s="18"/>
      <c r="ZW62" s="18"/>
      <c r="ZX62" s="18"/>
      <c r="ZY62" s="18"/>
      <c r="ZZ62" s="18"/>
      <c r="AAA62" s="18"/>
      <c r="AAB62" s="18"/>
      <c r="AAC62" s="18"/>
      <c r="AAD62" s="18"/>
      <c r="AAE62" s="18"/>
      <c r="AAF62" s="18"/>
      <c r="AAG62" s="18"/>
      <c r="AAH62" s="18"/>
      <c r="AAI62" s="18"/>
      <c r="AAJ62" s="18"/>
      <c r="AAK62" s="18"/>
      <c r="AAL62" s="18"/>
      <c r="AAM62" s="18"/>
      <c r="AAN62" s="18"/>
      <c r="AAO62" s="18"/>
      <c r="AAP62" s="18"/>
      <c r="AAQ62" s="18"/>
      <c r="AAR62" s="18"/>
      <c r="AAS62" s="18"/>
      <c r="AAT62" s="18"/>
      <c r="AAU62" s="18"/>
      <c r="AAV62" s="18"/>
      <c r="AAW62" s="18"/>
      <c r="AAX62" s="18"/>
      <c r="AAY62" s="18"/>
      <c r="AAZ62" s="18"/>
      <c r="ABA62" s="18"/>
      <c r="ABB62" s="18"/>
      <c r="ABC62" s="18"/>
      <c r="ABD62" s="18"/>
      <c r="ABE62" s="18"/>
      <c r="ABF62" s="18"/>
      <c r="ABG62" s="18"/>
      <c r="ABH62" s="18"/>
      <c r="ABI62" s="18"/>
      <c r="ABJ62" s="18"/>
      <c r="ABK62" s="18"/>
      <c r="ABL62" s="18"/>
      <c r="ABM62" s="18"/>
      <c r="ABN62" s="18"/>
      <c r="ABO62" s="18"/>
      <c r="ABP62" s="18"/>
      <c r="ABQ62" s="18"/>
      <c r="ABR62" s="18"/>
      <c r="ABS62" s="18"/>
      <c r="ABT62" s="18"/>
      <c r="ABU62" s="18"/>
      <c r="ABV62" s="18"/>
      <c r="ABW62" s="18"/>
      <c r="ABX62" s="18"/>
      <c r="ABY62" s="18"/>
      <c r="ABZ62" s="18"/>
      <c r="ACA62" s="18"/>
      <c r="ACB62" s="18"/>
      <c r="ACC62" s="18"/>
      <c r="ACD62" s="18"/>
      <c r="ACE62" s="18"/>
      <c r="ACF62" s="18"/>
      <c r="ACG62" s="18"/>
      <c r="ACH62" s="18"/>
      <c r="ACI62" s="18"/>
      <c r="ACJ62" s="18"/>
      <c r="ACK62" s="18"/>
      <c r="ACL62" s="18"/>
      <c r="ACM62" s="18"/>
      <c r="ACN62" s="18"/>
      <c r="ACO62" s="18"/>
      <c r="ACP62" s="18"/>
      <c r="ACQ62" s="18"/>
      <c r="ACR62" s="18"/>
      <c r="ACS62" s="18"/>
      <c r="ACT62" s="18"/>
      <c r="ACU62" s="18"/>
      <c r="ACV62" s="18"/>
      <c r="ACW62" s="18"/>
      <c r="ACX62" s="18"/>
      <c r="ACY62" s="18"/>
      <c r="ACZ62" s="18"/>
      <c r="ADA62" s="18"/>
      <c r="ADB62" s="18"/>
      <c r="ADC62" s="18"/>
      <c r="ADD62" s="18"/>
      <c r="ADE62" s="18"/>
      <c r="ADF62" s="18"/>
      <c r="ADG62" s="18"/>
      <c r="ADH62" s="18"/>
      <c r="ADI62" s="18"/>
      <c r="ADJ62" s="18"/>
      <c r="ADK62" s="18"/>
      <c r="ADL62" s="18"/>
      <c r="ADM62" s="18"/>
      <c r="ADN62" s="18"/>
      <c r="ADO62" s="18"/>
      <c r="ADP62" s="18"/>
      <c r="ADQ62" s="18"/>
      <c r="ADR62" s="18"/>
      <c r="ADS62" s="18"/>
      <c r="ADT62" s="18"/>
      <c r="ADU62" s="18"/>
      <c r="ADV62" s="18"/>
      <c r="ADW62" s="18"/>
      <c r="ADX62" s="18"/>
      <c r="ADY62" s="18"/>
      <c r="ADZ62" s="18"/>
      <c r="AEA62" s="18"/>
      <c r="AEB62" s="18"/>
      <c r="AEC62" s="18"/>
      <c r="AED62" s="18"/>
      <c r="AEE62" s="18"/>
      <c r="AEF62" s="18"/>
      <c r="AEG62" s="18"/>
      <c r="AEH62" s="18"/>
      <c r="AEI62" s="18"/>
      <c r="AEJ62" s="18"/>
      <c r="AEK62" s="18"/>
      <c r="AEL62" s="18"/>
      <c r="AEM62" s="18"/>
      <c r="AEN62" s="18"/>
      <c r="AEO62" s="18"/>
      <c r="AEP62" s="18"/>
      <c r="AEQ62" s="18"/>
      <c r="AER62" s="18"/>
      <c r="AES62" s="18"/>
      <c r="AET62" s="18"/>
      <c r="AEU62" s="18"/>
      <c r="AEV62" s="18"/>
      <c r="AEW62" s="18"/>
      <c r="AEX62" s="18"/>
      <c r="AEY62" s="18"/>
      <c r="AEZ62" s="18"/>
      <c r="AFA62" s="18"/>
      <c r="AFB62" s="18"/>
      <c r="AFC62" s="18"/>
      <c r="AFD62" s="18"/>
      <c r="AFE62" s="18"/>
      <c r="AFF62" s="18"/>
      <c r="AFG62" s="18"/>
      <c r="AFH62" s="18"/>
      <c r="AFI62" s="18"/>
      <c r="AFJ62" s="18"/>
      <c r="AFK62" s="18"/>
      <c r="AFL62" s="18"/>
      <c r="AFM62" s="18"/>
      <c r="AFN62" s="18"/>
      <c r="AFO62" s="18"/>
      <c r="AFP62" s="18"/>
      <c r="AFQ62" s="18"/>
      <c r="AFR62" s="18"/>
      <c r="AFS62" s="18"/>
      <c r="AFT62" s="18"/>
      <c r="AFU62" s="18"/>
      <c r="AFV62" s="18"/>
      <c r="AFW62" s="18"/>
      <c r="AFX62" s="18"/>
      <c r="AFY62" s="18"/>
      <c r="AFZ62" s="18"/>
      <c r="AGA62" s="18"/>
      <c r="AGB62" s="18"/>
      <c r="AGC62" s="18"/>
      <c r="AGD62" s="18"/>
      <c r="AGE62" s="18"/>
      <c r="AGF62" s="18"/>
      <c r="AGG62" s="18"/>
      <c r="AGH62" s="18"/>
      <c r="AGI62" s="18"/>
      <c r="AGJ62" s="18"/>
      <c r="AGK62" s="18"/>
      <c r="AGL62" s="18"/>
      <c r="AGM62" s="18"/>
      <c r="AGN62" s="18"/>
      <c r="AGO62" s="18"/>
      <c r="AGP62" s="18"/>
      <c r="AGQ62" s="18"/>
      <c r="AGR62" s="18"/>
      <c r="AGS62" s="18"/>
      <c r="AGT62" s="18"/>
      <c r="AGU62" s="18"/>
      <c r="AGV62" s="18"/>
      <c r="AGW62" s="18"/>
      <c r="AGX62" s="18"/>
      <c r="AGY62" s="18"/>
      <c r="AGZ62" s="18"/>
      <c r="AHA62" s="18"/>
      <c r="AHB62" s="18"/>
      <c r="AHC62" s="18"/>
      <c r="AHD62" s="18"/>
      <c r="AHE62" s="18"/>
      <c r="AHF62" s="18"/>
      <c r="AHG62" s="18"/>
      <c r="AHH62" s="18"/>
      <c r="AHI62" s="18"/>
      <c r="AHJ62" s="18"/>
      <c r="AHK62" s="18"/>
      <c r="AHL62" s="18"/>
      <c r="AHM62" s="18"/>
      <c r="AHN62" s="18"/>
      <c r="AHO62" s="18"/>
      <c r="AHP62" s="18"/>
      <c r="AHQ62" s="18"/>
      <c r="AHR62" s="18"/>
      <c r="AHS62" s="18"/>
      <c r="AHT62" s="18"/>
      <c r="AHU62" s="18"/>
      <c r="AHV62" s="18"/>
      <c r="AHW62" s="18"/>
      <c r="AHX62" s="18"/>
      <c r="AHY62" s="18"/>
      <c r="AHZ62" s="18"/>
      <c r="AIA62" s="18"/>
      <c r="AIB62" s="18"/>
      <c r="AIC62" s="18"/>
      <c r="AID62" s="18"/>
      <c r="AIE62" s="18"/>
      <c r="AIF62" s="18"/>
      <c r="AIG62" s="18"/>
      <c r="AIH62" s="18"/>
      <c r="AII62" s="18"/>
      <c r="AIJ62" s="18"/>
      <c r="AIK62" s="18"/>
      <c r="AIL62" s="18"/>
      <c r="AIM62" s="18"/>
      <c r="AIN62" s="18"/>
      <c r="AIO62" s="18"/>
      <c r="AIP62" s="18"/>
      <c r="AIQ62" s="18"/>
      <c r="AIR62" s="18"/>
      <c r="AIS62" s="18"/>
      <c r="AIT62" s="18"/>
      <c r="AIU62" s="18"/>
      <c r="AIV62" s="18"/>
      <c r="AIW62" s="18"/>
      <c r="AIX62" s="18"/>
      <c r="AIY62" s="18"/>
      <c r="AIZ62" s="18"/>
      <c r="AJA62" s="18"/>
      <c r="AJB62" s="18"/>
      <c r="AJC62" s="18"/>
      <c r="AJD62" s="18"/>
      <c r="AJE62" s="18"/>
      <c r="AJF62" s="18"/>
      <c r="AJG62" s="18"/>
      <c r="AJH62" s="18"/>
      <c r="AJI62" s="18"/>
      <c r="AJJ62" s="18"/>
      <c r="AJK62" s="18"/>
      <c r="AJL62" s="18"/>
      <c r="AJM62" s="18"/>
      <c r="AJN62" s="18"/>
      <c r="AJO62" s="18"/>
      <c r="AJP62" s="18"/>
      <c r="AJQ62" s="18"/>
      <c r="AJR62" s="18"/>
      <c r="AJS62" s="18"/>
      <c r="AJT62" s="18"/>
      <c r="AJU62" s="18"/>
      <c r="AJV62" s="18"/>
      <c r="AJW62" s="18"/>
      <c r="AJX62" s="18"/>
      <c r="AJY62" s="18"/>
      <c r="AJZ62" s="18"/>
      <c r="AKA62" s="18"/>
      <c r="AKB62" s="18"/>
      <c r="AKC62" s="18"/>
      <c r="AKD62" s="18"/>
      <c r="AKE62" s="18"/>
      <c r="AKF62" s="18"/>
      <c r="AKG62" s="18"/>
      <c r="AKH62" s="18"/>
      <c r="AKI62" s="18"/>
      <c r="AKJ62" s="18"/>
      <c r="AKK62" s="18"/>
      <c r="AKL62" s="18"/>
      <c r="AKM62" s="18"/>
      <c r="AKN62" s="18"/>
      <c r="AKO62" s="18"/>
      <c r="AKP62" s="18"/>
      <c r="AKQ62" s="18"/>
      <c r="AKR62" s="18"/>
      <c r="AKS62" s="18"/>
      <c r="AKT62" s="18"/>
      <c r="AKU62" s="18"/>
      <c r="AKV62" s="18"/>
      <c r="AKW62" s="18"/>
      <c r="AKX62" s="18"/>
      <c r="AKY62" s="18"/>
      <c r="AKZ62" s="18"/>
      <c r="ALA62" s="18"/>
      <c r="ALB62" s="18"/>
      <c r="ALC62" s="18"/>
      <c r="ALD62" s="18"/>
      <c r="ALE62" s="18"/>
      <c r="ALF62" s="18"/>
      <c r="ALG62" s="18"/>
      <c r="ALH62" s="18"/>
      <c r="ALI62" s="18"/>
      <c r="ALJ62" s="18"/>
      <c r="ALK62" s="18"/>
      <c r="ALL62" s="18"/>
      <c r="ALM62" s="18"/>
      <c r="ALN62" s="18"/>
      <c r="ALO62" s="18"/>
      <c r="ALP62" s="18"/>
      <c r="ALQ62" s="18"/>
      <c r="ALR62" s="18"/>
      <c r="ALS62" s="18"/>
      <c r="ALT62" s="18"/>
      <c r="ALU62" s="18"/>
      <c r="ALV62" s="18"/>
      <c r="ALW62" s="18"/>
      <c r="ALX62" s="18"/>
      <c r="ALY62" s="18"/>
      <c r="ALZ62" s="18"/>
      <c r="AMA62" s="18"/>
      <c r="AMB62" s="18"/>
      <c r="AMC62" s="18"/>
      <c r="AMD62" s="18"/>
      <c r="AME62" s="18"/>
      <c r="AMF62" s="18"/>
      <c r="AMG62" s="18"/>
      <c r="AMH62" s="18"/>
    </row>
    <row r="63" spans="1:1022" s="23" customFormat="1" x14ac:dyDescent="0.3">
      <c r="A63" s="33">
        <v>159</v>
      </c>
      <c r="B63" s="19"/>
      <c r="C63" s="19"/>
      <c r="D63" s="34" t="s">
        <v>333</v>
      </c>
      <c r="E63" s="34" t="s">
        <v>484</v>
      </c>
      <c r="F63" s="39"/>
      <c r="G63" s="39"/>
      <c r="H63" s="38" t="s">
        <v>281</v>
      </c>
      <c r="I63" s="31"/>
      <c r="J63" s="40"/>
      <c r="K63" s="31"/>
      <c r="L63" s="40"/>
      <c r="M63" s="41"/>
      <c r="N63" s="32"/>
      <c r="O63" s="18"/>
      <c r="P63" s="36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18"/>
      <c r="BK63" s="18"/>
      <c r="BL63" s="18"/>
      <c r="BM63" s="18"/>
      <c r="BN63" s="18"/>
      <c r="BO63" s="18"/>
      <c r="BP63" s="18"/>
      <c r="BQ63" s="18"/>
      <c r="BR63" s="18"/>
      <c r="BS63" s="18"/>
      <c r="BT63" s="18"/>
      <c r="BU63" s="18"/>
      <c r="BV63" s="18"/>
      <c r="BW63" s="18"/>
      <c r="BX63" s="18"/>
      <c r="BY63" s="18"/>
      <c r="BZ63" s="18"/>
      <c r="CA63" s="18"/>
      <c r="CB63" s="18"/>
      <c r="CC63" s="18"/>
      <c r="CD63" s="18"/>
      <c r="CE63" s="18"/>
      <c r="CF63" s="18"/>
      <c r="CG63" s="18"/>
      <c r="CH63" s="18"/>
      <c r="CI63" s="18"/>
      <c r="CJ63" s="18"/>
      <c r="CK63" s="18"/>
      <c r="CL63" s="18"/>
      <c r="CM63" s="18"/>
      <c r="CN63" s="18"/>
      <c r="CO63" s="18"/>
      <c r="CP63" s="18"/>
      <c r="CQ63" s="18"/>
      <c r="CR63" s="18"/>
      <c r="CS63" s="18"/>
      <c r="CT63" s="18"/>
      <c r="CU63" s="18"/>
      <c r="CV63" s="18"/>
      <c r="CW63" s="18"/>
      <c r="CX63" s="18"/>
      <c r="CY63" s="18"/>
      <c r="CZ63" s="18"/>
      <c r="DA63" s="18"/>
      <c r="DB63" s="18"/>
      <c r="DC63" s="18"/>
      <c r="DD63" s="18"/>
      <c r="DE63" s="18"/>
      <c r="DF63" s="18"/>
      <c r="DG63" s="18"/>
      <c r="DH63" s="18"/>
      <c r="DI63" s="18"/>
      <c r="DJ63" s="18"/>
      <c r="DK63" s="18"/>
      <c r="DL63" s="18"/>
      <c r="DM63" s="18"/>
      <c r="DN63" s="18"/>
      <c r="DO63" s="18"/>
      <c r="DP63" s="18"/>
      <c r="DQ63" s="18"/>
      <c r="DR63" s="18"/>
      <c r="DS63" s="18"/>
      <c r="DT63" s="18"/>
      <c r="DU63" s="18"/>
      <c r="DV63" s="18"/>
      <c r="DW63" s="18"/>
      <c r="DX63" s="18"/>
      <c r="DY63" s="18"/>
      <c r="DZ63" s="18"/>
      <c r="EA63" s="18"/>
      <c r="EB63" s="18"/>
      <c r="EC63" s="18"/>
      <c r="ED63" s="18"/>
      <c r="EE63" s="18"/>
      <c r="EF63" s="18"/>
      <c r="EG63" s="18"/>
      <c r="EH63" s="18"/>
      <c r="EI63" s="18"/>
      <c r="EJ63" s="18"/>
      <c r="EK63" s="18"/>
      <c r="EL63" s="18"/>
      <c r="EM63" s="18"/>
      <c r="EN63" s="18"/>
      <c r="EO63" s="18"/>
      <c r="EP63" s="18"/>
      <c r="EQ63" s="18"/>
      <c r="ER63" s="18"/>
      <c r="ES63" s="18"/>
      <c r="ET63" s="18"/>
      <c r="EU63" s="18"/>
      <c r="EV63" s="18"/>
      <c r="EW63" s="18"/>
      <c r="EX63" s="18"/>
      <c r="EY63" s="18"/>
      <c r="EZ63" s="18"/>
      <c r="FA63" s="18"/>
      <c r="FB63" s="18"/>
      <c r="FC63" s="18"/>
      <c r="FD63" s="18"/>
      <c r="FE63" s="18"/>
      <c r="FF63" s="18"/>
      <c r="FG63" s="18"/>
      <c r="FH63" s="18"/>
      <c r="FI63" s="18"/>
      <c r="FJ63" s="18"/>
      <c r="FK63" s="18"/>
      <c r="FL63" s="18"/>
      <c r="FM63" s="18"/>
      <c r="FN63" s="18"/>
      <c r="FO63" s="18"/>
      <c r="FP63" s="18"/>
      <c r="FQ63" s="18"/>
      <c r="FR63" s="18"/>
      <c r="FS63" s="18"/>
      <c r="FT63" s="18"/>
      <c r="FU63" s="18"/>
      <c r="FV63" s="18"/>
      <c r="FW63" s="18"/>
      <c r="FX63" s="18"/>
      <c r="FY63" s="18"/>
      <c r="FZ63" s="18"/>
      <c r="GA63" s="18"/>
      <c r="GB63" s="18"/>
      <c r="GC63" s="18"/>
      <c r="GD63" s="18"/>
      <c r="GE63" s="18"/>
      <c r="GF63" s="18"/>
      <c r="GG63" s="18"/>
      <c r="GH63" s="18"/>
      <c r="GI63" s="18"/>
      <c r="GJ63" s="18"/>
      <c r="GK63" s="18"/>
      <c r="GL63" s="18"/>
      <c r="GM63" s="18"/>
      <c r="GN63" s="18"/>
      <c r="GO63" s="18"/>
      <c r="GP63" s="18"/>
      <c r="GQ63" s="18"/>
      <c r="GR63" s="18"/>
      <c r="GS63" s="18"/>
      <c r="GT63" s="18"/>
      <c r="GU63" s="18"/>
      <c r="GV63" s="18"/>
      <c r="GW63" s="18"/>
      <c r="GX63" s="18"/>
      <c r="GY63" s="18"/>
      <c r="GZ63" s="18"/>
      <c r="HA63" s="18"/>
      <c r="HB63" s="18"/>
      <c r="HC63" s="18"/>
      <c r="HD63" s="18"/>
      <c r="HE63" s="18"/>
      <c r="HF63" s="18"/>
      <c r="HG63" s="18"/>
      <c r="HH63" s="18"/>
      <c r="HI63" s="18"/>
      <c r="HJ63" s="18"/>
      <c r="HK63" s="18"/>
      <c r="HL63" s="18"/>
      <c r="HM63" s="18"/>
      <c r="HN63" s="18"/>
      <c r="HO63" s="18"/>
      <c r="HP63" s="18"/>
      <c r="HQ63" s="18"/>
      <c r="HR63" s="18"/>
      <c r="HS63" s="18"/>
      <c r="HT63" s="18"/>
      <c r="HU63" s="18"/>
      <c r="HV63" s="18"/>
      <c r="HW63" s="18"/>
      <c r="HX63" s="18"/>
      <c r="HY63" s="18"/>
      <c r="HZ63" s="18"/>
      <c r="IA63" s="18"/>
      <c r="IB63" s="18"/>
      <c r="IC63" s="18"/>
      <c r="ID63" s="18"/>
      <c r="IE63" s="18"/>
      <c r="IF63" s="18"/>
      <c r="IG63" s="18"/>
      <c r="IH63" s="18"/>
      <c r="II63" s="18"/>
      <c r="IJ63" s="18"/>
      <c r="IK63" s="18"/>
      <c r="IL63" s="18"/>
      <c r="IM63" s="18"/>
      <c r="IN63" s="18"/>
      <c r="IO63" s="18"/>
      <c r="IP63" s="18"/>
      <c r="IQ63" s="18"/>
      <c r="IR63" s="18"/>
      <c r="IS63" s="18"/>
      <c r="IT63" s="18"/>
      <c r="IU63" s="18"/>
      <c r="IV63" s="18"/>
      <c r="IW63" s="18"/>
      <c r="IX63" s="18"/>
      <c r="IY63" s="18"/>
      <c r="IZ63" s="18"/>
      <c r="JA63" s="18"/>
      <c r="JB63" s="18"/>
      <c r="JC63" s="18"/>
      <c r="JD63" s="18"/>
      <c r="JE63" s="18"/>
      <c r="JF63" s="18"/>
      <c r="JG63" s="18"/>
      <c r="JH63" s="18"/>
      <c r="JI63" s="18"/>
      <c r="JJ63" s="18"/>
      <c r="JK63" s="18"/>
      <c r="JL63" s="18"/>
      <c r="JM63" s="18"/>
      <c r="JN63" s="18"/>
      <c r="JO63" s="18"/>
      <c r="JP63" s="18"/>
      <c r="JQ63" s="18"/>
      <c r="JR63" s="18"/>
      <c r="JS63" s="18"/>
      <c r="JT63" s="18"/>
      <c r="JU63" s="18"/>
      <c r="JV63" s="18"/>
      <c r="JW63" s="18"/>
      <c r="JX63" s="18"/>
      <c r="JY63" s="18"/>
      <c r="JZ63" s="18"/>
      <c r="KA63" s="18"/>
      <c r="KB63" s="18"/>
      <c r="KC63" s="18"/>
      <c r="KD63" s="18"/>
      <c r="KE63" s="18"/>
      <c r="KF63" s="18"/>
      <c r="KG63" s="18"/>
      <c r="KH63" s="18"/>
      <c r="KI63" s="18"/>
      <c r="KJ63" s="18"/>
      <c r="KK63" s="18"/>
      <c r="KL63" s="18"/>
      <c r="KM63" s="18"/>
      <c r="KN63" s="18"/>
      <c r="KO63" s="18"/>
      <c r="KP63" s="18"/>
      <c r="KQ63" s="18"/>
      <c r="KR63" s="18"/>
      <c r="KS63" s="18"/>
      <c r="KT63" s="18"/>
      <c r="KU63" s="18"/>
      <c r="KV63" s="18"/>
      <c r="KW63" s="18"/>
      <c r="KX63" s="18"/>
      <c r="KY63" s="18"/>
      <c r="KZ63" s="18"/>
      <c r="LA63" s="18"/>
      <c r="LB63" s="18"/>
      <c r="LC63" s="18"/>
      <c r="LD63" s="18"/>
      <c r="LE63" s="18"/>
      <c r="LF63" s="18"/>
      <c r="LG63" s="18"/>
      <c r="LH63" s="18"/>
      <c r="LI63" s="18"/>
      <c r="LJ63" s="18"/>
      <c r="LK63" s="18"/>
      <c r="LL63" s="18"/>
      <c r="LM63" s="18"/>
      <c r="LN63" s="18"/>
      <c r="LO63" s="18"/>
      <c r="LP63" s="18"/>
      <c r="LQ63" s="18"/>
      <c r="LR63" s="18"/>
      <c r="LS63" s="18"/>
      <c r="LT63" s="18"/>
      <c r="LU63" s="18"/>
      <c r="LV63" s="18"/>
      <c r="LW63" s="18"/>
      <c r="LX63" s="18"/>
      <c r="LY63" s="18"/>
      <c r="LZ63" s="18"/>
      <c r="MA63" s="18"/>
      <c r="MB63" s="18"/>
      <c r="MC63" s="18"/>
      <c r="MD63" s="18"/>
      <c r="ME63" s="18"/>
      <c r="MF63" s="18"/>
      <c r="MG63" s="18"/>
      <c r="MH63" s="18"/>
      <c r="MI63" s="18"/>
      <c r="MJ63" s="18"/>
      <c r="MK63" s="18"/>
      <c r="ML63" s="18"/>
      <c r="MM63" s="18"/>
      <c r="MN63" s="18"/>
      <c r="MO63" s="18"/>
      <c r="MP63" s="18"/>
      <c r="MQ63" s="18"/>
      <c r="MR63" s="18"/>
      <c r="MS63" s="18"/>
      <c r="MT63" s="18"/>
      <c r="MU63" s="18"/>
      <c r="MV63" s="18"/>
      <c r="MW63" s="18"/>
      <c r="MX63" s="18"/>
      <c r="MY63" s="18"/>
      <c r="MZ63" s="18"/>
      <c r="NA63" s="18"/>
      <c r="NB63" s="18"/>
      <c r="NC63" s="18"/>
      <c r="ND63" s="18"/>
      <c r="NE63" s="18"/>
      <c r="NF63" s="18"/>
      <c r="NG63" s="18"/>
      <c r="NH63" s="18"/>
      <c r="NI63" s="18"/>
      <c r="NJ63" s="18"/>
      <c r="NK63" s="18"/>
      <c r="NL63" s="18"/>
      <c r="NM63" s="18"/>
      <c r="NN63" s="18"/>
      <c r="NO63" s="18"/>
      <c r="NP63" s="18"/>
      <c r="NQ63" s="18"/>
      <c r="NR63" s="18"/>
      <c r="NS63" s="18"/>
      <c r="NT63" s="18"/>
      <c r="NU63" s="18"/>
      <c r="NV63" s="18"/>
      <c r="NW63" s="18"/>
      <c r="NX63" s="18"/>
      <c r="NY63" s="18"/>
      <c r="NZ63" s="18"/>
      <c r="OA63" s="18"/>
      <c r="OB63" s="18"/>
      <c r="OC63" s="18"/>
      <c r="OD63" s="18"/>
      <c r="OE63" s="18"/>
      <c r="OF63" s="18"/>
      <c r="OG63" s="18"/>
      <c r="OH63" s="18"/>
      <c r="OI63" s="18"/>
      <c r="OJ63" s="18"/>
      <c r="OK63" s="18"/>
      <c r="OL63" s="18"/>
      <c r="OM63" s="18"/>
      <c r="ON63" s="18"/>
      <c r="OO63" s="18"/>
      <c r="OP63" s="18"/>
      <c r="OQ63" s="18"/>
      <c r="OR63" s="18"/>
      <c r="OS63" s="18"/>
      <c r="OT63" s="18"/>
      <c r="OU63" s="18"/>
      <c r="OV63" s="18"/>
      <c r="OW63" s="18"/>
      <c r="OX63" s="18"/>
      <c r="OY63" s="18"/>
      <c r="OZ63" s="18"/>
      <c r="PA63" s="18"/>
      <c r="PB63" s="18"/>
      <c r="PC63" s="18"/>
      <c r="PD63" s="18"/>
      <c r="PE63" s="18"/>
      <c r="PF63" s="18"/>
      <c r="PG63" s="18"/>
      <c r="PH63" s="18"/>
      <c r="PI63" s="18"/>
      <c r="PJ63" s="18"/>
      <c r="PK63" s="18"/>
      <c r="PL63" s="18"/>
      <c r="PM63" s="18"/>
      <c r="PN63" s="18"/>
      <c r="PO63" s="18"/>
      <c r="PP63" s="18"/>
      <c r="PQ63" s="18"/>
      <c r="PR63" s="18"/>
      <c r="PS63" s="18"/>
      <c r="PT63" s="18"/>
      <c r="PU63" s="18"/>
      <c r="PV63" s="18"/>
      <c r="PW63" s="18"/>
      <c r="PX63" s="18"/>
      <c r="PY63" s="18"/>
      <c r="PZ63" s="18"/>
      <c r="QA63" s="18"/>
      <c r="QB63" s="18"/>
      <c r="QC63" s="18"/>
      <c r="QD63" s="18"/>
      <c r="QE63" s="18"/>
      <c r="QF63" s="18"/>
      <c r="QG63" s="18"/>
      <c r="QH63" s="18"/>
      <c r="QI63" s="18"/>
      <c r="QJ63" s="18"/>
      <c r="QK63" s="18"/>
      <c r="QL63" s="18"/>
      <c r="QM63" s="18"/>
      <c r="QN63" s="18"/>
      <c r="QO63" s="18"/>
      <c r="QP63" s="18"/>
      <c r="QQ63" s="18"/>
      <c r="QR63" s="18"/>
      <c r="QS63" s="18"/>
      <c r="QT63" s="18"/>
      <c r="QU63" s="18"/>
      <c r="QV63" s="18"/>
      <c r="QW63" s="18"/>
      <c r="QX63" s="18"/>
      <c r="QY63" s="18"/>
      <c r="QZ63" s="18"/>
      <c r="RA63" s="18"/>
      <c r="RB63" s="18"/>
      <c r="RC63" s="18"/>
      <c r="RD63" s="18"/>
      <c r="RE63" s="18"/>
      <c r="RF63" s="18"/>
      <c r="RG63" s="18"/>
      <c r="RH63" s="18"/>
      <c r="RI63" s="18"/>
      <c r="RJ63" s="18"/>
      <c r="RK63" s="18"/>
      <c r="RL63" s="18"/>
      <c r="RM63" s="18"/>
      <c r="RN63" s="18"/>
      <c r="RO63" s="18"/>
      <c r="RP63" s="18"/>
      <c r="RQ63" s="18"/>
      <c r="RR63" s="18"/>
      <c r="RS63" s="18"/>
      <c r="RT63" s="18"/>
      <c r="RU63" s="18"/>
      <c r="RV63" s="18"/>
      <c r="RW63" s="18"/>
      <c r="RX63" s="18"/>
      <c r="RY63" s="18"/>
      <c r="RZ63" s="18"/>
      <c r="SA63" s="18"/>
      <c r="SB63" s="18"/>
      <c r="SC63" s="18"/>
      <c r="SD63" s="18"/>
      <c r="SE63" s="18"/>
      <c r="SF63" s="18"/>
      <c r="SG63" s="18"/>
      <c r="SH63" s="18"/>
      <c r="SI63" s="18"/>
      <c r="SJ63" s="18"/>
      <c r="SK63" s="18"/>
      <c r="SL63" s="18"/>
      <c r="SM63" s="18"/>
      <c r="SN63" s="18"/>
      <c r="SO63" s="18"/>
      <c r="SP63" s="18"/>
      <c r="SQ63" s="18"/>
      <c r="SR63" s="18"/>
      <c r="SS63" s="18"/>
      <c r="ST63" s="18"/>
      <c r="SU63" s="18"/>
      <c r="SV63" s="18"/>
      <c r="SW63" s="18"/>
      <c r="SX63" s="18"/>
      <c r="SY63" s="18"/>
      <c r="SZ63" s="18"/>
      <c r="TA63" s="18"/>
      <c r="TB63" s="18"/>
      <c r="TC63" s="18"/>
      <c r="TD63" s="18"/>
      <c r="TE63" s="18"/>
      <c r="TF63" s="18"/>
      <c r="TG63" s="18"/>
      <c r="TH63" s="18"/>
      <c r="TI63" s="18"/>
      <c r="TJ63" s="18"/>
      <c r="TK63" s="18"/>
      <c r="TL63" s="18"/>
      <c r="TM63" s="18"/>
      <c r="TN63" s="18"/>
      <c r="TO63" s="18"/>
      <c r="TP63" s="18"/>
      <c r="TQ63" s="18"/>
      <c r="TR63" s="18"/>
      <c r="TS63" s="18"/>
      <c r="TT63" s="18"/>
      <c r="TU63" s="18"/>
      <c r="TV63" s="18"/>
      <c r="TW63" s="18"/>
      <c r="TX63" s="18"/>
      <c r="TY63" s="18"/>
      <c r="TZ63" s="18"/>
      <c r="UA63" s="18"/>
      <c r="UB63" s="18"/>
      <c r="UC63" s="18"/>
      <c r="UD63" s="18"/>
      <c r="UE63" s="18"/>
      <c r="UF63" s="18"/>
      <c r="UG63" s="18"/>
      <c r="UH63" s="18"/>
      <c r="UI63" s="18"/>
      <c r="UJ63" s="18"/>
      <c r="UK63" s="18"/>
      <c r="UL63" s="18"/>
      <c r="UM63" s="18"/>
      <c r="UN63" s="18"/>
      <c r="UO63" s="18"/>
      <c r="UP63" s="18"/>
      <c r="UQ63" s="18"/>
      <c r="UR63" s="18"/>
      <c r="US63" s="18"/>
      <c r="UT63" s="18"/>
      <c r="UU63" s="18"/>
      <c r="UV63" s="18"/>
      <c r="UW63" s="18"/>
      <c r="UX63" s="18"/>
      <c r="UY63" s="18"/>
      <c r="UZ63" s="18"/>
      <c r="VA63" s="18"/>
      <c r="VB63" s="18"/>
      <c r="VC63" s="18"/>
      <c r="VD63" s="18"/>
      <c r="VE63" s="18"/>
      <c r="VF63" s="18"/>
      <c r="VG63" s="18"/>
      <c r="VH63" s="18"/>
      <c r="VI63" s="18"/>
      <c r="VJ63" s="18"/>
      <c r="VK63" s="18"/>
      <c r="VL63" s="18"/>
      <c r="VM63" s="18"/>
      <c r="VN63" s="18"/>
      <c r="VO63" s="18"/>
      <c r="VP63" s="18"/>
      <c r="VQ63" s="18"/>
      <c r="VR63" s="18"/>
      <c r="VS63" s="18"/>
      <c r="VT63" s="18"/>
      <c r="VU63" s="18"/>
      <c r="VV63" s="18"/>
      <c r="VW63" s="18"/>
      <c r="VX63" s="18"/>
      <c r="VY63" s="18"/>
      <c r="VZ63" s="18"/>
      <c r="WA63" s="18"/>
      <c r="WB63" s="18"/>
      <c r="WC63" s="18"/>
      <c r="WD63" s="18"/>
      <c r="WE63" s="18"/>
      <c r="WF63" s="18"/>
      <c r="WG63" s="18"/>
      <c r="WH63" s="18"/>
      <c r="WI63" s="18"/>
      <c r="WJ63" s="18"/>
      <c r="WK63" s="18"/>
      <c r="WL63" s="18"/>
      <c r="WM63" s="18"/>
      <c r="WN63" s="18"/>
      <c r="WO63" s="18"/>
      <c r="WP63" s="18"/>
      <c r="WQ63" s="18"/>
      <c r="WR63" s="18"/>
      <c r="WS63" s="18"/>
      <c r="WT63" s="18"/>
      <c r="WU63" s="18"/>
      <c r="WV63" s="18"/>
      <c r="WW63" s="18"/>
      <c r="WX63" s="18"/>
      <c r="WY63" s="18"/>
      <c r="WZ63" s="18"/>
      <c r="XA63" s="18"/>
      <c r="XB63" s="18"/>
      <c r="XC63" s="18"/>
      <c r="XD63" s="18"/>
      <c r="XE63" s="18"/>
      <c r="XF63" s="18"/>
      <c r="XG63" s="18"/>
      <c r="XH63" s="18"/>
      <c r="XI63" s="18"/>
      <c r="XJ63" s="18"/>
      <c r="XK63" s="18"/>
      <c r="XL63" s="18"/>
      <c r="XM63" s="18"/>
      <c r="XN63" s="18"/>
      <c r="XO63" s="18"/>
      <c r="XP63" s="18"/>
      <c r="XQ63" s="18"/>
      <c r="XR63" s="18"/>
      <c r="XS63" s="18"/>
      <c r="XT63" s="18"/>
      <c r="XU63" s="18"/>
      <c r="XV63" s="18"/>
      <c r="XW63" s="18"/>
      <c r="XX63" s="18"/>
      <c r="XY63" s="18"/>
      <c r="XZ63" s="18"/>
      <c r="YA63" s="18"/>
      <c r="YB63" s="18"/>
      <c r="YC63" s="18"/>
      <c r="YD63" s="18"/>
      <c r="YE63" s="18"/>
      <c r="YF63" s="18"/>
      <c r="YG63" s="18"/>
      <c r="YH63" s="18"/>
      <c r="YI63" s="18"/>
      <c r="YJ63" s="18"/>
      <c r="YK63" s="18"/>
      <c r="YL63" s="18"/>
      <c r="YM63" s="18"/>
      <c r="YN63" s="18"/>
      <c r="YO63" s="18"/>
      <c r="YP63" s="18"/>
      <c r="YQ63" s="18"/>
      <c r="YR63" s="18"/>
      <c r="YS63" s="18"/>
      <c r="YT63" s="18"/>
      <c r="YU63" s="18"/>
      <c r="YV63" s="18"/>
      <c r="YW63" s="18"/>
      <c r="YX63" s="18"/>
      <c r="YY63" s="18"/>
      <c r="YZ63" s="18"/>
      <c r="ZA63" s="18"/>
      <c r="ZB63" s="18"/>
      <c r="ZC63" s="18"/>
      <c r="ZD63" s="18"/>
      <c r="ZE63" s="18"/>
      <c r="ZF63" s="18"/>
      <c r="ZG63" s="18"/>
      <c r="ZH63" s="18"/>
      <c r="ZI63" s="18"/>
      <c r="ZJ63" s="18"/>
      <c r="ZK63" s="18"/>
      <c r="ZL63" s="18"/>
      <c r="ZM63" s="18"/>
      <c r="ZN63" s="18"/>
      <c r="ZO63" s="18"/>
      <c r="ZP63" s="18"/>
      <c r="ZQ63" s="18"/>
      <c r="ZR63" s="18"/>
      <c r="ZS63" s="18"/>
      <c r="ZT63" s="18"/>
      <c r="ZU63" s="18"/>
      <c r="ZV63" s="18"/>
      <c r="ZW63" s="18"/>
      <c r="ZX63" s="18"/>
      <c r="ZY63" s="18"/>
      <c r="ZZ63" s="18"/>
      <c r="AAA63" s="18"/>
      <c r="AAB63" s="18"/>
      <c r="AAC63" s="18"/>
      <c r="AAD63" s="18"/>
      <c r="AAE63" s="18"/>
      <c r="AAF63" s="18"/>
      <c r="AAG63" s="18"/>
      <c r="AAH63" s="18"/>
      <c r="AAI63" s="18"/>
      <c r="AAJ63" s="18"/>
      <c r="AAK63" s="18"/>
      <c r="AAL63" s="18"/>
      <c r="AAM63" s="18"/>
      <c r="AAN63" s="18"/>
      <c r="AAO63" s="18"/>
      <c r="AAP63" s="18"/>
      <c r="AAQ63" s="18"/>
      <c r="AAR63" s="18"/>
      <c r="AAS63" s="18"/>
      <c r="AAT63" s="18"/>
      <c r="AAU63" s="18"/>
      <c r="AAV63" s="18"/>
      <c r="AAW63" s="18"/>
      <c r="AAX63" s="18"/>
      <c r="AAY63" s="18"/>
      <c r="AAZ63" s="18"/>
      <c r="ABA63" s="18"/>
      <c r="ABB63" s="18"/>
      <c r="ABC63" s="18"/>
      <c r="ABD63" s="18"/>
      <c r="ABE63" s="18"/>
      <c r="ABF63" s="18"/>
      <c r="ABG63" s="18"/>
      <c r="ABH63" s="18"/>
      <c r="ABI63" s="18"/>
      <c r="ABJ63" s="18"/>
      <c r="ABK63" s="18"/>
      <c r="ABL63" s="18"/>
      <c r="ABM63" s="18"/>
      <c r="ABN63" s="18"/>
      <c r="ABO63" s="18"/>
      <c r="ABP63" s="18"/>
      <c r="ABQ63" s="18"/>
      <c r="ABR63" s="18"/>
      <c r="ABS63" s="18"/>
      <c r="ABT63" s="18"/>
      <c r="ABU63" s="18"/>
      <c r="ABV63" s="18"/>
      <c r="ABW63" s="18"/>
      <c r="ABX63" s="18"/>
      <c r="ABY63" s="18"/>
      <c r="ABZ63" s="18"/>
      <c r="ACA63" s="18"/>
      <c r="ACB63" s="18"/>
      <c r="ACC63" s="18"/>
      <c r="ACD63" s="18"/>
      <c r="ACE63" s="18"/>
      <c r="ACF63" s="18"/>
      <c r="ACG63" s="18"/>
      <c r="ACH63" s="18"/>
      <c r="ACI63" s="18"/>
      <c r="ACJ63" s="18"/>
      <c r="ACK63" s="18"/>
      <c r="ACL63" s="18"/>
      <c r="ACM63" s="18"/>
      <c r="ACN63" s="18"/>
      <c r="ACO63" s="18"/>
      <c r="ACP63" s="18"/>
      <c r="ACQ63" s="18"/>
      <c r="ACR63" s="18"/>
      <c r="ACS63" s="18"/>
      <c r="ACT63" s="18"/>
      <c r="ACU63" s="18"/>
      <c r="ACV63" s="18"/>
      <c r="ACW63" s="18"/>
      <c r="ACX63" s="18"/>
      <c r="ACY63" s="18"/>
      <c r="ACZ63" s="18"/>
      <c r="ADA63" s="18"/>
      <c r="ADB63" s="18"/>
      <c r="ADC63" s="18"/>
      <c r="ADD63" s="18"/>
      <c r="ADE63" s="18"/>
      <c r="ADF63" s="18"/>
      <c r="ADG63" s="18"/>
      <c r="ADH63" s="18"/>
      <c r="ADI63" s="18"/>
      <c r="ADJ63" s="18"/>
      <c r="ADK63" s="18"/>
      <c r="ADL63" s="18"/>
      <c r="ADM63" s="18"/>
      <c r="ADN63" s="18"/>
      <c r="ADO63" s="18"/>
      <c r="ADP63" s="18"/>
      <c r="ADQ63" s="18"/>
      <c r="ADR63" s="18"/>
      <c r="ADS63" s="18"/>
      <c r="ADT63" s="18"/>
      <c r="ADU63" s="18"/>
      <c r="ADV63" s="18"/>
      <c r="ADW63" s="18"/>
      <c r="ADX63" s="18"/>
      <c r="ADY63" s="18"/>
      <c r="ADZ63" s="18"/>
      <c r="AEA63" s="18"/>
      <c r="AEB63" s="18"/>
      <c r="AEC63" s="18"/>
      <c r="AED63" s="18"/>
      <c r="AEE63" s="18"/>
      <c r="AEF63" s="18"/>
      <c r="AEG63" s="18"/>
      <c r="AEH63" s="18"/>
      <c r="AEI63" s="18"/>
      <c r="AEJ63" s="18"/>
      <c r="AEK63" s="18"/>
      <c r="AEL63" s="18"/>
      <c r="AEM63" s="18"/>
      <c r="AEN63" s="18"/>
      <c r="AEO63" s="18"/>
      <c r="AEP63" s="18"/>
      <c r="AEQ63" s="18"/>
      <c r="AER63" s="18"/>
      <c r="AES63" s="18"/>
      <c r="AET63" s="18"/>
      <c r="AEU63" s="18"/>
      <c r="AEV63" s="18"/>
      <c r="AEW63" s="18"/>
      <c r="AEX63" s="18"/>
      <c r="AEY63" s="18"/>
      <c r="AEZ63" s="18"/>
      <c r="AFA63" s="18"/>
      <c r="AFB63" s="18"/>
      <c r="AFC63" s="18"/>
      <c r="AFD63" s="18"/>
      <c r="AFE63" s="18"/>
      <c r="AFF63" s="18"/>
      <c r="AFG63" s="18"/>
      <c r="AFH63" s="18"/>
      <c r="AFI63" s="18"/>
      <c r="AFJ63" s="18"/>
      <c r="AFK63" s="18"/>
      <c r="AFL63" s="18"/>
      <c r="AFM63" s="18"/>
      <c r="AFN63" s="18"/>
      <c r="AFO63" s="18"/>
      <c r="AFP63" s="18"/>
      <c r="AFQ63" s="18"/>
      <c r="AFR63" s="18"/>
      <c r="AFS63" s="18"/>
      <c r="AFT63" s="18"/>
      <c r="AFU63" s="18"/>
      <c r="AFV63" s="18"/>
      <c r="AFW63" s="18"/>
      <c r="AFX63" s="18"/>
      <c r="AFY63" s="18"/>
      <c r="AFZ63" s="18"/>
      <c r="AGA63" s="18"/>
      <c r="AGB63" s="18"/>
      <c r="AGC63" s="18"/>
      <c r="AGD63" s="18"/>
      <c r="AGE63" s="18"/>
      <c r="AGF63" s="18"/>
      <c r="AGG63" s="18"/>
      <c r="AGH63" s="18"/>
      <c r="AGI63" s="18"/>
      <c r="AGJ63" s="18"/>
      <c r="AGK63" s="18"/>
      <c r="AGL63" s="18"/>
      <c r="AGM63" s="18"/>
      <c r="AGN63" s="18"/>
      <c r="AGO63" s="18"/>
      <c r="AGP63" s="18"/>
      <c r="AGQ63" s="18"/>
      <c r="AGR63" s="18"/>
      <c r="AGS63" s="18"/>
      <c r="AGT63" s="18"/>
      <c r="AGU63" s="18"/>
      <c r="AGV63" s="18"/>
      <c r="AGW63" s="18"/>
      <c r="AGX63" s="18"/>
      <c r="AGY63" s="18"/>
      <c r="AGZ63" s="18"/>
      <c r="AHA63" s="18"/>
      <c r="AHB63" s="18"/>
      <c r="AHC63" s="18"/>
      <c r="AHD63" s="18"/>
      <c r="AHE63" s="18"/>
      <c r="AHF63" s="18"/>
      <c r="AHG63" s="18"/>
      <c r="AHH63" s="18"/>
      <c r="AHI63" s="18"/>
      <c r="AHJ63" s="18"/>
      <c r="AHK63" s="18"/>
      <c r="AHL63" s="18"/>
      <c r="AHM63" s="18"/>
      <c r="AHN63" s="18"/>
      <c r="AHO63" s="18"/>
      <c r="AHP63" s="18"/>
      <c r="AHQ63" s="18"/>
      <c r="AHR63" s="18"/>
      <c r="AHS63" s="18"/>
      <c r="AHT63" s="18"/>
      <c r="AHU63" s="18"/>
      <c r="AHV63" s="18"/>
      <c r="AHW63" s="18"/>
      <c r="AHX63" s="18"/>
      <c r="AHY63" s="18"/>
      <c r="AHZ63" s="18"/>
      <c r="AIA63" s="18"/>
      <c r="AIB63" s="18"/>
      <c r="AIC63" s="18"/>
      <c r="AID63" s="18"/>
      <c r="AIE63" s="18"/>
      <c r="AIF63" s="18"/>
      <c r="AIG63" s="18"/>
      <c r="AIH63" s="18"/>
      <c r="AII63" s="18"/>
      <c r="AIJ63" s="18"/>
      <c r="AIK63" s="18"/>
      <c r="AIL63" s="18"/>
      <c r="AIM63" s="18"/>
      <c r="AIN63" s="18"/>
      <c r="AIO63" s="18"/>
      <c r="AIP63" s="18"/>
      <c r="AIQ63" s="18"/>
      <c r="AIR63" s="18"/>
      <c r="AIS63" s="18"/>
      <c r="AIT63" s="18"/>
      <c r="AIU63" s="18"/>
      <c r="AIV63" s="18"/>
      <c r="AIW63" s="18"/>
      <c r="AIX63" s="18"/>
      <c r="AIY63" s="18"/>
      <c r="AIZ63" s="18"/>
      <c r="AJA63" s="18"/>
      <c r="AJB63" s="18"/>
      <c r="AJC63" s="18"/>
      <c r="AJD63" s="18"/>
      <c r="AJE63" s="18"/>
      <c r="AJF63" s="18"/>
      <c r="AJG63" s="18"/>
      <c r="AJH63" s="18"/>
      <c r="AJI63" s="18"/>
      <c r="AJJ63" s="18"/>
      <c r="AJK63" s="18"/>
      <c r="AJL63" s="18"/>
      <c r="AJM63" s="18"/>
      <c r="AJN63" s="18"/>
      <c r="AJO63" s="18"/>
      <c r="AJP63" s="18"/>
      <c r="AJQ63" s="18"/>
      <c r="AJR63" s="18"/>
      <c r="AJS63" s="18"/>
      <c r="AJT63" s="18"/>
      <c r="AJU63" s="18"/>
      <c r="AJV63" s="18"/>
      <c r="AJW63" s="18"/>
      <c r="AJX63" s="18"/>
      <c r="AJY63" s="18"/>
      <c r="AJZ63" s="18"/>
      <c r="AKA63" s="18"/>
      <c r="AKB63" s="18"/>
      <c r="AKC63" s="18"/>
      <c r="AKD63" s="18"/>
      <c r="AKE63" s="18"/>
      <c r="AKF63" s="18"/>
      <c r="AKG63" s="18"/>
      <c r="AKH63" s="18"/>
      <c r="AKI63" s="18"/>
      <c r="AKJ63" s="18"/>
      <c r="AKK63" s="18"/>
      <c r="AKL63" s="18"/>
      <c r="AKM63" s="18"/>
      <c r="AKN63" s="18"/>
      <c r="AKO63" s="18"/>
      <c r="AKP63" s="18"/>
      <c r="AKQ63" s="18"/>
      <c r="AKR63" s="18"/>
      <c r="AKS63" s="18"/>
      <c r="AKT63" s="18"/>
      <c r="AKU63" s="18"/>
      <c r="AKV63" s="18"/>
      <c r="AKW63" s="18"/>
      <c r="AKX63" s="18"/>
      <c r="AKY63" s="18"/>
      <c r="AKZ63" s="18"/>
      <c r="ALA63" s="18"/>
      <c r="ALB63" s="18"/>
      <c r="ALC63" s="18"/>
      <c r="ALD63" s="18"/>
      <c r="ALE63" s="18"/>
      <c r="ALF63" s="18"/>
      <c r="ALG63" s="18"/>
      <c r="ALH63" s="18"/>
      <c r="ALI63" s="18"/>
      <c r="ALJ63" s="18"/>
      <c r="ALK63" s="18"/>
      <c r="ALL63" s="18"/>
      <c r="ALM63" s="18"/>
      <c r="ALN63" s="18"/>
      <c r="ALO63" s="18"/>
      <c r="ALP63" s="18"/>
      <c r="ALQ63" s="18"/>
      <c r="ALR63" s="18"/>
      <c r="ALS63" s="18"/>
      <c r="ALT63" s="18"/>
      <c r="ALU63" s="18"/>
      <c r="ALV63" s="18"/>
      <c r="ALW63" s="18"/>
      <c r="ALX63" s="18"/>
      <c r="ALY63" s="18"/>
      <c r="ALZ63" s="18"/>
      <c r="AMA63" s="18"/>
      <c r="AMB63" s="18"/>
      <c r="AMC63" s="18"/>
      <c r="AMD63" s="18"/>
      <c r="AME63" s="18"/>
      <c r="AMF63" s="18"/>
      <c r="AMG63" s="18"/>
      <c r="AMH63" s="18"/>
    </row>
    <row r="64" spans="1:1022" s="23" customFormat="1" x14ac:dyDescent="0.3">
      <c r="A64" s="33">
        <v>160</v>
      </c>
      <c r="B64" s="19"/>
      <c r="C64" s="19"/>
      <c r="D64" s="34" t="s">
        <v>334</v>
      </c>
      <c r="E64" s="34" t="s">
        <v>485</v>
      </c>
      <c r="F64" s="39"/>
      <c r="G64" s="39"/>
      <c r="I64" s="31"/>
      <c r="J64" s="40"/>
      <c r="K64" s="38" t="s">
        <v>281</v>
      </c>
      <c r="L64" s="40"/>
      <c r="M64" s="41"/>
      <c r="N64" s="32"/>
      <c r="O64" s="18"/>
      <c r="P64" s="36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8"/>
      <c r="CY64" s="18"/>
      <c r="CZ64" s="18"/>
      <c r="DA64" s="18"/>
      <c r="DB64" s="18"/>
      <c r="DC64" s="18"/>
      <c r="DD64" s="18"/>
      <c r="DE64" s="18"/>
      <c r="DF64" s="18"/>
      <c r="DG64" s="18"/>
      <c r="DH64" s="18"/>
      <c r="DI64" s="18"/>
      <c r="DJ64" s="18"/>
      <c r="DK64" s="18"/>
      <c r="DL64" s="18"/>
      <c r="DM64" s="18"/>
      <c r="DN64" s="18"/>
      <c r="DO64" s="18"/>
      <c r="DP64" s="18"/>
      <c r="DQ64" s="18"/>
      <c r="DR64" s="18"/>
      <c r="DS64" s="18"/>
      <c r="DT64" s="18"/>
      <c r="DU64" s="18"/>
      <c r="DV64" s="18"/>
      <c r="DW64" s="18"/>
      <c r="DX64" s="18"/>
      <c r="DY64" s="18"/>
      <c r="DZ64" s="18"/>
      <c r="EA64" s="18"/>
      <c r="EB64" s="18"/>
      <c r="EC64" s="18"/>
      <c r="ED64" s="18"/>
      <c r="EE64" s="18"/>
      <c r="EF64" s="18"/>
      <c r="EG64" s="18"/>
      <c r="EH64" s="18"/>
      <c r="EI64" s="18"/>
      <c r="EJ64" s="18"/>
      <c r="EK64" s="18"/>
      <c r="EL64" s="18"/>
      <c r="EM64" s="18"/>
      <c r="EN64" s="18"/>
      <c r="EO64" s="18"/>
      <c r="EP64" s="18"/>
      <c r="EQ64" s="18"/>
      <c r="ER64" s="18"/>
      <c r="ES64" s="18"/>
      <c r="ET64" s="18"/>
      <c r="EU64" s="18"/>
      <c r="EV64" s="18"/>
      <c r="EW64" s="18"/>
      <c r="EX64" s="18"/>
      <c r="EY64" s="18"/>
      <c r="EZ64" s="18"/>
      <c r="FA64" s="18"/>
      <c r="FB64" s="18"/>
      <c r="FC64" s="18"/>
      <c r="FD64" s="18"/>
      <c r="FE64" s="18"/>
      <c r="FF64" s="18"/>
      <c r="FG64" s="18"/>
      <c r="FH64" s="18"/>
      <c r="FI64" s="18"/>
      <c r="FJ64" s="18"/>
      <c r="FK64" s="18"/>
      <c r="FL64" s="18"/>
      <c r="FM64" s="18"/>
      <c r="FN64" s="18"/>
      <c r="FO64" s="18"/>
      <c r="FP64" s="18"/>
      <c r="FQ64" s="18"/>
      <c r="FR64" s="18"/>
      <c r="FS64" s="18"/>
      <c r="FT64" s="18"/>
      <c r="FU64" s="18"/>
      <c r="FV64" s="18"/>
      <c r="FW64" s="18"/>
      <c r="FX64" s="18"/>
      <c r="FY64" s="18"/>
      <c r="FZ64" s="18"/>
      <c r="GA64" s="18"/>
      <c r="GB64" s="18"/>
      <c r="GC64" s="18"/>
      <c r="GD64" s="18"/>
      <c r="GE64" s="18"/>
      <c r="GF64" s="18"/>
      <c r="GG64" s="18"/>
      <c r="GH64" s="18"/>
      <c r="GI64" s="18"/>
      <c r="GJ64" s="18"/>
      <c r="GK64" s="18"/>
      <c r="GL64" s="18"/>
      <c r="GM64" s="18"/>
      <c r="GN64" s="18"/>
      <c r="GO64" s="18"/>
      <c r="GP64" s="18"/>
      <c r="GQ64" s="18"/>
      <c r="GR64" s="18"/>
      <c r="GS64" s="18"/>
      <c r="GT64" s="18"/>
      <c r="GU64" s="18"/>
      <c r="GV64" s="18"/>
      <c r="GW64" s="18"/>
      <c r="GX64" s="18"/>
      <c r="GY64" s="18"/>
      <c r="GZ64" s="18"/>
      <c r="HA64" s="18"/>
      <c r="HB64" s="18"/>
      <c r="HC64" s="18"/>
      <c r="HD64" s="18"/>
      <c r="HE64" s="18"/>
      <c r="HF64" s="18"/>
      <c r="HG64" s="18"/>
      <c r="HH64" s="18"/>
      <c r="HI64" s="18"/>
      <c r="HJ64" s="18"/>
      <c r="HK64" s="18"/>
      <c r="HL64" s="18"/>
      <c r="HM64" s="18"/>
      <c r="HN64" s="18"/>
      <c r="HO64" s="18"/>
      <c r="HP64" s="18"/>
      <c r="HQ64" s="18"/>
      <c r="HR64" s="18"/>
      <c r="HS64" s="18"/>
      <c r="HT64" s="18"/>
      <c r="HU64" s="18"/>
      <c r="HV64" s="18"/>
      <c r="HW64" s="18"/>
      <c r="HX64" s="18"/>
      <c r="HY64" s="18"/>
      <c r="HZ64" s="18"/>
      <c r="IA64" s="18"/>
      <c r="IB64" s="18"/>
      <c r="IC64" s="18"/>
      <c r="ID64" s="18"/>
      <c r="IE64" s="18"/>
      <c r="IF64" s="18"/>
      <c r="IG64" s="18"/>
      <c r="IH64" s="18"/>
      <c r="II64" s="18"/>
      <c r="IJ64" s="18"/>
      <c r="IK64" s="18"/>
      <c r="IL64" s="18"/>
      <c r="IM64" s="18"/>
      <c r="IN64" s="18"/>
      <c r="IO64" s="18"/>
      <c r="IP64" s="18"/>
      <c r="IQ64" s="18"/>
      <c r="IR64" s="18"/>
      <c r="IS64" s="18"/>
      <c r="IT64" s="18"/>
      <c r="IU64" s="18"/>
      <c r="IV64" s="18"/>
      <c r="IW64" s="18"/>
      <c r="IX64" s="18"/>
      <c r="IY64" s="18"/>
      <c r="IZ64" s="18"/>
      <c r="JA64" s="18"/>
      <c r="JB64" s="18"/>
      <c r="JC64" s="18"/>
      <c r="JD64" s="18"/>
      <c r="JE64" s="18"/>
      <c r="JF64" s="18"/>
      <c r="JG64" s="18"/>
      <c r="JH64" s="18"/>
      <c r="JI64" s="18"/>
      <c r="JJ64" s="18"/>
      <c r="JK64" s="18"/>
      <c r="JL64" s="18"/>
      <c r="JM64" s="18"/>
      <c r="JN64" s="18"/>
      <c r="JO64" s="18"/>
      <c r="JP64" s="18"/>
      <c r="JQ64" s="18"/>
      <c r="JR64" s="18"/>
      <c r="JS64" s="18"/>
      <c r="JT64" s="18"/>
      <c r="JU64" s="18"/>
      <c r="JV64" s="18"/>
      <c r="JW64" s="18"/>
      <c r="JX64" s="18"/>
      <c r="JY64" s="18"/>
      <c r="JZ64" s="18"/>
      <c r="KA64" s="18"/>
      <c r="KB64" s="18"/>
      <c r="KC64" s="18"/>
      <c r="KD64" s="18"/>
      <c r="KE64" s="18"/>
      <c r="KF64" s="18"/>
      <c r="KG64" s="18"/>
      <c r="KH64" s="18"/>
      <c r="KI64" s="18"/>
      <c r="KJ64" s="18"/>
      <c r="KK64" s="18"/>
      <c r="KL64" s="18"/>
      <c r="KM64" s="18"/>
      <c r="KN64" s="18"/>
      <c r="KO64" s="18"/>
      <c r="KP64" s="18"/>
      <c r="KQ64" s="18"/>
      <c r="KR64" s="18"/>
      <c r="KS64" s="18"/>
      <c r="KT64" s="18"/>
      <c r="KU64" s="18"/>
      <c r="KV64" s="18"/>
      <c r="KW64" s="18"/>
      <c r="KX64" s="18"/>
      <c r="KY64" s="18"/>
      <c r="KZ64" s="18"/>
      <c r="LA64" s="18"/>
      <c r="LB64" s="18"/>
      <c r="LC64" s="18"/>
      <c r="LD64" s="18"/>
      <c r="LE64" s="18"/>
      <c r="LF64" s="18"/>
      <c r="LG64" s="18"/>
      <c r="LH64" s="18"/>
      <c r="LI64" s="18"/>
      <c r="LJ64" s="18"/>
      <c r="LK64" s="18"/>
      <c r="LL64" s="18"/>
      <c r="LM64" s="18"/>
      <c r="LN64" s="18"/>
      <c r="LO64" s="18"/>
      <c r="LP64" s="18"/>
      <c r="LQ64" s="18"/>
      <c r="LR64" s="18"/>
      <c r="LS64" s="18"/>
      <c r="LT64" s="18"/>
      <c r="LU64" s="18"/>
      <c r="LV64" s="18"/>
      <c r="LW64" s="18"/>
      <c r="LX64" s="18"/>
      <c r="LY64" s="18"/>
      <c r="LZ64" s="18"/>
      <c r="MA64" s="18"/>
      <c r="MB64" s="18"/>
      <c r="MC64" s="18"/>
      <c r="MD64" s="18"/>
      <c r="ME64" s="18"/>
      <c r="MF64" s="18"/>
      <c r="MG64" s="18"/>
      <c r="MH64" s="18"/>
      <c r="MI64" s="18"/>
      <c r="MJ64" s="18"/>
      <c r="MK64" s="18"/>
      <c r="ML64" s="18"/>
      <c r="MM64" s="18"/>
      <c r="MN64" s="18"/>
      <c r="MO64" s="18"/>
      <c r="MP64" s="18"/>
      <c r="MQ64" s="18"/>
      <c r="MR64" s="18"/>
      <c r="MS64" s="18"/>
      <c r="MT64" s="18"/>
      <c r="MU64" s="18"/>
      <c r="MV64" s="18"/>
      <c r="MW64" s="18"/>
      <c r="MX64" s="18"/>
      <c r="MY64" s="18"/>
      <c r="MZ64" s="18"/>
      <c r="NA64" s="18"/>
      <c r="NB64" s="18"/>
      <c r="NC64" s="18"/>
      <c r="ND64" s="18"/>
      <c r="NE64" s="18"/>
      <c r="NF64" s="18"/>
      <c r="NG64" s="18"/>
      <c r="NH64" s="18"/>
      <c r="NI64" s="18"/>
      <c r="NJ64" s="18"/>
      <c r="NK64" s="18"/>
      <c r="NL64" s="18"/>
      <c r="NM64" s="18"/>
      <c r="NN64" s="18"/>
      <c r="NO64" s="18"/>
      <c r="NP64" s="18"/>
      <c r="NQ64" s="18"/>
      <c r="NR64" s="18"/>
      <c r="NS64" s="18"/>
      <c r="NT64" s="18"/>
      <c r="NU64" s="18"/>
      <c r="NV64" s="18"/>
      <c r="NW64" s="18"/>
      <c r="NX64" s="18"/>
      <c r="NY64" s="18"/>
      <c r="NZ64" s="18"/>
      <c r="OA64" s="18"/>
      <c r="OB64" s="18"/>
      <c r="OC64" s="18"/>
      <c r="OD64" s="18"/>
      <c r="OE64" s="18"/>
      <c r="OF64" s="18"/>
      <c r="OG64" s="18"/>
      <c r="OH64" s="18"/>
      <c r="OI64" s="18"/>
      <c r="OJ64" s="18"/>
      <c r="OK64" s="18"/>
      <c r="OL64" s="18"/>
      <c r="OM64" s="18"/>
      <c r="ON64" s="18"/>
      <c r="OO64" s="18"/>
      <c r="OP64" s="18"/>
      <c r="OQ64" s="18"/>
      <c r="OR64" s="18"/>
      <c r="OS64" s="18"/>
      <c r="OT64" s="18"/>
      <c r="OU64" s="18"/>
      <c r="OV64" s="18"/>
      <c r="OW64" s="18"/>
      <c r="OX64" s="18"/>
      <c r="OY64" s="18"/>
      <c r="OZ64" s="18"/>
      <c r="PA64" s="18"/>
      <c r="PB64" s="18"/>
      <c r="PC64" s="18"/>
      <c r="PD64" s="18"/>
      <c r="PE64" s="18"/>
      <c r="PF64" s="18"/>
      <c r="PG64" s="18"/>
      <c r="PH64" s="18"/>
      <c r="PI64" s="18"/>
      <c r="PJ64" s="18"/>
      <c r="PK64" s="18"/>
      <c r="PL64" s="18"/>
      <c r="PM64" s="18"/>
      <c r="PN64" s="18"/>
      <c r="PO64" s="18"/>
      <c r="PP64" s="18"/>
      <c r="PQ64" s="18"/>
      <c r="PR64" s="18"/>
      <c r="PS64" s="18"/>
      <c r="PT64" s="18"/>
      <c r="PU64" s="18"/>
      <c r="PV64" s="18"/>
      <c r="PW64" s="18"/>
      <c r="PX64" s="18"/>
      <c r="PY64" s="18"/>
      <c r="PZ64" s="18"/>
      <c r="QA64" s="18"/>
      <c r="QB64" s="18"/>
      <c r="QC64" s="18"/>
      <c r="QD64" s="18"/>
      <c r="QE64" s="18"/>
      <c r="QF64" s="18"/>
      <c r="QG64" s="18"/>
      <c r="QH64" s="18"/>
      <c r="QI64" s="18"/>
      <c r="QJ64" s="18"/>
      <c r="QK64" s="18"/>
      <c r="QL64" s="18"/>
      <c r="QM64" s="18"/>
      <c r="QN64" s="18"/>
      <c r="QO64" s="18"/>
      <c r="QP64" s="18"/>
      <c r="QQ64" s="18"/>
      <c r="QR64" s="18"/>
      <c r="QS64" s="18"/>
      <c r="QT64" s="18"/>
      <c r="QU64" s="18"/>
      <c r="QV64" s="18"/>
      <c r="QW64" s="18"/>
      <c r="QX64" s="18"/>
      <c r="QY64" s="18"/>
      <c r="QZ64" s="18"/>
      <c r="RA64" s="18"/>
      <c r="RB64" s="18"/>
      <c r="RC64" s="18"/>
      <c r="RD64" s="18"/>
      <c r="RE64" s="18"/>
      <c r="RF64" s="18"/>
      <c r="RG64" s="18"/>
      <c r="RH64" s="18"/>
      <c r="RI64" s="18"/>
      <c r="RJ64" s="18"/>
      <c r="RK64" s="18"/>
      <c r="RL64" s="18"/>
      <c r="RM64" s="18"/>
      <c r="RN64" s="18"/>
      <c r="RO64" s="18"/>
      <c r="RP64" s="18"/>
      <c r="RQ64" s="18"/>
      <c r="RR64" s="18"/>
      <c r="RS64" s="18"/>
      <c r="RT64" s="18"/>
      <c r="RU64" s="18"/>
      <c r="RV64" s="18"/>
      <c r="RW64" s="18"/>
      <c r="RX64" s="18"/>
      <c r="RY64" s="18"/>
      <c r="RZ64" s="18"/>
      <c r="SA64" s="18"/>
      <c r="SB64" s="18"/>
      <c r="SC64" s="18"/>
      <c r="SD64" s="18"/>
      <c r="SE64" s="18"/>
      <c r="SF64" s="18"/>
      <c r="SG64" s="18"/>
      <c r="SH64" s="18"/>
      <c r="SI64" s="18"/>
      <c r="SJ64" s="18"/>
      <c r="SK64" s="18"/>
      <c r="SL64" s="18"/>
      <c r="SM64" s="18"/>
      <c r="SN64" s="18"/>
      <c r="SO64" s="18"/>
      <c r="SP64" s="18"/>
      <c r="SQ64" s="18"/>
      <c r="SR64" s="18"/>
      <c r="SS64" s="18"/>
      <c r="ST64" s="18"/>
      <c r="SU64" s="18"/>
      <c r="SV64" s="18"/>
      <c r="SW64" s="18"/>
      <c r="SX64" s="18"/>
      <c r="SY64" s="18"/>
      <c r="SZ64" s="18"/>
      <c r="TA64" s="18"/>
      <c r="TB64" s="18"/>
      <c r="TC64" s="18"/>
      <c r="TD64" s="18"/>
      <c r="TE64" s="18"/>
      <c r="TF64" s="18"/>
      <c r="TG64" s="18"/>
      <c r="TH64" s="18"/>
      <c r="TI64" s="18"/>
      <c r="TJ64" s="18"/>
      <c r="TK64" s="18"/>
      <c r="TL64" s="18"/>
      <c r="TM64" s="18"/>
      <c r="TN64" s="18"/>
      <c r="TO64" s="18"/>
      <c r="TP64" s="18"/>
      <c r="TQ64" s="18"/>
      <c r="TR64" s="18"/>
      <c r="TS64" s="18"/>
      <c r="TT64" s="18"/>
      <c r="TU64" s="18"/>
      <c r="TV64" s="18"/>
      <c r="TW64" s="18"/>
      <c r="TX64" s="18"/>
      <c r="TY64" s="18"/>
      <c r="TZ64" s="18"/>
      <c r="UA64" s="18"/>
      <c r="UB64" s="18"/>
      <c r="UC64" s="18"/>
      <c r="UD64" s="18"/>
      <c r="UE64" s="18"/>
      <c r="UF64" s="18"/>
      <c r="UG64" s="18"/>
      <c r="UH64" s="18"/>
      <c r="UI64" s="18"/>
      <c r="UJ64" s="18"/>
      <c r="UK64" s="18"/>
      <c r="UL64" s="18"/>
      <c r="UM64" s="18"/>
      <c r="UN64" s="18"/>
      <c r="UO64" s="18"/>
      <c r="UP64" s="18"/>
      <c r="UQ64" s="18"/>
      <c r="UR64" s="18"/>
      <c r="US64" s="18"/>
      <c r="UT64" s="18"/>
      <c r="UU64" s="18"/>
      <c r="UV64" s="18"/>
      <c r="UW64" s="18"/>
      <c r="UX64" s="18"/>
      <c r="UY64" s="18"/>
      <c r="UZ64" s="18"/>
      <c r="VA64" s="18"/>
      <c r="VB64" s="18"/>
      <c r="VC64" s="18"/>
      <c r="VD64" s="18"/>
      <c r="VE64" s="18"/>
      <c r="VF64" s="18"/>
      <c r="VG64" s="18"/>
      <c r="VH64" s="18"/>
      <c r="VI64" s="18"/>
      <c r="VJ64" s="18"/>
      <c r="VK64" s="18"/>
      <c r="VL64" s="18"/>
      <c r="VM64" s="18"/>
      <c r="VN64" s="18"/>
      <c r="VO64" s="18"/>
      <c r="VP64" s="18"/>
      <c r="VQ64" s="18"/>
      <c r="VR64" s="18"/>
      <c r="VS64" s="18"/>
      <c r="VT64" s="18"/>
      <c r="VU64" s="18"/>
      <c r="VV64" s="18"/>
      <c r="VW64" s="18"/>
      <c r="VX64" s="18"/>
      <c r="VY64" s="18"/>
      <c r="VZ64" s="18"/>
      <c r="WA64" s="18"/>
      <c r="WB64" s="18"/>
      <c r="WC64" s="18"/>
      <c r="WD64" s="18"/>
      <c r="WE64" s="18"/>
      <c r="WF64" s="18"/>
      <c r="WG64" s="18"/>
      <c r="WH64" s="18"/>
      <c r="WI64" s="18"/>
      <c r="WJ64" s="18"/>
      <c r="WK64" s="18"/>
      <c r="WL64" s="18"/>
      <c r="WM64" s="18"/>
      <c r="WN64" s="18"/>
      <c r="WO64" s="18"/>
      <c r="WP64" s="18"/>
      <c r="WQ64" s="18"/>
      <c r="WR64" s="18"/>
      <c r="WS64" s="18"/>
      <c r="WT64" s="18"/>
      <c r="WU64" s="18"/>
      <c r="WV64" s="18"/>
      <c r="WW64" s="18"/>
      <c r="WX64" s="18"/>
      <c r="WY64" s="18"/>
      <c r="WZ64" s="18"/>
      <c r="XA64" s="18"/>
      <c r="XB64" s="18"/>
      <c r="XC64" s="18"/>
      <c r="XD64" s="18"/>
      <c r="XE64" s="18"/>
      <c r="XF64" s="18"/>
      <c r="XG64" s="18"/>
      <c r="XH64" s="18"/>
      <c r="XI64" s="18"/>
      <c r="XJ64" s="18"/>
      <c r="XK64" s="18"/>
      <c r="XL64" s="18"/>
      <c r="XM64" s="18"/>
      <c r="XN64" s="18"/>
      <c r="XO64" s="18"/>
      <c r="XP64" s="18"/>
      <c r="XQ64" s="18"/>
      <c r="XR64" s="18"/>
      <c r="XS64" s="18"/>
      <c r="XT64" s="18"/>
      <c r="XU64" s="18"/>
      <c r="XV64" s="18"/>
      <c r="XW64" s="18"/>
      <c r="XX64" s="18"/>
      <c r="XY64" s="18"/>
      <c r="XZ64" s="18"/>
      <c r="YA64" s="18"/>
      <c r="YB64" s="18"/>
      <c r="YC64" s="18"/>
      <c r="YD64" s="18"/>
      <c r="YE64" s="18"/>
      <c r="YF64" s="18"/>
      <c r="YG64" s="18"/>
      <c r="YH64" s="18"/>
      <c r="YI64" s="18"/>
      <c r="YJ64" s="18"/>
      <c r="YK64" s="18"/>
      <c r="YL64" s="18"/>
      <c r="YM64" s="18"/>
      <c r="YN64" s="18"/>
      <c r="YO64" s="18"/>
      <c r="YP64" s="18"/>
      <c r="YQ64" s="18"/>
      <c r="YR64" s="18"/>
      <c r="YS64" s="18"/>
      <c r="YT64" s="18"/>
      <c r="YU64" s="18"/>
      <c r="YV64" s="18"/>
      <c r="YW64" s="18"/>
      <c r="YX64" s="18"/>
      <c r="YY64" s="18"/>
      <c r="YZ64" s="18"/>
      <c r="ZA64" s="18"/>
      <c r="ZB64" s="18"/>
      <c r="ZC64" s="18"/>
      <c r="ZD64" s="18"/>
      <c r="ZE64" s="18"/>
      <c r="ZF64" s="18"/>
      <c r="ZG64" s="18"/>
      <c r="ZH64" s="18"/>
      <c r="ZI64" s="18"/>
      <c r="ZJ64" s="18"/>
      <c r="ZK64" s="18"/>
      <c r="ZL64" s="18"/>
      <c r="ZM64" s="18"/>
      <c r="ZN64" s="18"/>
      <c r="ZO64" s="18"/>
      <c r="ZP64" s="18"/>
      <c r="ZQ64" s="18"/>
      <c r="ZR64" s="18"/>
      <c r="ZS64" s="18"/>
      <c r="ZT64" s="18"/>
      <c r="ZU64" s="18"/>
      <c r="ZV64" s="18"/>
      <c r="ZW64" s="18"/>
      <c r="ZX64" s="18"/>
      <c r="ZY64" s="18"/>
      <c r="ZZ64" s="18"/>
      <c r="AAA64" s="18"/>
      <c r="AAB64" s="18"/>
      <c r="AAC64" s="18"/>
      <c r="AAD64" s="18"/>
      <c r="AAE64" s="18"/>
      <c r="AAF64" s="18"/>
      <c r="AAG64" s="18"/>
      <c r="AAH64" s="18"/>
      <c r="AAI64" s="18"/>
      <c r="AAJ64" s="18"/>
      <c r="AAK64" s="18"/>
      <c r="AAL64" s="18"/>
      <c r="AAM64" s="18"/>
      <c r="AAN64" s="18"/>
      <c r="AAO64" s="18"/>
      <c r="AAP64" s="18"/>
      <c r="AAQ64" s="18"/>
      <c r="AAR64" s="18"/>
      <c r="AAS64" s="18"/>
      <c r="AAT64" s="18"/>
      <c r="AAU64" s="18"/>
      <c r="AAV64" s="18"/>
      <c r="AAW64" s="18"/>
      <c r="AAX64" s="18"/>
      <c r="AAY64" s="18"/>
      <c r="AAZ64" s="18"/>
      <c r="ABA64" s="18"/>
      <c r="ABB64" s="18"/>
      <c r="ABC64" s="18"/>
      <c r="ABD64" s="18"/>
      <c r="ABE64" s="18"/>
      <c r="ABF64" s="18"/>
      <c r="ABG64" s="18"/>
      <c r="ABH64" s="18"/>
      <c r="ABI64" s="18"/>
      <c r="ABJ64" s="18"/>
      <c r="ABK64" s="18"/>
      <c r="ABL64" s="18"/>
      <c r="ABM64" s="18"/>
      <c r="ABN64" s="18"/>
      <c r="ABO64" s="18"/>
      <c r="ABP64" s="18"/>
      <c r="ABQ64" s="18"/>
      <c r="ABR64" s="18"/>
      <c r="ABS64" s="18"/>
      <c r="ABT64" s="18"/>
      <c r="ABU64" s="18"/>
      <c r="ABV64" s="18"/>
      <c r="ABW64" s="18"/>
      <c r="ABX64" s="18"/>
      <c r="ABY64" s="18"/>
      <c r="ABZ64" s="18"/>
      <c r="ACA64" s="18"/>
      <c r="ACB64" s="18"/>
      <c r="ACC64" s="18"/>
      <c r="ACD64" s="18"/>
      <c r="ACE64" s="18"/>
      <c r="ACF64" s="18"/>
      <c r="ACG64" s="18"/>
      <c r="ACH64" s="18"/>
      <c r="ACI64" s="18"/>
      <c r="ACJ64" s="18"/>
      <c r="ACK64" s="18"/>
      <c r="ACL64" s="18"/>
      <c r="ACM64" s="18"/>
      <c r="ACN64" s="18"/>
      <c r="ACO64" s="18"/>
      <c r="ACP64" s="18"/>
      <c r="ACQ64" s="18"/>
      <c r="ACR64" s="18"/>
      <c r="ACS64" s="18"/>
      <c r="ACT64" s="18"/>
      <c r="ACU64" s="18"/>
      <c r="ACV64" s="18"/>
      <c r="ACW64" s="18"/>
      <c r="ACX64" s="18"/>
      <c r="ACY64" s="18"/>
      <c r="ACZ64" s="18"/>
      <c r="ADA64" s="18"/>
      <c r="ADB64" s="18"/>
      <c r="ADC64" s="18"/>
      <c r="ADD64" s="18"/>
      <c r="ADE64" s="18"/>
      <c r="ADF64" s="18"/>
      <c r="ADG64" s="18"/>
      <c r="ADH64" s="18"/>
      <c r="ADI64" s="18"/>
      <c r="ADJ64" s="18"/>
      <c r="ADK64" s="18"/>
      <c r="ADL64" s="18"/>
      <c r="ADM64" s="18"/>
      <c r="ADN64" s="18"/>
      <c r="ADO64" s="18"/>
      <c r="ADP64" s="18"/>
      <c r="ADQ64" s="18"/>
      <c r="ADR64" s="18"/>
      <c r="ADS64" s="18"/>
      <c r="ADT64" s="18"/>
      <c r="ADU64" s="18"/>
      <c r="ADV64" s="18"/>
      <c r="ADW64" s="18"/>
      <c r="ADX64" s="18"/>
      <c r="ADY64" s="18"/>
      <c r="ADZ64" s="18"/>
      <c r="AEA64" s="18"/>
      <c r="AEB64" s="18"/>
      <c r="AEC64" s="18"/>
      <c r="AED64" s="18"/>
      <c r="AEE64" s="18"/>
      <c r="AEF64" s="18"/>
      <c r="AEG64" s="18"/>
      <c r="AEH64" s="18"/>
      <c r="AEI64" s="18"/>
      <c r="AEJ64" s="18"/>
      <c r="AEK64" s="18"/>
      <c r="AEL64" s="18"/>
      <c r="AEM64" s="18"/>
      <c r="AEN64" s="18"/>
      <c r="AEO64" s="18"/>
      <c r="AEP64" s="18"/>
      <c r="AEQ64" s="18"/>
      <c r="AER64" s="18"/>
      <c r="AES64" s="18"/>
      <c r="AET64" s="18"/>
      <c r="AEU64" s="18"/>
      <c r="AEV64" s="18"/>
      <c r="AEW64" s="18"/>
      <c r="AEX64" s="18"/>
      <c r="AEY64" s="18"/>
      <c r="AEZ64" s="18"/>
      <c r="AFA64" s="18"/>
      <c r="AFB64" s="18"/>
      <c r="AFC64" s="18"/>
      <c r="AFD64" s="18"/>
      <c r="AFE64" s="18"/>
      <c r="AFF64" s="18"/>
      <c r="AFG64" s="18"/>
      <c r="AFH64" s="18"/>
      <c r="AFI64" s="18"/>
      <c r="AFJ64" s="18"/>
      <c r="AFK64" s="18"/>
      <c r="AFL64" s="18"/>
      <c r="AFM64" s="18"/>
      <c r="AFN64" s="18"/>
      <c r="AFO64" s="18"/>
      <c r="AFP64" s="18"/>
      <c r="AFQ64" s="18"/>
      <c r="AFR64" s="18"/>
      <c r="AFS64" s="18"/>
      <c r="AFT64" s="18"/>
      <c r="AFU64" s="18"/>
      <c r="AFV64" s="18"/>
      <c r="AFW64" s="18"/>
      <c r="AFX64" s="18"/>
      <c r="AFY64" s="18"/>
      <c r="AFZ64" s="18"/>
      <c r="AGA64" s="18"/>
      <c r="AGB64" s="18"/>
      <c r="AGC64" s="18"/>
      <c r="AGD64" s="18"/>
      <c r="AGE64" s="18"/>
      <c r="AGF64" s="18"/>
      <c r="AGG64" s="18"/>
      <c r="AGH64" s="18"/>
      <c r="AGI64" s="18"/>
      <c r="AGJ64" s="18"/>
      <c r="AGK64" s="18"/>
      <c r="AGL64" s="18"/>
      <c r="AGM64" s="18"/>
      <c r="AGN64" s="18"/>
      <c r="AGO64" s="18"/>
      <c r="AGP64" s="18"/>
      <c r="AGQ64" s="18"/>
      <c r="AGR64" s="18"/>
      <c r="AGS64" s="18"/>
      <c r="AGT64" s="18"/>
      <c r="AGU64" s="18"/>
      <c r="AGV64" s="18"/>
      <c r="AGW64" s="18"/>
      <c r="AGX64" s="18"/>
      <c r="AGY64" s="18"/>
      <c r="AGZ64" s="18"/>
      <c r="AHA64" s="18"/>
      <c r="AHB64" s="18"/>
      <c r="AHC64" s="18"/>
      <c r="AHD64" s="18"/>
      <c r="AHE64" s="18"/>
      <c r="AHF64" s="18"/>
      <c r="AHG64" s="18"/>
      <c r="AHH64" s="18"/>
      <c r="AHI64" s="18"/>
      <c r="AHJ64" s="18"/>
      <c r="AHK64" s="18"/>
      <c r="AHL64" s="18"/>
      <c r="AHM64" s="18"/>
      <c r="AHN64" s="18"/>
      <c r="AHO64" s="18"/>
      <c r="AHP64" s="18"/>
      <c r="AHQ64" s="18"/>
      <c r="AHR64" s="18"/>
      <c r="AHS64" s="18"/>
      <c r="AHT64" s="18"/>
      <c r="AHU64" s="18"/>
      <c r="AHV64" s="18"/>
      <c r="AHW64" s="18"/>
      <c r="AHX64" s="18"/>
      <c r="AHY64" s="18"/>
      <c r="AHZ64" s="18"/>
      <c r="AIA64" s="18"/>
      <c r="AIB64" s="18"/>
      <c r="AIC64" s="18"/>
      <c r="AID64" s="18"/>
      <c r="AIE64" s="18"/>
      <c r="AIF64" s="18"/>
      <c r="AIG64" s="18"/>
      <c r="AIH64" s="18"/>
      <c r="AII64" s="18"/>
      <c r="AIJ64" s="18"/>
      <c r="AIK64" s="18"/>
      <c r="AIL64" s="18"/>
      <c r="AIM64" s="18"/>
      <c r="AIN64" s="18"/>
      <c r="AIO64" s="18"/>
      <c r="AIP64" s="18"/>
      <c r="AIQ64" s="18"/>
      <c r="AIR64" s="18"/>
      <c r="AIS64" s="18"/>
      <c r="AIT64" s="18"/>
      <c r="AIU64" s="18"/>
      <c r="AIV64" s="18"/>
      <c r="AIW64" s="18"/>
      <c r="AIX64" s="18"/>
      <c r="AIY64" s="18"/>
      <c r="AIZ64" s="18"/>
      <c r="AJA64" s="18"/>
      <c r="AJB64" s="18"/>
      <c r="AJC64" s="18"/>
      <c r="AJD64" s="18"/>
      <c r="AJE64" s="18"/>
      <c r="AJF64" s="18"/>
      <c r="AJG64" s="18"/>
      <c r="AJH64" s="18"/>
      <c r="AJI64" s="18"/>
      <c r="AJJ64" s="18"/>
      <c r="AJK64" s="18"/>
      <c r="AJL64" s="18"/>
      <c r="AJM64" s="18"/>
      <c r="AJN64" s="18"/>
      <c r="AJO64" s="18"/>
      <c r="AJP64" s="18"/>
      <c r="AJQ64" s="18"/>
      <c r="AJR64" s="18"/>
      <c r="AJS64" s="18"/>
      <c r="AJT64" s="18"/>
      <c r="AJU64" s="18"/>
      <c r="AJV64" s="18"/>
      <c r="AJW64" s="18"/>
      <c r="AJX64" s="18"/>
      <c r="AJY64" s="18"/>
      <c r="AJZ64" s="18"/>
      <c r="AKA64" s="18"/>
      <c r="AKB64" s="18"/>
      <c r="AKC64" s="18"/>
      <c r="AKD64" s="18"/>
      <c r="AKE64" s="18"/>
      <c r="AKF64" s="18"/>
      <c r="AKG64" s="18"/>
      <c r="AKH64" s="18"/>
      <c r="AKI64" s="18"/>
      <c r="AKJ64" s="18"/>
      <c r="AKK64" s="18"/>
      <c r="AKL64" s="18"/>
      <c r="AKM64" s="18"/>
      <c r="AKN64" s="18"/>
      <c r="AKO64" s="18"/>
      <c r="AKP64" s="18"/>
      <c r="AKQ64" s="18"/>
      <c r="AKR64" s="18"/>
      <c r="AKS64" s="18"/>
      <c r="AKT64" s="18"/>
      <c r="AKU64" s="18"/>
      <c r="AKV64" s="18"/>
      <c r="AKW64" s="18"/>
      <c r="AKX64" s="18"/>
      <c r="AKY64" s="18"/>
      <c r="AKZ64" s="18"/>
      <c r="ALA64" s="18"/>
      <c r="ALB64" s="18"/>
      <c r="ALC64" s="18"/>
      <c r="ALD64" s="18"/>
      <c r="ALE64" s="18"/>
      <c r="ALF64" s="18"/>
      <c r="ALG64" s="18"/>
      <c r="ALH64" s="18"/>
      <c r="ALI64" s="18"/>
      <c r="ALJ64" s="18"/>
      <c r="ALK64" s="18"/>
      <c r="ALL64" s="18"/>
      <c r="ALM64" s="18"/>
      <c r="ALN64" s="18"/>
      <c r="ALO64" s="18"/>
      <c r="ALP64" s="18"/>
      <c r="ALQ64" s="18"/>
      <c r="ALR64" s="18"/>
      <c r="ALS64" s="18"/>
      <c r="ALT64" s="18"/>
      <c r="ALU64" s="18"/>
      <c r="ALV64" s="18"/>
      <c r="ALW64" s="18"/>
      <c r="ALX64" s="18"/>
      <c r="ALY64" s="18"/>
      <c r="ALZ64" s="18"/>
      <c r="AMA64" s="18"/>
      <c r="AMB64" s="18"/>
      <c r="AMC64" s="18"/>
      <c r="AMD64" s="18"/>
      <c r="AME64" s="18"/>
      <c r="AMF64" s="18"/>
      <c r="AMG64" s="18"/>
      <c r="AMH64" s="18"/>
    </row>
    <row r="65" spans="1:1022" s="23" customFormat="1" x14ac:dyDescent="0.3">
      <c r="A65" s="33">
        <v>161</v>
      </c>
      <c r="B65" s="19"/>
      <c r="C65" s="19"/>
      <c r="D65" s="34" t="s">
        <v>335</v>
      </c>
      <c r="E65" s="34" t="s">
        <v>486</v>
      </c>
      <c r="F65" s="39"/>
      <c r="G65" s="39"/>
      <c r="H65" s="38" t="s">
        <v>281</v>
      </c>
      <c r="I65" s="31"/>
      <c r="J65" s="40"/>
      <c r="K65" s="31"/>
      <c r="L65" s="40"/>
      <c r="M65" s="41"/>
      <c r="N65" s="32"/>
      <c r="O65" s="18"/>
      <c r="P65" s="36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18"/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8"/>
      <c r="CA65" s="18"/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8"/>
      <c r="CS65" s="18"/>
      <c r="CT65" s="18"/>
      <c r="CU65" s="18"/>
      <c r="CV65" s="18"/>
      <c r="CW65" s="18"/>
      <c r="CX65" s="18"/>
      <c r="CY65" s="18"/>
      <c r="CZ65" s="18"/>
      <c r="DA65" s="18"/>
      <c r="DB65" s="18"/>
      <c r="DC65" s="18"/>
      <c r="DD65" s="18"/>
      <c r="DE65" s="18"/>
      <c r="DF65" s="18"/>
      <c r="DG65" s="18"/>
      <c r="DH65" s="18"/>
      <c r="DI65" s="18"/>
      <c r="DJ65" s="18"/>
      <c r="DK65" s="18"/>
      <c r="DL65" s="18"/>
      <c r="DM65" s="18"/>
      <c r="DN65" s="18"/>
      <c r="DO65" s="18"/>
      <c r="DP65" s="18"/>
      <c r="DQ65" s="18"/>
      <c r="DR65" s="18"/>
      <c r="DS65" s="18"/>
      <c r="DT65" s="18"/>
      <c r="DU65" s="18"/>
      <c r="DV65" s="18"/>
      <c r="DW65" s="18"/>
      <c r="DX65" s="18"/>
      <c r="DY65" s="18"/>
      <c r="DZ65" s="18"/>
      <c r="EA65" s="18"/>
      <c r="EB65" s="18"/>
      <c r="EC65" s="18"/>
      <c r="ED65" s="18"/>
      <c r="EE65" s="18"/>
      <c r="EF65" s="18"/>
      <c r="EG65" s="18"/>
      <c r="EH65" s="18"/>
      <c r="EI65" s="18"/>
      <c r="EJ65" s="18"/>
      <c r="EK65" s="18"/>
      <c r="EL65" s="18"/>
      <c r="EM65" s="18"/>
      <c r="EN65" s="18"/>
      <c r="EO65" s="18"/>
      <c r="EP65" s="18"/>
      <c r="EQ65" s="18"/>
      <c r="ER65" s="18"/>
      <c r="ES65" s="18"/>
      <c r="ET65" s="18"/>
      <c r="EU65" s="18"/>
      <c r="EV65" s="18"/>
      <c r="EW65" s="18"/>
      <c r="EX65" s="18"/>
      <c r="EY65" s="18"/>
      <c r="EZ65" s="18"/>
      <c r="FA65" s="18"/>
      <c r="FB65" s="18"/>
      <c r="FC65" s="18"/>
      <c r="FD65" s="18"/>
      <c r="FE65" s="18"/>
      <c r="FF65" s="18"/>
      <c r="FG65" s="18"/>
      <c r="FH65" s="18"/>
      <c r="FI65" s="18"/>
      <c r="FJ65" s="18"/>
      <c r="FK65" s="18"/>
      <c r="FL65" s="18"/>
      <c r="FM65" s="18"/>
      <c r="FN65" s="18"/>
      <c r="FO65" s="18"/>
      <c r="FP65" s="18"/>
      <c r="FQ65" s="18"/>
      <c r="FR65" s="18"/>
      <c r="FS65" s="18"/>
      <c r="FT65" s="18"/>
      <c r="FU65" s="18"/>
      <c r="FV65" s="18"/>
      <c r="FW65" s="18"/>
      <c r="FX65" s="18"/>
      <c r="FY65" s="18"/>
      <c r="FZ65" s="18"/>
      <c r="GA65" s="18"/>
      <c r="GB65" s="18"/>
      <c r="GC65" s="18"/>
      <c r="GD65" s="18"/>
      <c r="GE65" s="18"/>
      <c r="GF65" s="18"/>
      <c r="GG65" s="18"/>
      <c r="GH65" s="18"/>
      <c r="GI65" s="18"/>
      <c r="GJ65" s="18"/>
      <c r="GK65" s="18"/>
      <c r="GL65" s="18"/>
      <c r="GM65" s="18"/>
      <c r="GN65" s="18"/>
      <c r="GO65" s="18"/>
      <c r="GP65" s="18"/>
      <c r="GQ65" s="18"/>
      <c r="GR65" s="18"/>
      <c r="GS65" s="18"/>
      <c r="GT65" s="18"/>
      <c r="GU65" s="18"/>
      <c r="GV65" s="18"/>
      <c r="GW65" s="18"/>
      <c r="GX65" s="18"/>
      <c r="GY65" s="18"/>
      <c r="GZ65" s="18"/>
      <c r="HA65" s="18"/>
      <c r="HB65" s="18"/>
      <c r="HC65" s="18"/>
      <c r="HD65" s="18"/>
      <c r="HE65" s="18"/>
      <c r="HF65" s="18"/>
      <c r="HG65" s="18"/>
      <c r="HH65" s="18"/>
      <c r="HI65" s="18"/>
      <c r="HJ65" s="18"/>
      <c r="HK65" s="18"/>
      <c r="HL65" s="18"/>
      <c r="HM65" s="18"/>
      <c r="HN65" s="18"/>
      <c r="HO65" s="18"/>
      <c r="HP65" s="18"/>
      <c r="HQ65" s="18"/>
      <c r="HR65" s="18"/>
      <c r="HS65" s="18"/>
      <c r="HT65" s="18"/>
      <c r="HU65" s="18"/>
      <c r="HV65" s="18"/>
      <c r="HW65" s="18"/>
      <c r="HX65" s="18"/>
      <c r="HY65" s="18"/>
      <c r="HZ65" s="18"/>
      <c r="IA65" s="18"/>
      <c r="IB65" s="18"/>
      <c r="IC65" s="18"/>
      <c r="ID65" s="18"/>
      <c r="IE65" s="18"/>
      <c r="IF65" s="18"/>
      <c r="IG65" s="18"/>
      <c r="IH65" s="18"/>
      <c r="II65" s="18"/>
      <c r="IJ65" s="18"/>
      <c r="IK65" s="18"/>
      <c r="IL65" s="18"/>
      <c r="IM65" s="18"/>
      <c r="IN65" s="18"/>
      <c r="IO65" s="18"/>
      <c r="IP65" s="18"/>
      <c r="IQ65" s="18"/>
      <c r="IR65" s="18"/>
      <c r="IS65" s="18"/>
      <c r="IT65" s="18"/>
      <c r="IU65" s="18"/>
      <c r="IV65" s="18"/>
      <c r="IW65" s="18"/>
      <c r="IX65" s="18"/>
      <c r="IY65" s="18"/>
      <c r="IZ65" s="18"/>
      <c r="JA65" s="18"/>
      <c r="JB65" s="18"/>
      <c r="JC65" s="18"/>
      <c r="JD65" s="18"/>
      <c r="JE65" s="18"/>
      <c r="JF65" s="18"/>
      <c r="JG65" s="18"/>
      <c r="JH65" s="18"/>
      <c r="JI65" s="18"/>
      <c r="JJ65" s="18"/>
      <c r="JK65" s="18"/>
      <c r="JL65" s="18"/>
      <c r="JM65" s="18"/>
      <c r="JN65" s="18"/>
      <c r="JO65" s="18"/>
      <c r="JP65" s="18"/>
      <c r="JQ65" s="18"/>
      <c r="JR65" s="18"/>
      <c r="JS65" s="18"/>
      <c r="JT65" s="18"/>
      <c r="JU65" s="18"/>
      <c r="JV65" s="18"/>
      <c r="JW65" s="18"/>
      <c r="JX65" s="18"/>
      <c r="JY65" s="18"/>
      <c r="JZ65" s="18"/>
      <c r="KA65" s="18"/>
      <c r="KB65" s="18"/>
      <c r="KC65" s="18"/>
      <c r="KD65" s="18"/>
      <c r="KE65" s="18"/>
      <c r="KF65" s="18"/>
      <c r="KG65" s="18"/>
      <c r="KH65" s="18"/>
      <c r="KI65" s="18"/>
      <c r="KJ65" s="18"/>
      <c r="KK65" s="18"/>
      <c r="KL65" s="18"/>
      <c r="KM65" s="18"/>
      <c r="KN65" s="18"/>
      <c r="KO65" s="18"/>
      <c r="KP65" s="18"/>
      <c r="KQ65" s="18"/>
      <c r="KR65" s="18"/>
      <c r="KS65" s="18"/>
      <c r="KT65" s="18"/>
      <c r="KU65" s="18"/>
      <c r="KV65" s="18"/>
      <c r="KW65" s="18"/>
      <c r="KX65" s="18"/>
      <c r="KY65" s="18"/>
      <c r="KZ65" s="18"/>
      <c r="LA65" s="18"/>
      <c r="LB65" s="18"/>
      <c r="LC65" s="18"/>
      <c r="LD65" s="18"/>
      <c r="LE65" s="18"/>
      <c r="LF65" s="18"/>
      <c r="LG65" s="18"/>
      <c r="LH65" s="18"/>
      <c r="LI65" s="18"/>
      <c r="LJ65" s="18"/>
      <c r="LK65" s="18"/>
      <c r="LL65" s="18"/>
      <c r="LM65" s="18"/>
      <c r="LN65" s="18"/>
      <c r="LO65" s="18"/>
      <c r="LP65" s="18"/>
      <c r="LQ65" s="18"/>
      <c r="LR65" s="18"/>
      <c r="LS65" s="18"/>
      <c r="LT65" s="18"/>
      <c r="LU65" s="18"/>
      <c r="LV65" s="18"/>
      <c r="LW65" s="18"/>
      <c r="LX65" s="18"/>
      <c r="LY65" s="18"/>
      <c r="LZ65" s="18"/>
      <c r="MA65" s="18"/>
      <c r="MB65" s="18"/>
      <c r="MC65" s="18"/>
      <c r="MD65" s="18"/>
      <c r="ME65" s="18"/>
      <c r="MF65" s="18"/>
      <c r="MG65" s="18"/>
      <c r="MH65" s="18"/>
      <c r="MI65" s="18"/>
      <c r="MJ65" s="18"/>
      <c r="MK65" s="18"/>
      <c r="ML65" s="18"/>
      <c r="MM65" s="18"/>
      <c r="MN65" s="18"/>
      <c r="MO65" s="18"/>
      <c r="MP65" s="18"/>
      <c r="MQ65" s="18"/>
      <c r="MR65" s="18"/>
      <c r="MS65" s="18"/>
      <c r="MT65" s="18"/>
      <c r="MU65" s="18"/>
      <c r="MV65" s="18"/>
      <c r="MW65" s="18"/>
      <c r="MX65" s="18"/>
      <c r="MY65" s="18"/>
      <c r="MZ65" s="18"/>
      <c r="NA65" s="18"/>
      <c r="NB65" s="18"/>
      <c r="NC65" s="18"/>
      <c r="ND65" s="18"/>
      <c r="NE65" s="18"/>
      <c r="NF65" s="18"/>
      <c r="NG65" s="18"/>
      <c r="NH65" s="18"/>
      <c r="NI65" s="18"/>
      <c r="NJ65" s="18"/>
      <c r="NK65" s="18"/>
      <c r="NL65" s="18"/>
      <c r="NM65" s="18"/>
      <c r="NN65" s="18"/>
      <c r="NO65" s="18"/>
      <c r="NP65" s="18"/>
      <c r="NQ65" s="18"/>
      <c r="NR65" s="18"/>
      <c r="NS65" s="18"/>
      <c r="NT65" s="18"/>
      <c r="NU65" s="18"/>
      <c r="NV65" s="18"/>
      <c r="NW65" s="18"/>
      <c r="NX65" s="18"/>
      <c r="NY65" s="18"/>
      <c r="NZ65" s="18"/>
      <c r="OA65" s="18"/>
      <c r="OB65" s="18"/>
      <c r="OC65" s="18"/>
      <c r="OD65" s="18"/>
      <c r="OE65" s="18"/>
      <c r="OF65" s="18"/>
      <c r="OG65" s="18"/>
      <c r="OH65" s="18"/>
      <c r="OI65" s="18"/>
      <c r="OJ65" s="18"/>
      <c r="OK65" s="18"/>
      <c r="OL65" s="18"/>
      <c r="OM65" s="18"/>
      <c r="ON65" s="18"/>
      <c r="OO65" s="18"/>
      <c r="OP65" s="18"/>
      <c r="OQ65" s="18"/>
      <c r="OR65" s="18"/>
      <c r="OS65" s="18"/>
      <c r="OT65" s="18"/>
      <c r="OU65" s="18"/>
      <c r="OV65" s="18"/>
      <c r="OW65" s="18"/>
      <c r="OX65" s="18"/>
      <c r="OY65" s="18"/>
      <c r="OZ65" s="18"/>
      <c r="PA65" s="18"/>
      <c r="PB65" s="18"/>
      <c r="PC65" s="18"/>
      <c r="PD65" s="18"/>
      <c r="PE65" s="18"/>
      <c r="PF65" s="18"/>
      <c r="PG65" s="18"/>
      <c r="PH65" s="18"/>
      <c r="PI65" s="18"/>
      <c r="PJ65" s="18"/>
      <c r="PK65" s="18"/>
      <c r="PL65" s="18"/>
      <c r="PM65" s="18"/>
      <c r="PN65" s="18"/>
      <c r="PO65" s="18"/>
      <c r="PP65" s="18"/>
      <c r="PQ65" s="18"/>
      <c r="PR65" s="18"/>
      <c r="PS65" s="18"/>
      <c r="PT65" s="18"/>
      <c r="PU65" s="18"/>
      <c r="PV65" s="18"/>
      <c r="PW65" s="18"/>
      <c r="PX65" s="18"/>
      <c r="PY65" s="18"/>
      <c r="PZ65" s="18"/>
      <c r="QA65" s="18"/>
      <c r="QB65" s="18"/>
      <c r="QC65" s="18"/>
      <c r="QD65" s="18"/>
      <c r="QE65" s="18"/>
      <c r="QF65" s="18"/>
      <c r="QG65" s="18"/>
      <c r="QH65" s="18"/>
      <c r="QI65" s="18"/>
      <c r="QJ65" s="18"/>
      <c r="QK65" s="18"/>
      <c r="QL65" s="18"/>
      <c r="QM65" s="18"/>
      <c r="QN65" s="18"/>
      <c r="QO65" s="18"/>
      <c r="QP65" s="18"/>
      <c r="QQ65" s="18"/>
      <c r="QR65" s="18"/>
      <c r="QS65" s="18"/>
      <c r="QT65" s="18"/>
      <c r="QU65" s="18"/>
      <c r="QV65" s="18"/>
      <c r="QW65" s="18"/>
      <c r="QX65" s="18"/>
      <c r="QY65" s="18"/>
      <c r="QZ65" s="18"/>
      <c r="RA65" s="18"/>
      <c r="RB65" s="18"/>
      <c r="RC65" s="18"/>
      <c r="RD65" s="18"/>
      <c r="RE65" s="18"/>
      <c r="RF65" s="18"/>
      <c r="RG65" s="18"/>
      <c r="RH65" s="18"/>
      <c r="RI65" s="18"/>
      <c r="RJ65" s="18"/>
      <c r="RK65" s="18"/>
      <c r="RL65" s="18"/>
      <c r="RM65" s="18"/>
      <c r="RN65" s="18"/>
      <c r="RO65" s="18"/>
      <c r="RP65" s="18"/>
      <c r="RQ65" s="18"/>
      <c r="RR65" s="18"/>
      <c r="RS65" s="18"/>
      <c r="RT65" s="18"/>
      <c r="RU65" s="18"/>
      <c r="RV65" s="18"/>
      <c r="RW65" s="18"/>
      <c r="RX65" s="18"/>
      <c r="RY65" s="18"/>
      <c r="RZ65" s="18"/>
      <c r="SA65" s="18"/>
      <c r="SB65" s="18"/>
      <c r="SC65" s="18"/>
      <c r="SD65" s="18"/>
      <c r="SE65" s="18"/>
      <c r="SF65" s="18"/>
      <c r="SG65" s="18"/>
      <c r="SH65" s="18"/>
      <c r="SI65" s="18"/>
      <c r="SJ65" s="18"/>
      <c r="SK65" s="18"/>
      <c r="SL65" s="18"/>
      <c r="SM65" s="18"/>
      <c r="SN65" s="18"/>
      <c r="SO65" s="18"/>
      <c r="SP65" s="18"/>
      <c r="SQ65" s="18"/>
      <c r="SR65" s="18"/>
      <c r="SS65" s="18"/>
      <c r="ST65" s="18"/>
      <c r="SU65" s="18"/>
      <c r="SV65" s="18"/>
      <c r="SW65" s="18"/>
      <c r="SX65" s="18"/>
      <c r="SY65" s="18"/>
      <c r="SZ65" s="18"/>
      <c r="TA65" s="18"/>
      <c r="TB65" s="18"/>
      <c r="TC65" s="18"/>
      <c r="TD65" s="18"/>
      <c r="TE65" s="18"/>
      <c r="TF65" s="18"/>
      <c r="TG65" s="18"/>
      <c r="TH65" s="18"/>
      <c r="TI65" s="18"/>
      <c r="TJ65" s="18"/>
      <c r="TK65" s="18"/>
      <c r="TL65" s="18"/>
      <c r="TM65" s="18"/>
      <c r="TN65" s="18"/>
      <c r="TO65" s="18"/>
      <c r="TP65" s="18"/>
      <c r="TQ65" s="18"/>
      <c r="TR65" s="18"/>
      <c r="TS65" s="18"/>
      <c r="TT65" s="18"/>
      <c r="TU65" s="18"/>
      <c r="TV65" s="18"/>
      <c r="TW65" s="18"/>
      <c r="TX65" s="18"/>
      <c r="TY65" s="18"/>
      <c r="TZ65" s="18"/>
      <c r="UA65" s="18"/>
      <c r="UB65" s="18"/>
      <c r="UC65" s="18"/>
      <c r="UD65" s="18"/>
      <c r="UE65" s="18"/>
      <c r="UF65" s="18"/>
      <c r="UG65" s="18"/>
      <c r="UH65" s="18"/>
      <c r="UI65" s="18"/>
      <c r="UJ65" s="18"/>
      <c r="UK65" s="18"/>
      <c r="UL65" s="18"/>
      <c r="UM65" s="18"/>
      <c r="UN65" s="18"/>
      <c r="UO65" s="18"/>
      <c r="UP65" s="18"/>
      <c r="UQ65" s="18"/>
      <c r="UR65" s="18"/>
      <c r="US65" s="18"/>
      <c r="UT65" s="18"/>
      <c r="UU65" s="18"/>
      <c r="UV65" s="18"/>
      <c r="UW65" s="18"/>
      <c r="UX65" s="18"/>
      <c r="UY65" s="18"/>
      <c r="UZ65" s="18"/>
      <c r="VA65" s="18"/>
      <c r="VB65" s="18"/>
      <c r="VC65" s="18"/>
      <c r="VD65" s="18"/>
      <c r="VE65" s="18"/>
      <c r="VF65" s="18"/>
      <c r="VG65" s="18"/>
      <c r="VH65" s="18"/>
      <c r="VI65" s="18"/>
      <c r="VJ65" s="18"/>
      <c r="VK65" s="18"/>
      <c r="VL65" s="18"/>
      <c r="VM65" s="18"/>
      <c r="VN65" s="18"/>
      <c r="VO65" s="18"/>
      <c r="VP65" s="18"/>
      <c r="VQ65" s="18"/>
      <c r="VR65" s="18"/>
      <c r="VS65" s="18"/>
      <c r="VT65" s="18"/>
      <c r="VU65" s="18"/>
      <c r="VV65" s="18"/>
      <c r="VW65" s="18"/>
      <c r="VX65" s="18"/>
      <c r="VY65" s="18"/>
      <c r="VZ65" s="18"/>
      <c r="WA65" s="18"/>
      <c r="WB65" s="18"/>
      <c r="WC65" s="18"/>
      <c r="WD65" s="18"/>
      <c r="WE65" s="18"/>
      <c r="WF65" s="18"/>
      <c r="WG65" s="18"/>
      <c r="WH65" s="18"/>
      <c r="WI65" s="18"/>
      <c r="WJ65" s="18"/>
      <c r="WK65" s="18"/>
      <c r="WL65" s="18"/>
      <c r="WM65" s="18"/>
      <c r="WN65" s="18"/>
      <c r="WO65" s="18"/>
      <c r="WP65" s="18"/>
      <c r="WQ65" s="18"/>
      <c r="WR65" s="18"/>
      <c r="WS65" s="18"/>
      <c r="WT65" s="18"/>
      <c r="WU65" s="18"/>
      <c r="WV65" s="18"/>
      <c r="WW65" s="18"/>
      <c r="WX65" s="18"/>
      <c r="WY65" s="18"/>
      <c r="WZ65" s="18"/>
      <c r="XA65" s="18"/>
      <c r="XB65" s="18"/>
      <c r="XC65" s="18"/>
      <c r="XD65" s="18"/>
      <c r="XE65" s="18"/>
      <c r="XF65" s="18"/>
      <c r="XG65" s="18"/>
      <c r="XH65" s="18"/>
      <c r="XI65" s="18"/>
      <c r="XJ65" s="18"/>
      <c r="XK65" s="18"/>
      <c r="XL65" s="18"/>
      <c r="XM65" s="18"/>
      <c r="XN65" s="18"/>
      <c r="XO65" s="18"/>
      <c r="XP65" s="18"/>
      <c r="XQ65" s="18"/>
      <c r="XR65" s="18"/>
      <c r="XS65" s="18"/>
      <c r="XT65" s="18"/>
      <c r="XU65" s="18"/>
      <c r="XV65" s="18"/>
      <c r="XW65" s="18"/>
      <c r="XX65" s="18"/>
      <c r="XY65" s="18"/>
      <c r="XZ65" s="18"/>
      <c r="YA65" s="18"/>
      <c r="YB65" s="18"/>
      <c r="YC65" s="18"/>
      <c r="YD65" s="18"/>
      <c r="YE65" s="18"/>
      <c r="YF65" s="18"/>
      <c r="YG65" s="18"/>
      <c r="YH65" s="18"/>
      <c r="YI65" s="18"/>
      <c r="YJ65" s="18"/>
      <c r="YK65" s="18"/>
      <c r="YL65" s="18"/>
      <c r="YM65" s="18"/>
      <c r="YN65" s="18"/>
      <c r="YO65" s="18"/>
      <c r="YP65" s="18"/>
      <c r="YQ65" s="18"/>
      <c r="YR65" s="18"/>
      <c r="YS65" s="18"/>
      <c r="YT65" s="18"/>
      <c r="YU65" s="18"/>
      <c r="YV65" s="18"/>
      <c r="YW65" s="18"/>
      <c r="YX65" s="18"/>
      <c r="YY65" s="18"/>
      <c r="YZ65" s="18"/>
      <c r="ZA65" s="18"/>
      <c r="ZB65" s="18"/>
      <c r="ZC65" s="18"/>
      <c r="ZD65" s="18"/>
      <c r="ZE65" s="18"/>
      <c r="ZF65" s="18"/>
      <c r="ZG65" s="18"/>
      <c r="ZH65" s="18"/>
      <c r="ZI65" s="18"/>
      <c r="ZJ65" s="18"/>
      <c r="ZK65" s="18"/>
      <c r="ZL65" s="18"/>
      <c r="ZM65" s="18"/>
      <c r="ZN65" s="18"/>
      <c r="ZO65" s="18"/>
      <c r="ZP65" s="18"/>
      <c r="ZQ65" s="18"/>
      <c r="ZR65" s="18"/>
      <c r="ZS65" s="18"/>
      <c r="ZT65" s="18"/>
      <c r="ZU65" s="18"/>
      <c r="ZV65" s="18"/>
      <c r="ZW65" s="18"/>
      <c r="ZX65" s="18"/>
      <c r="ZY65" s="18"/>
      <c r="ZZ65" s="18"/>
      <c r="AAA65" s="18"/>
      <c r="AAB65" s="18"/>
      <c r="AAC65" s="18"/>
      <c r="AAD65" s="18"/>
      <c r="AAE65" s="18"/>
      <c r="AAF65" s="18"/>
      <c r="AAG65" s="18"/>
      <c r="AAH65" s="18"/>
      <c r="AAI65" s="18"/>
      <c r="AAJ65" s="18"/>
      <c r="AAK65" s="18"/>
      <c r="AAL65" s="18"/>
      <c r="AAM65" s="18"/>
      <c r="AAN65" s="18"/>
      <c r="AAO65" s="18"/>
      <c r="AAP65" s="18"/>
      <c r="AAQ65" s="18"/>
      <c r="AAR65" s="18"/>
      <c r="AAS65" s="18"/>
      <c r="AAT65" s="18"/>
      <c r="AAU65" s="18"/>
      <c r="AAV65" s="18"/>
      <c r="AAW65" s="18"/>
      <c r="AAX65" s="18"/>
      <c r="AAY65" s="18"/>
      <c r="AAZ65" s="18"/>
      <c r="ABA65" s="18"/>
      <c r="ABB65" s="18"/>
      <c r="ABC65" s="18"/>
      <c r="ABD65" s="18"/>
      <c r="ABE65" s="18"/>
      <c r="ABF65" s="18"/>
      <c r="ABG65" s="18"/>
      <c r="ABH65" s="18"/>
      <c r="ABI65" s="18"/>
      <c r="ABJ65" s="18"/>
      <c r="ABK65" s="18"/>
      <c r="ABL65" s="18"/>
      <c r="ABM65" s="18"/>
      <c r="ABN65" s="18"/>
      <c r="ABO65" s="18"/>
      <c r="ABP65" s="18"/>
      <c r="ABQ65" s="18"/>
      <c r="ABR65" s="18"/>
      <c r="ABS65" s="18"/>
      <c r="ABT65" s="18"/>
      <c r="ABU65" s="18"/>
      <c r="ABV65" s="18"/>
      <c r="ABW65" s="18"/>
      <c r="ABX65" s="18"/>
      <c r="ABY65" s="18"/>
      <c r="ABZ65" s="18"/>
      <c r="ACA65" s="18"/>
      <c r="ACB65" s="18"/>
      <c r="ACC65" s="18"/>
      <c r="ACD65" s="18"/>
      <c r="ACE65" s="18"/>
      <c r="ACF65" s="18"/>
      <c r="ACG65" s="18"/>
      <c r="ACH65" s="18"/>
      <c r="ACI65" s="18"/>
      <c r="ACJ65" s="18"/>
      <c r="ACK65" s="18"/>
      <c r="ACL65" s="18"/>
      <c r="ACM65" s="18"/>
      <c r="ACN65" s="18"/>
      <c r="ACO65" s="18"/>
      <c r="ACP65" s="18"/>
      <c r="ACQ65" s="18"/>
      <c r="ACR65" s="18"/>
      <c r="ACS65" s="18"/>
      <c r="ACT65" s="18"/>
      <c r="ACU65" s="18"/>
      <c r="ACV65" s="18"/>
      <c r="ACW65" s="18"/>
      <c r="ACX65" s="18"/>
      <c r="ACY65" s="18"/>
      <c r="ACZ65" s="18"/>
      <c r="ADA65" s="18"/>
      <c r="ADB65" s="18"/>
      <c r="ADC65" s="18"/>
      <c r="ADD65" s="18"/>
      <c r="ADE65" s="18"/>
      <c r="ADF65" s="18"/>
      <c r="ADG65" s="18"/>
      <c r="ADH65" s="18"/>
      <c r="ADI65" s="18"/>
      <c r="ADJ65" s="18"/>
      <c r="ADK65" s="18"/>
      <c r="ADL65" s="18"/>
      <c r="ADM65" s="18"/>
      <c r="ADN65" s="18"/>
      <c r="ADO65" s="18"/>
      <c r="ADP65" s="18"/>
      <c r="ADQ65" s="18"/>
      <c r="ADR65" s="18"/>
      <c r="ADS65" s="18"/>
      <c r="ADT65" s="18"/>
      <c r="ADU65" s="18"/>
      <c r="ADV65" s="18"/>
      <c r="ADW65" s="18"/>
      <c r="ADX65" s="18"/>
      <c r="ADY65" s="18"/>
      <c r="ADZ65" s="18"/>
      <c r="AEA65" s="18"/>
      <c r="AEB65" s="18"/>
      <c r="AEC65" s="18"/>
      <c r="AED65" s="18"/>
      <c r="AEE65" s="18"/>
      <c r="AEF65" s="18"/>
      <c r="AEG65" s="18"/>
      <c r="AEH65" s="18"/>
      <c r="AEI65" s="18"/>
      <c r="AEJ65" s="18"/>
      <c r="AEK65" s="18"/>
      <c r="AEL65" s="18"/>
      <c r="AEM65" s="18"/>
      <c r="AEN65" s="18"/>
      <c r="AEO65" s="18"/>
      <c r="AEP65" s="18"/>
      <c r="AEQ65" s="18"/>
      <c r="AER65" s="18"/>
      <c r="AES65" s="18"/>
      <c r="AET65" s="18"/>
      <c r="AEU65" s="18"/>
      <c r="AEV65" s="18"/>
      <c r="AEW65" s="18"/>
      <c r="AEX65" s="18"/>
      <c r="AEY65" s="18"/>
      <c r="AEZ65" s="18"/>
      <c r="AFA65" s="18"/>
      <c r="AFB65" s="18"/>
      <c r="AFC65" s="18"/>
      <c r="AFD65" s="18"/>
      <c r="AFE65" s="18"/>
      <c r="AFF65" s="18"/>
      <c r="AFG65" s="18"/>
      <c r="AFH65" s="18"/>
      <c r="AFI65" s="18"/>
      <c r="AFJ65" s="18"/>
      <c r="AFK65" s="18"/>
      <c r="AFL65" s="18"/>
      <c r="AFM65" s="18"/>
      <c r="AFN65" s="18"/>
      <c r="AFO65" s="18"/>
      <c r="AFP65" s="18"/>
      <c r="AFQ65" s="18"/>
      <c r="AFR65" s="18"/>
      <c r="AFS65" s="18"/>
      <c r="AFT65" s="18"/>
      <c r="AFU65" s="18"/>
      <c r="AFV65" s="18"/>
      <c r="AFW65" s="18"/>
      <c r="AFX65" s="18"/>
      <c r="AFY65" s="18"/>
      <c r="AFZ65" s="18"/>
      <c r="AGA65" s="18"/>
      <c r="AGB65" s="18"/>
      <c r="AGC65" s="18"/>
      <c r="AGD65" s="18"/>
      <c r="AGE65" s="18"/>
      <c r="AGF65" s="18"/>
      <c r="AGG65" s="18"/>
      <c r="AGH65" s="18"/>
      <c r="AGI65" s="18"/>
      <c r="AGJ65" s="18"/>
      <c r="AGK65" s="18"/>
      <c r="AGL65" s="18"/>
      <c r="AGM65" s="18"/>
      <c r="AGN65" s="18"/>
      <c r="AGO65" s="18"/>
      <c r="AGP65" s="18"/>
      <c r="AGQ65" s="18"/>
      <c r="AGR65" s="18"/>
      <c r="AGS65" s="18"/>
      <c r="AGT65" s="18"/>
      <c r="AGU65" s="18"/>
      <c r="AGV65" s="18"/>
      <c r="AGW65" s="18"/>
      <c r="AGX65" s="18"/>
      <c r="AGY65" s="18"/>
      <c r="AGZ65" s="18"/>
      <c r="AHA65" s="18"/>
      <c r="AHB65" s="18"/>
      <c r="AHC65" s="18"/>
      <c r="AHD65" s="18"/>
      <c r="AHE65" s="18"/>
      <c r="AHF65" s="18"/>
      <c r="AHG65" s="18"/>
      <c r="AHH65" s="18"/>
      <c r="AHI65" s="18"/>
      <c r="AHJ65" s="18"/>
      <c r="AHK65" s="18"/>
      <c r="AHL65" s="18"/>
      <c r="AHM65" s="18"/>
      <c r="AHN65" s="18"/>
      <c r="AHO65" s="18"/>
      <c r="AHP65" s="18"/>
      <c r="AHQ65" s="18"/>
      <c r="AHR65" s="18"/>
      <c r="AHS65" s="18"/>
      <c r="AHT65" s="18"/>
      <c r="AHU65" s="18"/>
      <c r="AHV65" s="18"/>
      <c r="AHW65" s="18"/>
      <c r="AHX65" s="18"/>
      <c r="AHY65" s="18"/>
      <c r="AHZ65" s="18"/>
      <c r="AIA65" s="18"/>
      <c r="AIB65" s="18"/>
      <c r="AIC65" s="18"/>
      <c r="AID65" s="18"/>
      <c r="AIE65" s="18"/>
      <c r="AIF65" s="18"/>
      <c r="AIG65" s="18"/>
      <c r="AIH65" s="18"/>
      <c r="AII65" s="18"/>
      <c r="AIJ65" s="18"/>
      <c r="AIK65" s="18"/>
      <c r="AIL65" s="18"/>
      <c r="AIM65" s="18"/>
      <c r="AIN65" s="18"/>
      <c r="AIO65" s="18"/>
      <c r="AIP65" s="18"/>
      <c r="AIQ65" s="18"/>
      <c r="AIR65" s="18"/>
      <c r="AIS65" s="18"/>
      <c r="AIT65" s="18"/>
      <c r="AIU65" s="18"/>
      <c r="AIV65" s="18"/>
      <c r="AIW65" s="18"/>
      <c r="AIX65" s="18"/>
      <c r="AIY65" s="18"/>
      <c r="AIZ65" s="18"/>
      <c r="AJA65" s="18"/>
      <c r="AJB65" s="18"/>
      <c r="AJC65" s="18"/>
      <c r="AJD65" s="18"/>
      <c r="AJE65" s="18"/>
      <c r="AJF65" s="18"/>
      <c r="AJG65" s="18"/>
      <c r="AJH65" s="18"/>
      <c r="AJI65" s="18"/>
      <c r="AJJ65" s="18"/>
      <c r="AJK65" s="18"/>
      <c r="AJL65" s="18"/>
      <c r="AJM65" s="18"/>
      <c r="AJN65" s="18"/>
      <c r="AJO65" s="18"/>
      <c r="AJP65" s="18"/>
      <c r="AJQ65" s="18"/>
      <c r="AJR65" s="18"/>
      <c r="AJS65" s="18"/>
      <c r="AJT65" s="18"/>
      <c r="AJU65" s="18"/>
      <c r="AJV65" s="18"/>
      <c r="AJW65" s="18"/>
      <c r="AJX65" s="18"/>
      <c r="AJY65" s="18"/>
      <c r="AJZ65" s="18"/>
      <c r="AKA65" s="18"/>
      <c r="AKB65" s="18"/>
      <c r="AKC65" s="18"/>
      <c r="AKD65" s="18"/>
      <c r="AKE65" s="18"/>
      <c r="AKF65" s="18"/>
      <c r="AKG65" s="18"/>
      <c r="AKH65" s="18"/>
      <c r="AKI65" s="18"/>
      <c r="AKJ65" s="18"/>
      <c r="AKK65" s="18"/>
      <c r="AKL65" s="18"/>
      <c r="AKM65" s="18"/>
      <c r="AKN65" s="18"/>
      <c r="AKO65" s="18"/>
      <c r="AKP65" s="18"/>
      <c r="AKQ65" s="18"/>
      <c r="AKR65" s="18"/>
      <c r="AKS65" s="18"/>
      <c r="AKT65" s="18"/>
      <c r="AKU65" s="18"/>
      <c r="AKV65" s="18"/>
      <c r="AKW65" s="18"/>
      <c r="AKX65" s="18"/>
      <c r="AKY65" s="18"/>
      <c r="AKZ65" s="18"/>
      <c r="ALA65" s="18"/>
      <c r="ALB65" s="18"/>
      <c r="ALC65" s="18"/>
      <c r="ALD65" s="18"/>
      <c r="ALE65" s="18"/>
      <c r="ALF65" s="18"/>
      <c r="ALG65" s="18"/>
      <c r="ALH65" s="18"/>
      <c r="ALI65" s="18"/>
      <c r="ALJ65" s="18"/>
      <c r="ALK65" s="18"/>
      <c r="ALL65" s="18"/>
      <c r="ALM65" s="18"/>
      <c r="ALN65" s="18"/>
      <c r="ALO65" s="18"/>
      <c r="ALP65" s="18"/>
      <c r="ALQ65" s="18"/>
      <c r="ALR65" s="18"/>
      <c r="ALS65" s="18"/>
      <c r="ALT65" s="18"/>
      <c r="ALU65" s="18"/>
      <c r="ALV65" s="18"/>
      <c r="ALW65" s="18"/>
      <c r="ALX65" s="18"/>
      <c r="ALY65" s="18"/>
      <c r="ALZ65" s="18"/>
      <c r="AMA65" s="18"/>
      <c r="AMB65" s="18"/>
      <c r="AMC65" s="18"/>
      <c r="AMD65" s="18"/>
      <c r="AME65" s="18"/>
      <c r="AMF65" s="18"/>
      <c r="AMG65" s="18"/>
      <c r="AMH65" s="18"/>
    </row>
    <row r="66" spans="1:1022" s="23" customFormat="1" x14ac:dyDescent="0.3">
      <c r="A66" s="33">
        <v>162</v>
      </c>
      <c r="B66" s="19"/>
      <c r="C66" s="19"/>
      <c r="D66" s="34" t="s">
        <v>336</v>
      </c>
      <c r="E66" s="34" t="s">
        <v>487</v>
      </c>
      <c r="F66" s="39"/>
      <c r="G66" s="39"/>
      <c r="H66" s="38" t="s">
        <v>281</v>
      </c>
      <c r="I66" s="31"/>
      <c r="J66" s="40"/>
      <c r="K66" s="31"/>
      <c r="L66" s="40"/>
      <c r="M66" s="41"/>
      <c r="N66" s="32"/>
      <c r="O66" s="18"/>
      <c r="P66" s="36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8"/>
      <c r="CL66" s="18"/>
      <c r="CM66" s="18"/>
      <c r="CN66" s="18"/>
      <c r="CO66" s="18"/>
      <c r="CP66" s="18"/>
      <c r="CQ66" s="18"/>
      <c r="CR66" s="18"/>
      <c r="CS66" s="18"/>
      <c r="CT66" s="18"/>
      <c r="CU66" s="18"/>
      <c r="CV66" s="18"/>
      <c r="CW66" s="18"/>
      <c r="CX66" s="18"/>
      <c r="CY66" s="18"/>
      <c r="CZ66" s="18"/>
      <c r="DA66" s="18"/>
      <c r="DB66" s="18"/>
      <c r="DC66" s="18"/>
      <c r="DD66" s="18"/>
      <c r="DE66" s="18"/>
      <c r="DF66" s="18"/>
      <c r="DG66" s="18"/>
      <c r="DH66" s="18"/>
      <c r="DI66" s="18"/>
      <c r="DJ66" s="18"/>
      <c r="DK66" s="18"/>
      <c r="DL66" s="18"/>
      <c r="DM66" s="18"/>
      <c r="DN66" s="18"/>
      <c r="DO66" s="18"/>
      <c r="DP66" s="18"/>
      <c r="DQ66" s="18"/>
      <c r="DR66" s="18"/>
      <c r="DS66" s="18"/>
      <c r="DT66" s="18"/>
      <c r="DU66" s="18"/>
      <c r="DV66" s="18"/>
      <c r="DW66" s="18"/>
      <c r="DX66" s="18"/>
      <c r="DY66" s="18"/>
      <c r="DZ66" s="18"/>
      <c r="EA66" s="18"/>
      <c r="EB66" s="18"/>
      <c r="EC66" s="18"/>
      <c r="ED66" s="18"/>
      <c r="EE66" s="18"/>
      <c r="EF66" s="18"/>
      <c r="EG66" s="18"/>
      <c r="EH66" s="18"/>
      <c r="EI66" s="18"/>
      <c r="EJ66" s="18"/>
      <c r="EK66" s="18"/>
      <c r="EL66" s="18"/>
      <c r="EM66" s="18"/>
      <c r="EN66" s="18"/>
      <c r="EO66" s="18"/>
      <c r="EP66" s="18"/>
      <c r="EQ66" s="18"/>
      <c r="ER66" s="18"/>
      <c r="ES66" s="18"/>
      <c r="ET66" s="18"/>
      <c r="EU66" s="18"/>
      <c r="EV66" s="18"/>
      <c r="EW66" s="18"/>
      <c r="EX66" s="18"/>
      <c r="EY66" s="18"/>
      <c r="EZ66" s="18"/>
      <c r="FA66" s="18"/>
      <c r="FB66" s="18"/>
      <c r="FC66" s="18"/>
      <c r="FD66" s="18"/>
      <c r="FE66" s="18"/>
      <c r="FF66" s="18"/>
      <c r="FG66" s="18"/>
      <c r="FH66" s="18"/>
      <c r="FI66" s="18"/>
      <c r="FJ66" s="18"/>
      <c r="FK66" s="18"/>
      <c r="FL66" s="18"/>
      <c r="FM66" s="18"/>
      <c r="FN66" s="18"/>
      <c r="FO66" s="18"/>
      <c r="FP66" s="18"/>
      <c r="FQ66" s="18"/>
      <c r="FR66" s="18"/>
      <c r="FS66" s="18"/>
      <c r="FT66" s="18"/>
      <c r="FU66" s="18"/>
      <c r="FV66" s="18"/>
      <c r="FW66" s="18"/>
      <c r="FX66" s="18"/>
      <c r="FY66" s="18"/>
      <c r="FZ66" s="18"/>
      <c r="GA66" s="18"/>
      <c r="GB66" s="18"/>
      <c r="GC66" s="18"/>
      <c r="GD66" s="18"/>
      <c r="GE66" s="18"/>
      <c r="GF66" s="18"/>
      <c r="GG66" s="18"/>
      <c r="GH66" s="18"/>
      <c r="GI66" s="18"/>
      <c r="GJ66" s="18"/>
      <c r="GK66" s="18"/>
      <c r="GL66" s="18"/>
      <c r="GM66" s="18"/>
      <c r="GN66" s="18"/>
      <c r="GO66" s="18"/>
      <c r="GP66" s="18"/>
      <c r="GQ66" s="18"/>
      <c r="GR66" s="18"/>
      <c r="GS66" s="18"/>
      <c r="GT66" s="18"/>
      <c r="GU66" s="18"/>
      <c r="GV66" s="18"/>
      <c r="GW66" s="18"/>
      <c r="GX66" s="18"/>
      <c r="GY66" s="18"/>
      <c r="GZ66" s="18"/>
      <c r="HA66" s="18"/>
      <c r="HB66" s="18"/>
      <c r="HC66" s="18"/>
      <c r="HD66" s="18"/>
      <c r="HE66" s="18"/>
      <c r="HF66" s="18"/>
      <c r="HG66" s="18"/>
      <c r="HH66" s="18"/>
      <c r="HI66" s="18"/>
      <c r="HJ66" s="18"/>
      <c r="HK66" s="18"/>
      <c r="HL66" s="18"/>
      <c r="HM66" s="18"/>
      <c r="HN66" s="18"/>
      <c r="HO66" s="18"/>
      <c r="HP66" s="18"/>
      <c r="HQ66" s="18"/>
      <c r="HR66" s="18"/>
      <c r="HS66" s="18"/>
      <c r="HT66" s="18"/>
      <c r="HU66" s="18"/>
      <c r="HV66" s="18"/>
      <c r="HW66" s="18"/>
      <c r="HX66" s="18"/>
      <c r="HY66" s="18"/>
      <c r="HZ66" s="18"/>
      <c r="IA66" s="18"/>
      <c r="IB66" s="18"/>
      <c r="IC66" s="18"/>
      <c r="ID66" s="18"/>
      <c r="IE66" s="18"/>
      <c r="IF66" s="18"/>
      <c r="IG66" s="18"/>
      <c r="IH66" s="18"/>
      <c r="II66" s="18"/>
      <c r="IJ66" s="18"/>
      <c r="IK66" s="18"/>
      <c r="IL66" s="18"/>
      <c r="IM66" s="18"/>
      <c r="IN66" s="18"/>
      <c r="IO66" s="18"/>
      <c r="IP66" s="18"/>
      <c r="IQ66" s="18"/>
      <c r="IR66" s="18"/>
      <c r="IS66" s="18"/>
      <c r="IT66" s="18"/>
      <c r="IU66" s="18"/>
      <c r="IV66" s="18"/>
      <c r="IW66" s="18"/>
      <c r="IX66" s="18"/>
      <c r="IY66" s="18"/>
      <c r="IZ66" s="18"/>
      <c r="JA66" s="18"/>
      <c r="JB66" s="18"/>
      <c r="JC66" s="18"/>
      <c r="JD66" s="18"/>
      <c r="JE66" s="18"/>
      <c r="JF66" s="18"/>
      <c r="JG66" s="18"/>
      <c r="JH66" s="18"/>
      <c r="JI66" s="18"/>
      <c r="JJ66" s="18"/>
      <c r="JK66" s="18"/>
      <c r="JL66" s="18"/>
      <c r="JM66" s="18"/>
      <c r="JN66" s="18"/>
      <c r="JO66" s="18"/>
      <c r="JP66" s="18"/>
      <c r="JQ66" s="18"/>
      <c r="JR66" s="18"/>
      <c r="JS66" s="18"/>
      <c r="JT66" s="18"/>
      <c r="JU66" s="18"/>
      <c r="JV66" s="18"/>
      <c r="JW66" s="18"/>
      <c r="JX66" s="18"/>
      <c r="JY66" s="18"/>
      <c r="JZ66" s="18"/>
      <c r="KA66" s="18"/>
      <c r="KB66" s="18"/>
      <c r="KC66" s="18"/>
      <c r="KD66" s="18"/>
      <c r="KE66" s="18"/>
      <c r="KF66" s="18"/>
      <c r="KG66" s="18"/>
      <c r="KH66" s="18"/>
      <c r="KI66" s="18"/>
      <c r="KJ66" s="18"/>
      <c r="KK66" s="18"/>
      <c r="KL66" s="18"/>
      <c r="KM66" s="18"/>
      <c r="KN66" s="18"/>
      <c r="KO66" s="18"/>
      <c r="KP66" s="18"/>
      <c r="KQ66" s="18"/>
      <c r="KR66" s="18"/>
      <c r="KS66" s="18"/>
      <c r="KT66" s="18"/>
      <c r="KU66" s="18"/>
      <c r="KV66" s="18"/>
      <c r="KW66" s="18"/>
      <c r="KX66" s="18"/>
      <c r="KY66" s="18"/>
      <c r="KZ66" s="18"/>
      <c r="LA66" s="18"/>
      <c r="LB66" s="18"/>
      <c r="LC66" s="18"/>
      <c r="LD66" s="18"/>
      <c r="LE66" s="18"/>
      <c r="LF66" s="18"/>
      <c r="LG66" s="18"/>
      <c r="LH66" s="18"/>
      <c r="LI66" s="18"/>
      <c r="LJ66" s="18"/>
      <c r="LK66" s="18"/>
      <c r="LL66" s="18"/>
      <c r="LM66" s="18"/>
      <c r="LN66" s="18"/>
      <c r="LO66" s="18"/>
      <c r="LP66" s="18"/>
      <c r="LQ66" s="18"/>
      <c r="LR66" s="18"/>
      <c r="LS66" s="18"/>
      <c r="LT66" s="18"/>
      <c r="LU66" s="18"/>
      <c r="LV66" s="18"/>
      <c r="LW66" s="18"/>
      <c r="LX66" s="18"/>
      <c r="LY66" s="18"/>
      <c r="LZ66" s="18"/>
      <c r="MA66" s="18"/>
      <c r="MB66" s="18"/>
      <c r="MC66" s="18"/>
      <c r="MD66" s="18"/>
      <c r="ME66" s="18"/>
      <c r="MF66" s="18"/>
      <c r="MG66" s="18"/>
      <c r="MH66" s="18"/>
      <c r="MI66" s="18"/>
      <c r="MJ66" s="18"/>
      <c r="MK66" s="18"/>
      <c r="ML66" s="18"/>
      <c r="MM66" s="18"/>
      <c r="MN66" s="18"/>
      <c r="MO66" s="18"/>
      <c r="MP66" s="18"/>
      <c r="MQ66" s="18"/>
      <c r="MR66" s="18"/>
      <c r="MS66" s="18"/>
      <c r="MT66" s="18"/>
      <c r="MU66" s="18"/>
      <c r="MV66" s="18"/>
      <c r="MW66" s="18"/>
      <c r="MX66" s="18"/>
      <c r="MY66" s="18"/>
      <c r="MZ66" s="18"/>
      <c r="NA66" s="18"/>
      <c r="NB66" s="18"/>
      <c r="NC66" s="18"/>
      <c r="ND66" s="18"/>
      <c r="NE66" s="18"/>
      <c r="NF66" s="18"/>
      <c r="NG66" s="18"/>
      <c r="NH66" s="18"/>
      <c r="NI66" s="18"/>
      <c r="NJ66" s="18"/>
      <c r="NK66" s="18"/>
      <c r="NL66" s="18"/>
      <c r="NM66" s="18"/>
      <c r="NN66" s="18"/>
      <c r="NO66" s="18"/>
      <c r="NP66" s="18"/>
      <c r="NQ66" s="18"/>
      <c r="NR66" s="18"/>
      <c r="NS66" s="18"/>
      <c r="NT66" s="18"/>
      <c r="NU66" s="18"/>
      <c r="NV66" s="18"/>
      <c r="NW66" s="18"/>
      <c r="NX66" s="18"/>
      <c r="NY66" s="18"/>
      <c r="NZ66" s="18"/>
      <c r="OA66" s="18"/>
      <c r="OB66" s="18"/>
      <c r="OC66" s="18"/>
      <c r="OD66" s="18"/>
      <c r="OE66" s="18"/>
      <c r="OF66" s="18"/>
      <c r="OG66" s="18"/>
      <c r="OH66" s="18"/>
      <c r="OI66" s="18"/>
      <c r="OJ66" s="18"/>
      <c r="OK66" s="18"/>
      <c r="OL66" s="18"/>
      <c r="OM66" s="18"/>
      <c r="ON66" s="18"/>
      <c r="OO66" s="18"/>
      <c r="OP66" s="18"/>
      <c r="OQ66" s="18"/>
      <c r="OR66" s="18"/>
      <c r="OS66" s="18"/>
      <c r="OT66" s="18"/>
      <c r="OU66" s="18"/>
      <c r="OV66" s="18"/>
      <c r="OW66" s="18"/>
      <c r="OX66" s="18"/>
      <c r="OY66" s="18"/>
      <c r="OZ66" s="18"/>
      <c r="PA66" s="18"/>
      <c r="PB66" s="18"/>
      <c r="PC66" s="18"/>
      <c r="PD66" s="18"/>
      <c r="PE66" s="18"/>
      <c r="PF66" s="18"/>
      <c r="PG66" s="18"/>
      <c r="PH66" s="18"/>
      <c r="PI66" s="18"/>
      <c r="PJ66" s="18"/>
      <c r="PK66" s="18"/>
      <c r="PL66" s="18"/>
      <c r="PM66" s="18"/>
      <c r="PN66" s="18"/>
      <c r="PO66" s="18"/>
      <c r="PP66" s="18"/>
      <c r="PQ66" s="18"/>
      <c r="PR66" s="18"/>
      <c r="PS66" s="18"/>
      <c r="PT66" s="18"/>
      <c r="PU66" s="18"/>
      <c r="PV66" s="18"/>
      <c r="PW66" s="18"/>
      <c r="PX66" s="18"/>
      <c r="PY66" s="18"/>
      <c r="PZ66" s="18"/>
      <c r="QA66" s="18"/>
      <c r="QB66" s="18"/>
      <c r="QC66" s="18"/>
      <c r="QD66" s="18"/>
      <c r="QE66" s="18"/>
      <c r="QF66" s="18"/>
      <c r="QG66" s="18"/>
      <c r="QH66" s="18"/>
      <c r="QI66" s="18"/>
      <c r="QJ66" s="18"/>
      <c r="QK66" s="18"/>
      <c r="QL66" s="18"/>
      <c r="QM66" s="18"/>
      <c r="QN66" s="18"/>
      <c r="QO66" s="18"/>
      <c r="QP66" s="18"/>
      <c r="QQ66" s="18"/>
      <c r="QR66" s="18"/>
      <c r="QS66" s="18"/>
      <c r="QT66" s="18"/>
      <c r="QU66" s="18"/>
      <c r="QV66" s="18"/>
      <c r="QW66" s="18"/>
      <c r="QX66" s="18"/>
      <c r="QY66" s="18"/>
      <c r="QZ66" s="18"/>
      <c r="RA66" s="18"/>
      <c r="RB66" s="18"/>
      <c r="RC66" s="18"/>
      <c r="RD66" s="18"/>
      <c r="RE66" s="18"/>
      <c r="RF66" s="18"/>
      <c r="RG66" s="18"/>
      <c r="RH66" s="18"/>
      <c r="RI66" s="18"/>
      <c r="RJ66" s="18"/>
      <c r="RK66" s="18"/>
      <c r="RL66" s="18"/>
      <c r="RM66" s="18"/>
      <c r="RN66" s="18"/>
      <c r="RO66" s="18"/>
      <c r="RP66" s="18"/>
      <c r="RQ66" s="18"/>
      <c r="RR66" s="18"/>
      <c r="RS66" s="18"/>
      <c r="RT66" s="18"/>
      <c r="RU66" s="18"/>
      <c r="RV66" s="18"/>
      <c r="RW66" s="18"/>
      <c r="RX66" s="18"/>
      <c r="RY66" s="18"/>
      <c r="RZ66" s="18"/>
      <c r="SA66" s="18"/>
      <c r="SB66" s="18"/>
      <c r="SC66" s="18"/>
      <c r="SD66" s="18"/>
      <c r="SE66" s="18"/>
      <c r="SF66" s="18"/>
      <c r="SG66" s="18"/>
      <c r="SH66" s="18"/>
      <c r="SI66" s="18"/>
      <c r="SJ66" s="18"/>
      <c r="SK66" s="18"/>
      <c r="SL66" s="18"/>
      <c r="SM66" s="18"/>
      <c r="SN66" s="18"/>
      <c r="SO66" s="18"/>
      <c r="SP66" s="18"/>
      <c r="SQ66" s="18"/>
      <c r="SR66" s="18"/>
      <c r="SS66" s="18"/>
      <c r="ST66" s="18"/>
      <c r="SU66" s="18"/>
      <c r="SV66" s="18"/>
      <c r="SW66" s="18"/>
      <c r="SX66" s="18"/>
      <c r="SY66" s="18"/>
      <c r="SZ66" s="18"/>
      <c r="TA66" s="18"/>
      <c r="TB66" s="18"/>
      <c r="TC66" s="18"/>
      <c r="TD66" s="18"/>
      <c r="TE66" s="18"/>
      <c r="TF66" s="18"/>
      <c r="TG66" s="18"/>
      <c r="TH66" s="18"/>
      <c r="TI66" s="18"/>
      <c r="TJ66" s="18"/>
      <c r="TK66" s="18"/>
      <c r="TL66" s="18"/>
      <c r="TM66" s="18"/>
      <c r="TN66" s="18"/>
      <c r="TO66" s="18"/>
      <c r="TP66" s="18"/>
      <c r="TQ66" s="18"/>
      <c r="TR66" s="18"/>
      <c r="TS66" s="18"/>
      <c r="TT66" s="18"/>
      <c r="TU66" s="18"/>
      <c r="TV66" s="18"/>
      <c r="TW66" s="18"/>
      <c r="TX66" s="18"/>
      <c r="TY66" s="18"/>
      <c r="TZ66" s="18"/>
      <c r="UA66" s="18"/>
      <c r="UB66" s="18"/>
      <c r="UC66" s="18"/>
      <c r="UD66" s="18"/>
      <c r="UE66" s="18"/>
      <c r="UF66" s="18"/>
      <c r="UG66" s="18"/>
      <c r="UH66" s="18"/>
      <c r="UI66" s="18"/>
      <c r="UJ66" s="18"/>
      <c r="UK66" s="18"/>
      <c r="UL66" s="18"/>
      <c r="UM66" s="18"/>
      <c r="UN66" s="18"/>
      <c r="UO66" s="18"/>
      <c r="UP66" s="18"/>
      <c r="UQ66" s="18"/>
      <c r="UR66" s="18"/>
      <c r="US66" s="18"/>
      <c r="UT66" s="18"/>
      <c r="UU66" s="18"/>
      <c r="UV66" s="18"/>
      <c r="UW66" s="18"/>
      <c r="UX66" s="18"/>
      <c r="UY66" s="18"/>
      <c r="UZ66" s="18"/>
      <c r="VA66" s="18"/>
      <c r="VB66" s="18"/>
      <c r="VC66" s="18"/>
      <c r="VD66" s="18"/>
      <c r="VE66" s="18"/>
      <c r="VF66" s="18"/>
      <c r="VG66" s="18"/>
      <c r="VH66" s="18"/>
      <c r="VI66" s="18"/>
      <c r="VJ66" s="18"/>
      <c r="VK66" s="18"/>
      <c r="VL66" s="18"/>
      <c r="VM66" s="18"/>
      <c r="VN66" s="18"/>
      <c r="VO66" s="18"/>
      <c r="VP66" s="18"/>
      <c r="VQ66" s="18"/>
      <c r="VR66" s="18"/>
      <c r="VS66" s="18"/>
      <c r="VT66" s="18"/>
      <c r="VU66" s="18"/>
      <c r="VV66" s="18"/>
      <c r="VW66" s="18"/>
      <c r="VX66" s="18"/>
      <c r="VY66" s="18"/>
      <c r="VZ66" s="18"/>
      <c r="WA66" s="18"/>
      <c r="WB66" s="18"/>
      <c r="WC66" s="18"/>
      <c r="WD66" s="18"/>
      <c r="WE66" s="18"/>
      <c r="WF66" s="18"/>
      <c r="WG66" s="18"/>
      <c r="WH66" s="18"/>
      <c r="WI66" s="18"/>
      <c r="WJ66" s="18"/>
      <c r="WK66" s="18"/>
      <c r="WL66" s="18"/>
      <c r="WM66" s="18"/>
      <c r="WN66" s="18"/>
      <c r="WO66" s="18"/>
      <c r="WP66" s="18"/>
      <c r="WQ66" s="18"/>
      <c r="WR66" s="18"/>
      <c r="WS66" s="18"/>
      <c r="WT66" s="18"/>
      <c r="WU66" s="18"/>
      <c r="WV66" s="18"/>
      <c r="WW66" s="18"/>
      <c r="WX66" s="18"/>
      <c r="WY66" s="18"/>
      <c r="WZ66" s="18"/>
      <c r="XA66" s="18"/>
      <c r="XB66" s="18"/>
      <c r="XC66" s="18"/>
      <c r="XD66" s="18"/>
      <c r="XE66" s="18"/>
      <c r="XF66" s="18"/>
      <c r="XG66" s="18"/>
      <c r="XH66" s="18"/>
      <c r="XI66" s="18"/>
      <c r="XJ66" s="18"/>
      <c r="XK66" s="18"/>
      <c r="XL66" s="18"/>
      <c r="XM66" s="18"/>
      <c r="XN66" s="18"/>
      <c r="XO66" s="18"/>
      <c r="XP66" s="18"/>
      <c r="XQ66" s="18"/>
      <c r="XR66" s="18"/>
      <c r="XS66" s="18"/>
      <c r="XT66" s="18"/>
      <c r="XU66" s="18"/>
      <c r="XV66" s="18"/>
      <c r="XW66" s="18"/>
      <c r="XX66" s="18"/>
      <c r="XY66" s="18"/>
      <c r="XZ66" s="18"/>
      <c r="YA66" s="18"/>
      <c r="YB66" s="18"/>
      <c r="YC66" s="18"/>
      <c r="YD66" s="18"/>
      <c r="YE66" s="18"/>
      <c r="YF66" s="18"/>
      <c r="YG66" s="18"/>
      <c r="YH66" s="18"/>
      <c r="YI66" s="18"/>
      <c r="YJ66" s="18"/>
      <c r="YK66" s="18"/>
      <c r="YL66" s="18"/>
      <c r="YM66" s="18"/>
      <c r="YN66" s="18"/>
      <c r="YO66" s="18"/>
      <c r="YP66" s="18"/>
      <c r="YQ66" s="18"/>
      <c r="YR66" s="18"/>
      <c r="YS66" s="18"/>
      <c r="YT66" s="18"/>
      <c r="YU66" s="18"/>
      <c r="YV66" s="18"/>
      <c r="YW66" s="18"/>
      <c r="YX66" s="18"/>
      <c r="YY66" s="18"/>
      <c r="YZ66" s="18"/>
      <c r="ZA66" s="18"/>
      <c r="ZB66" s="18"/>
      <c r="ZC66" s="18"/>
      <c r="ZD66" s="18"/>
      <c r="ZE66" s="18"/>
      <c r="ZF66" s="18"/>
      <c r="ZG66" s="18"/>
      <c r="ZH66" s="18"/>
      <c r="ZI66" s="18"/>
      <c r="ZJ66" s="18"/>
      <c r="ZK66" s="18"/>
      <c r="ZL66" s="18"/>
      <c r="ZM66" s="18"/>
      <c r="ZN66" s="18"/>
      <c r="ZO66" s="18"/>
      <c r="ZP66" s="18"/>
      <c r="ZQ66" s="18"/>
      <c r="ZR66" s="18"/>
      <c r="ZS66" s="18"/>
      <c r="ZT66" s="18"/>
      <c r="ZU66" s="18"/>
      <c r="ZV66" s="18"/>
      <c r="ZW66" s="18"/>
      <c r="ZX66" s="18"/>
      <c r="ZY66" s="18"/>
      <c r="ZZ66" s="18"/>
      <c r="AAA66" s="18"/>
      <c r="AAB66" s="18"/>
      <c r="AAC66" s="18"/>
      <c r="AAD66" s="18"/>
      <c r="AAE66" s="18"/>
      <c r="AAF66" s="18"/>
      <c r="AAG66" s="18"/>
      <c r="AAH66" s="18"/>
      <c r="AAI66" s="18"/>
      <c r="AAJ66" s="18"/>
      <c r="AAK66" s="18"/>
      <c r="AAL66" s="18"/>
      <c r="AAM66" s="18"/>
      <c r="AAN66" s="18"/>
      <c r="AAO66" s="18"/>
      <c r="AAP66" s="18"/>
      <c r="AAQ66" s="18"/>
      <c r="AAR66" s="18"/>
      <c r="AAS66" s="18"/>
      <c r="AAT66" s="18"/>
      <c r="AAU66" s="18"/>
      <c r="AAV66" s="18"/>
      <c r="AAW66" s="18"/>
      <c r="AAX66" s="18"/>
      <c r="AAY66" s="18"/>
      <c r="AAZ66" s="18"/>
      <c r="ABA66" s="18"/>
      <c r="ABB66" s="18"/>
      <c r="ABC66" s="18"/>
      <c r="ABD66" s="18"/>
      <c r="ABE66" s="18"/>
      <c r="ABF66" s="18"/>
      <c r="ABG66" s="18"/>
      <c r="ABH66" s="18"/>
      <c r="ABI66" s="18"/>
      <c r="ABJ66" s="18"/>
      <c r="ABK66" s="18"/>
      <c r="ABL66" s="18"/>
      <c r="ABM66" s="18"/>
      <c r="ABN66" s="18"/>
      <c r="ABO66" s="18"/>
      <c r="ABP66" s="18"/>
      <c r="ABQ66" s="18"/>
      <c r="ABR66" s="18"/>
      <c r="ABS66" s="18"/>
      <c r="ABT66" s="18"/>
      <c r="ABU66" s="18"/>
      <c r="ABV66" s="18"/>
      <c r="ABW66" s="18"/>
      <c r="ABX66" s="18"/>
      <c r="ABY66" s="18"/>
      <c r="ABZ66" s="18"/>
      <c r="ACA66" s="18"/>
      <c r="ACB66" s="18"/>
      <c r="ACC66" s="18"/>
      <c r="ACD66" s="18"/>
      <c r="ACE66" s="18"/>
      <c r="ACF66" s="18"/>
      <c r="ACG66" s="18"/>
      <c r="ACH66" s="18"/>
      <c r="ACI66" s="18"/>
      <c r="ACJ66" s="18"/>
      <c r="ACK66" s="18"/>
      <c r="ACL66" s="18"/>
      <c r="ACM66" s="18"/>
      <c r="ACN66" s="18"/>
      <c r="ACO66" s="18"/>
      <c r="ACP66" s="18"/>
      <c r="ACQ66" s="18"/>
      <c r="ACR66" s="18"/>
      <c r="ACS66" s="18"/>
      <c r="ACT66" s="18"/>
      <c r="ACU66" s="18"/>
      <c r="ACV66" s="18"/>
      <c r="ACW66" s="18"/>
      <c r="ACX66" s="18"/>
      <c r="ACY66" s="18"/>
      <c r="ACZ66" s="18"/>
      <c r="ADA66" s="18"/>
      <c r="ADB66" s="18"/>
      <c r="ADC66" s="18"/>
      <c r="ADD66" s="18"/>
      <c r="ADE66" s="18"/>
      <c r="ADF66" s="18"/>
      <c r="ADG66" s="18"/>
      <c r="ADH66" s="18"/>
      <c r="ADI66" s="18"/>
      <c r="ADJ66" s="18"/>
      <c r="ADK66" s="18"/>
      <c r="ADL66" s="18"/>
      <c r="ADM66" s="18"/>
      <c r="ADN66" s="18"/>
      <c r="ADO66" s="18"/>
      <c r="ADP66" s="18"/>
      <c r="ADQ66" s="18"/>
      <c r="ADR66" s="18"/>
      <c r="ADS66" s="18"/>
      <c r="ADT66" s="18"/>
      <c r="ADU66" s="18"/>
      <c r="ADV66" s="18"/>
      <c r="ADW66" s="18"/>
      <c r="ADX66" s="18"/>
      <c r="ADY66" s="18"/>
      <c r="ADZ66" s="18"/>
      <c r="AEA66" s="18"/>
      <c r="AEB66" s="18"/>
      <c r="AEC66" s="18"/>
      <c r="AED66" s="18"/>
      <c r="AEE66" s="18"/>
      <c r="AEF66" s="18"/>
      <c r="AEG66" s="18"/>
      <c r="AEH66" s="18"/>
      <c r="AEI66" s="18"/>
      <c r="AEJ66" s="18"/>
      <c r="AEK66" s="18"/>
      <c r="AEL66" s="18"/>
      <c r="AEM66" s="18"/>
      <c r="AEN66" s="18"/>
      <c r="AEO66" s="18"/>
      <c r="AEP66" s="18"/>
      <c r="AEQ66" s="18"/>
      <c r="AER66" s="18"/>
      <c r="AES66" s="18"/>
      <c r="AET66" s="18"/>
      <c r="AEU66" s="18"/>
      <c r="AEV66" s="18"/>
      <c r="AEW66" s="18"/>
      <c r="AEX66" s="18"/>
      <c r="AEY66" s="18"/>
      <c r="AEZ66" s="18"/>
      <c r="AFA66" s="18"/>
      <c r="AFB66" s="18"/>
      <c r="AFC66" s="18"/>
      <c r="AFD66" s="18"/>
      <c r="AFE66" s="18"/>
      <c r="AFF66" s="18"/>
      <c r="AFG66" s="18"/>
      <c r="AFH66" s="18"/>
      <c r="AFI66" s="18"/>
      <c r="AFJ66" s="18"/>
      <c r="AFK66" s="18"/>
      <c r="AFL66" s="18"/>
      <c r="AFM66" s="18"/>
      <c r="AFN66" s="18"/>
      <c r="AFO66" s="18"/>
      <c r="AFP66" s="18"/>
      <c r="AFQ66" s="18"/>
      <c r="AFR66" s="18"/>
      <c r="AFS66" s="18"/>
      <c r="AFT66" s="18"/>
      <c r="AFU66" s="18"/>
      <c r="AFV66" s="18"/>
      <c r="AFW66" s="18"/>
      <c r="AFX66" s="18"/>
      <c r="AFY66" s="18"/>
      <c r="AFZ66" s="18"/>
      <c r="AGA66" s="18"/>
      <c r="AGB66" s="18"/>
      <c r="AGC66" s="18"/>
      <c r="AGD66" s="18"/>
      <c r="AGE66" s="18"/>
      <c r="AGF66" s="18"/>
      <c r="AGG66" s="18"/>
      <c r="AGH66" s="18"/>
      <c r="AGI66" s="18"/>
      <c r="AGJ66" s="18"/>
      <c r="AGK66" s="18"/>
      <c r="AGL66" s="18"/>
      <c r="AGM66" s="18"/>
      <c r="AGN66" s="18"/>
      <c r="AGO66" s="18"/>
      <c r="AGP66" s="18"/>
      <c r="AGQ66" s="18"/>
      <c r="AGR66" s="18"/>
      <c r="AGS66" s="18"/>
      <c r="AGT66" s="18"/>
      <c r="AGU66" s="18"/>
      <c r="AGV66" s="18"/>
      <c r="AGW66" s="18"/>
      <c r="AGX66" s="18"/>
      <c r="AGY66" s="18"/>
      <c r="AGZ66" s="18"/>
      <c r="AHA66" s="18"/>
      <c r="AHB66" s="18"/>
      <c r="AHC66" s="18"/>
      <c r="AHD66" s="18"/>
      <c r="AHE66" s="18"/>
      <c r="AHF66" s="18"/>
      <c r="AHG66" s="18"/>
      <c r="AHH66" s="18"/>
      <c r="AHI66" s="18"/>
      <c r="AHJ66" s="18"/>
      <c r="AHK66" s="18"/>
      <c r="AHL66" s="18"/>
      <c r="AHM66" s="18"/>
      <c r="AHN66" s="18"/>
      <c r="AHO66" s="18"/>
      <c r="AHP66" s="18"/>
      <c r="AHQ66" s="18"/>
      <c r="AHR66" s="18"/>
      <c r="AHS66" s="18"/>
      <c r="AHT66" s="18"/>
      <c r="AHU66" s="18"/>
      <c r="AHV66" s="18"/>
      <c r="AHW66" s="18"/>
      <c r="AHX66" s="18"/>
      <c r="AHY66" s="18"/>
      <c r="AHZ66" s="18"/>
      <c r="AIA66" s="18"/>
      <c r="AIB66" s="18"/>
      <c r="AIC66" s="18"/>
      <c r="AID66" s="18"/>
      <c r="AIE66" s="18"/>
      <c r="AIF66" s="18"/>
      <c r="AIG66" s="18"/>
      <c r="AIH66" s="18"/>
      <c r="AII66" s="18"/>
      <c r="AIJ66" s="18"/>
      <c r="AIK66" s="18"/>
      <c r="AIL66" s="18"/>
      <c r="AIM66" s="18"/>
      <c r="AIN66" s="18"/>
      <c r="AIO66" s="18"/>
      <c r="AIP66" s="18"/>
      <c r="AIQ66" s="18"/>
      <c r="AIR66" s="18"/>
      <c r="AIS66" s="18"/>
      <c r="AIT66" s="18"/>
      <c r="AIU66" s="18"/>
      <c r="AIV66" s="18"/>
      <c r="AIW66" s="18"/>
      <c r="AIX66" s="18"/>
      <c r="AIY66" s="18"/>
      <c r="AIZ66" s="18"/>
      <c r="AJA66" s="18"/>
      <c r="AJB66" s="18"/>
      <c r="AJC66" s="18"/>
      <c r="AJD66" s="18"/>
      <c r="AJE66" s="18"/>
      <c r="AJF66" s="18"/>
      <c r="AJG66" s="18"/>
      <c r="AJH66" s="18"/>
      <c r="AJI66" s="18"/>
      <c r="AJJ66" s="18"/>
      <c r="AJK66" s="18"/>
      <c r="AJL66" s="18"/>
      <c r="AJM66" s="18"/>
      <c r="AJN66" s="18"/>
      <c r="AJO66" s="18"/>
      <c r="AJP66" s="18"/>
      <c r="AJQ66" s="18"/>
      <c r="AJR66" s="18"/>
      <c r="AJS66" s="18"/>
      <c r="AJT66" s="18"/>
      <c r="AJU66" s="18"/>
      <c r="AJV66" s="18"/>
      <c r="AJW66" s="18"/>
      <c r="AJX66" s="18"/>
      <c r="AJY66" s="18"/>
      <c r="AJZ66" s="18"/>
      <c r="AKA66" s="18"/>
      <c r="AKB66" s="18"/>
      <c r="AKC66" s="18"/>
      <c r="AKD66" s="18"/>
      <c r="AKE66" s="18"/>
      <c r="AKF66" s="18"/>
      <c r="AKG66" s="18"/>
      <c r="AKH66" s="18"/>
      <c r="AKI66" s="18"/>
      <c r="AKJ66" s="18"/>
      <c r="AKK66" s="18"/>
      <c r="AKL66" s="18"/>
      <c r="AKM66" s="18"/>
      <c r="AKN66" s="18"/>
      <c r="AKO66" s="18"/>
      <c r="AKP66" s="18"/>
      <c r="AKQ66" s="18"/>
      <c r="AKR66" s="18"/>
      <c r="AKS66" s="18"/>
      <c r="AKT66" s="18"/>
      <c r="AKU66" s="18"/>
      <c r="AKV66" s="18"/>
      <c r="AKW66" s="18"/>
      <c r="AKX66" s="18"/>
      <c r="AKY66" s="18"/>
      <c r="AKZ66" s="18"/>
      <c r="ALA66" s="18"/>
      <c r="ALB66" s="18"/>
      <c r="ALC66" s="18"/>
      <c r="ALD66" s="18"/>
      <c r="ALE66" s="18"/>
      <c r="ALF66" s="18"/>
      <c r="ALG66" s="18"/>
      <c r="ALH66" s="18"/>
      <c r="ALI66" s="18"/>
      <c r="ALJ66" s="18"/>
      <c r="ALK66" s="18"/>
      <c r="ALL66" s="18"/>
      <c r="ALM66" s="18"/>
      <c r="ALN66" s="18"/>
      <c r="ALO66" s="18"/>
      <c r="ALP66" s="18"/>
      <c r="ALQ66" s="18"/>
      <c r="ALR66" s="18"/>
      <c r="ALS66" s="18"/>
      <c r="ALT66" s="18"/>
      <c r="ALU66" s="18"/>
      <c r="ALV66" s="18"/>
      <c r="ALW66" s="18"/>
      <c r="ALX66" s="18"/>
      <c r="ALY66" s="18"/>
      <c r="ALZ66" s="18"/>
      <c r="AMA66" s="18"/>
      <c r="AMB66" s="18"/>
      <c r="AMC66" s="18"/>
      <c r="AMD66" s="18"/>
      <c r="AME66" s="18"/>
      <c r="AMF66" s="18"/>
      <c r="AMG66" s="18"/>
      <c r="AMH66" s="18"/>
    </row>
    <row r="67" spans="1:1022" s="23" customFormat="1" x14ac:dyDescent="0.3">
      <c r="A67" s="33">
        <v>163</v>
      </c>
      <c r="B67" s="19"/>
      <c r="C67" s="19"/>
      <c r="D67" s="34" t="s">
        <v>337</v>
      </c>
      <c r="E67" s="34" t="s">
        <v>488</v>
      </c>
      <c r="F67" s="39"/>
      <c r="G67" s="39"/>
      <c r="H67" s="38" t="s">
        <v>281</v>
      </c>
      <c r="I67" s="31"/>
      <c r="J67" s="31"/>
      <c r="K67" s="31"/>
      <c r="L67" s="31"/>
      <c r="M67" s="32"/>
      <c r="N67" s="32"/>
      <c r="O67" s="18"/>
      <c r="P67" s="36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18"/>
      <c r="BK67" s="18"/>
      <c r="BL67" s="18"/>
      <c r="BM67" s="18"/>
      <c r="BN67" s="18"/>
      <c r="BO67" s="18"/>
      <c r="BP67" s="18"/>
      <c r="BQ67" s="18"/>
      <c r="BR67" s="18"/>
      <c r="BS67" s="18"/>
      <c r="BT67" s="18"/>
      <c r="BU67" s="18"/>
      <c r="BV67" s="18"/>
      <c r="BW67" s="18"/>
      <c r="BX67" s="18"/>
      <c r="BY67" s="18"/>
      <c r="BZ67" s="18"/>
      <c r="CA67" s="18"/>
      <c r="CB67" s="18"/>
      <c r="CC67" s="18"/>
      <c r="CD67" s="18"/>
      <c r="CE67" s="18"/>
      <c r="CF67" s="18"/>
      <c r="CG67" s="18"/>
      <c r="CH67" s="18"/>
      <c r="CI67" s="18"/>
      <c r="CJ67" s="18"/>
      <c r="CK67" s="18"/>
      <c r="CL67" s="18"/>
      <c r="CM67" s="18"/>
      <c r="CN67" s="18"/>
      <c r="CO67" s="18"/>
      <c r="CP67" s="18"/>
      <c r="CQ67" s="18"/>
      <c r="CR67" s="18"/>
      <c r="CS67" s="18"/>
      <c r="CT67" s="18"/>
      <c r="CU67" s="18"/>
      <c r="CV67" s="18"/>
      <c r="CW67" s="18"/>
      <c r="CX67" s="18"/>
      <c r="CY67" s="18"/>
      <c r="CZ67" s="18"/>
      <c r="DA67" s="18"/>
      <c r="DB67" s="18"/>
      <c r="DC67" s="18"/>
      <c r="DD67" s="18"/>
      <c r="DE67" s="18"/>
      <c r="DF67" s="18"/>
      <c r="DG67" s="18"/>
      <c r="DH67" s="18"/>
      <c r="DI67" s="18"/>
      <c r="DJ67" s="18"/>
      <c r="DK67" s="18"/>
      <c r="DL67" s="18"/>
      <c r="DM67" s="18"/>
      <c r="DN67" s="18"/>
      <c r="DO67" s="18"/>
      <c r="DP67" s="18"/>
      <c r="DQ67" s="18"/>
      <c r="DR67" s="18"/>
      <c r="DS67" s="18"/>
      <c r="DT67" s="18"/>
      <c r="DU67" s="18"/>
      <c r="DV67" s="18"/>
      <c r="DW67" s="18"/>
      <c r="DX67" s="18"/>
      <c r="DY67" s="18"/>
      <c r="DZ67" s="18"/>
      <c r="EA67" s="18"/>
      <c r="EB67" s="18"/>
      <c r="EC67" s="18"/>
      <c r="ED67" s="18"/>
      <c r="EE67" s="18"/>
      <c r="EF67" s="18"/>
      <c r="EG67" s="18"/>
      <c r="EH67" s="18"/>
      <c r="EI67" s="18"/>
      <c r="EJ67" s="18"/>
      <c r="EK67" s="18"/>
      <c r="EL67" s="18"/>
      <c r="EM67" s="18"/>
      <c r="EN67" s="18"/>
      <c r="EO67" s="18"/>
      <c r="EP67" s="18"/>
      <c r="EQ67" s="18"/>
      <c r="ER67" s="18"/>
      <c r="ES67" s="18"/>
      <c r="ET67" s="18"/>
      <c r="EU67" s="18"/>
      <c r="EV67" s="18"/>
      <c r="EW67" s="18"/>
      <c r="EX67" s="18"/>
      <c r="EY67" s="18"/>
      <c r="EZ67" s="18"/>
      <c r="FA67" s="18"/>
      <c r="FB67" s="18"/>
      <c r="FC67" s="18"/>
      <c r="FD67" s="18"/>
      <c r="FE67" s="18"/>
      <c r="FF67" s="18"/>
      <c r="FG67" s="18"/>
      <c r="FH67" s="18"/>
      <c r="FI67" s="18"/>
      <c r="FJ67" s="18"/>
      <c r="FK67" s="18"/>
      <c r="FL67" s="18"/>
      <c r="FM67" s="18"/>
      <c r="FN67" s="18"/>
      <c r="FO67" s="18"/>
      <c r="FP67" s="18"/>
      <c r="FQ67" s="18"/>
      <c r="FR67" s="18"/>
      <c r="FS67" s="18"/>
      <c r="FT67" s="18"/>
      <c r="FU67" s="18"/>
      <c r="FV67" s="18"/>
      <c r="FW67" s="18"/>
      <c r="FX67" s="18"/>
      <c r="FY67" s="18"/>
      <c r="FZ67" s="18"/>
      <c r="GA67" s="18"/>
      <c r="GB67" s="18"/>
      <c r="GC67" s="18"/>
      <c r="GD67" s="18"/>
      <c r="GE67" s="18"/>
      <c r="GF67" s="18"/>
      <c r="GG67" s="18"/>
      <c r="GH67" s="18"/>
      <c r="GI67" s="18"/>
      <c r="GJ67" s="18"/>
      <c r="GK67" s="18"/>
      <c r="GL67" s="18"/>
      <c r="GM67" s="18"/>
      <c r="GN67" s="18"/>
      <c r="GO67" s="18"/>
      <c r="GP67" s="18"/>
      <c r="GQ67" s="18"/>
      <c r="GR67" s="18"/>
      <c r="GS67" s="18"/>
      <c r="GT67" s="18"/>
      <c r="GU67" s="18"/>
      <c r="GV67" s="18"/>
      <c r="GW67" s="18"/>
      <c r="GX67" s="18"/>
      <c r="GY67" s="18"/>
      <c r="GZ67" s="18"/>
      <c r="HA67" s="18"/>
      <c r="HB67" s="18"/>
      <c r="HC67" s="18"/>
      <c r="HD67" s="18"/>
      <c r="HE67" s="18"/>
      <c r="HF67" s="18"/>
      <c r="HG67" s="18"/>
      <c r="HH67" s="18"/>
      <c r="HI67" s="18"/>
      <c r="HJ67" s="18"/>
      <c r="HK67" s="18"/>
      <c r="HL67" s="18"/>
      <c r="HM67" s="18"/>
      <c r="HN67" s="18"/>
      <c r="HO67" s="18"/>
      <c r="HP67" s="18"/>
      <c r="HQ67" s="18"/>
      <c r="HR67" s="18"/>
      <c r="HS67" s="18"/>
      <c r="HT67" s="18"/>
      <c r="HU67" s="18"/>
      <c r="HV67" s="18"/>
      <c r="HW67" s="18"/>
      <c r="HX67" s="18"/>
      <c r="HY67" s="18"/>
      <c r="HZ67" s="18"/>
      <c r="IA67" s="18"/>
      <c r="IB67" s="18"/>
      <c r="IC67" s="18"/>
      <c r="ID67" s="18"/>
      <c r="IE67" s="18"/>
      <c r="IF67" s="18"/>
      <c r="IG67" s="18"/>
      <c r="IH67" s="18"/>
      <c r="II67" s="18"/>
      <c r="IJ67" s="18"/>
      <c r="IK67" s="18"/>
      <c r="IL67" s="18"/>
      <c r="IM67" s="18"/>
      <c r="IN67" s="18"/>
      <c r="IO67" s="18"/>
      <c r="IP67" s="18"/>
      <c r="IQ67" s="18"/>
      <c r="IR67" s="18"/>
      <c r="IS67" s="18"/>
      <c r="IT67" s="18"/>
      <c r="IU67" s="18"/>
      <c r="IV67" s="18"/>
      <c r="IW67" s="18"/>
      <c r="IX67" s="18"/>
      <c r="IY67" s="18"/>
      <c r="IZ67" s="18"/>
      <c r="JA67" s="18"/>
      <c r="JB67" s="18"/>
      <c r="JC67" s="18"/>
      <c r="JD67" s="18"/>
      <c r="JE67" s="18"/>
      <c r="JF67" s="18"/>
      <c r="JG67" s="18"/>
      <c r="JH67" s="18"/>
      <c r="JI67" s="18"/>
      <c r="JJ67" s="18"/>
      <c r="JK67" s="18"/>
      <c r="JL67" s="18"/>
      <c r="JM67" s="18"/>
      <c r="JN67" s="18"/>
      <c r="JO67" s="18"/>
      <c r="JP67" s="18"/>
      <c r="JQ67" s="18"/>
      <c r="JR67" s="18"/>
      <c r="JS67" s="18"/>
      <c r="JT67" s="18"/>
      <c r="JU67" s="18"/>
      <c r="JV67" s="18"/>
      <c r="JW67" s="18"/>
      <c r="JX67" s="18"/>
      <c r="JY67" s="18"/>
      <c r="JZ67" s="18"/>
      <c r="KA67" s="18"/>
      <c r="KB67" s="18"/>
      <c r="KC67" s="18"/>
      <c r="KD67" s="18"/>
      <c r="KE67" s="18"/>
      <c r="KF67" s="18"/>
      <c r="KG67" s="18"/>
      <c r="KH67" s="18"/>
      <c r="KI67" s="18"/>
      <c r="KJ67" s="18"/>
      <c r="KK67" s="18"/>
      <c r="KL67" s="18"/>
      <c r="KM67" s="18"/>
      <c r="KN67" s="18"/>
      <c r="KO67" s="18"/>
      <c r="KP67" s="18"/>
      <c r="KQ67" s="18"/>
      <c r="KR67" s="18"/>
      <c r="KS67" s="18"/>
      <c r="KT67" s="18"/>
      <c r="KU67" s="18"/>
      <c r="KV67" s="18"/>
      <c r="KW67" s="18"/>
      <c r="KX67" s="18"/>
      <c r="KY67" s="18"/>
      <c r="KZ67" s="18"/>
      <c r="LA67" s="18"/>
      <c r="LB67" s="18"/>
      <c r="LC67" s="18"/>
      <c r="LD67" s="18"/>
      <c r="LE67" s="18"/>
      <c r="LF67" s="18"/>
      <c r="LG67" s="18"/>
      <c r="LH67" s="18"/>
      <c r="LI67" s="18"/>
      <c r="LJ67" s="18"/>
      <c r="LK67" s="18"/>
      <c r="LL67" s="18"/>
      <c r="LM67" s="18"/>
      <c r="LN67" s="18"/>
      <c r="LO67" s="18"/>
      <c r="LP67" s="18"/>
      <c r="LQ67" s="18"/>
      <c r="LR67" s="18"/>
      <c r="LS67" s="18"/>
      <c r="LT67" s="18"/>
      <c r="LU67" s="18"/>
      <c r="LV67" s="18"/>
      <c r="LW67" s="18"/>
      <c r="LX67" s="18"/>
      <c r="LY67" s="18"/>
      <c r="LZ67" s="18"/>
      <c r="MA67" s="18"/>
      <c r="MB67" s="18"/>
      <c r="MC67" s="18"/>
      <c r="MD67" s="18"/>
      <c r="ME67" s="18"/>
      <c r="MF67" s="18"/>
      <c r="MG67" s="18"/>
      <c r="MH67" s="18"/>
      <c r="MI67" s="18"/>
      <c r="MJ67" s="18"/>
      <c r="MK67" s="18"/>
      <c r="ML67" s="18"/>
      <c r="MM67" s="18"/>
      <c r="MN67" s="18"/>
      <c r="MO67" s="18"/>
      <c r="MP67" s="18"/>
      <c r="MQ67" s="18"/>
      <c r="MR67" s="18"/>
      <c r="MS67" s="18"/>
      <c r="MT67" s="18"/>
      <c r="MU67" s="18"/>
      <c r="MV67" s="18"/>
      <c r="MW67" s="18"/>
      <c r="MX67" s="18"/>
      <c r="MY67" s="18"/>
      <c r="MZ67" s="18"/>
      <c r="NA67" s="18"/>
      <c r="NB67" s="18"/>
      <c r="NC67" s="18"/>
      <c r="ND67" s="18"/>
      <c r="NE67" s="18"/>
      <c r="NF67" s="18"/>
      <c r="NG67" s="18"/>
      <c r="NH67" s="18"/>
      <c r="NI67" s="18"/>
      <c r="NJ67" s="18"/>
      <c r="NK67" s="18"/>
      <c r="NL67" s="18"/>
      <c r="NM67" s="18"/>
      <c r="NN67" s="18"/>
      <c r="NO67" s="18"/>
      <c r="NP67" s="18"/>
      <c r="NQ67" s="18"/>
      <c r="NR67" s="18"/>
      <c r="NS67" s="18"/>
      <c r="NT67" s="18"/>
      <c r="NU67" s="18"/>
      <c r="NV67" s="18"/>
      <c r="NW67" s="18"/>
      <c r="NX67" s="18"/>
      <c r="NY67" s="18"/>
      <c r="NZ67" s="18"/>
      <c r="OA67" s="18"/>
      <c r="OB67" s="18"/>
      <c r="OC67" s="18"/>
      <c r="OD67" s="18"/>
      <c r="OE67" s="18"/>
      <c r="OF67" s="18"/>
      <c r="OG67" s="18"/>
      <c r="OH67" s="18"/>
      <c r="OI67" s="18"/>
      <c r="OJ67" s="18"/>
      <c r="OK67" s="18"/>
      <c r="OL67" s="18"/>
      <c r="OM67" s="18"/>
      <c r="ON67" s="18"/>
      <c r="OO67" s="18"/>
      <c r="OP67" s="18"/>
      <c r="OQ67" s="18"/>
      <c r="OR67" s="18"/>
      <c r="OS67" s="18"/>
      <c r="OT67" s="18"/>
      <c r="OU67" s="18"/>
      <c r="OV67" s="18"/>
      <c r="OW67" s="18"/>
      <c r="OX67" s="18"/>
      <c r="OY67" s="18"/>
      <c r="OZ67" s="18"/>
      <c r="PA67" s="18"/>
      <c r="PB67" s="18"/>
      <c r="PC67" s="18"/>
      <c r="PD67" s="18"/>
      <c r="PE67" s="18"/>
      <c r="PF67" s="18"/>
      <c r="PG67" s="18"/>
      <c r="PH67" s="18"/>
      <c r="PI67" s="18"/>
      <c r="PJ67" s="18"/>
      <c r="PK67" s="18"/>
      <c r="PL67" s="18"/>
      <c r="PM67" s="18"/>
      <c r="PN67" s="18"/>
      <c r="PO67" s="18"/>
      <c r="PP67" s="18"/>
      <c r="PQ67" s="18"/>
      <c r="PR67" s="18"/>
      <c r="PS67" s="18"/>
      <c r="PT67" s="18"/>
      <c r="PU67" s="18"/>
      <c r="PV67" s="18"/>
      <c r="PW67" s="18"/>
      <c r="PX67" s="18"/>
      <c r="PY67" s="18"/>
      <c r="PZ67" s="18"/>
      <c r="QA67" s="18"/>
      <c r="QB67" s="18"/>
      <c r="QC67" s="18"/>
      <c r="QD67" s="18"/>
      <c r="QE67" s="18"/>
      <c r="QF67" s="18"/>
      <c r="QG67" s="18"/>
      <c r="QH67" s="18"/>
      <c r="QI67" s="18"/>
      <c r="QJ67" s="18"/>
      <c r="QK67" s="18"/>
      <c r="QL67" s="18"/>
      <c r="QM67" s="18"/>
      <c r="QN67" s="18"/>
      <c r="QO67" s="18"/>
      <c r="QP67" s="18"/>
      <c r="QQ67" s="18"/>
      <c r="QR67" s="18"/>
      <c r="QS67" s="18"/>
      <c r="QT67" s="18"/>
      <c r="QU67" s="18"/>
      <c r="QV67" s="18"/>
      <c r="QW67" s="18"/>
      <c r="QX67" s="18"/>
      <c r="QY67" s="18"/>
      <c r="QZ67" s="18"/>
      <c r="RA67" s="18"/>
      <c r="RB67" s="18"/>
      <c r="RC67" s="18"/>
      <c r="RD67" s="18"/>
      <c r="RE67" s="18"/>
      <c r="RF67" s="18"/>
      <c r="RG67" s="18"/>
      <c r="RH67" s="18"/>
      <c r="RI67" s="18"/>
      <c r="RJ67" s="18"/>
      <c r="RK67" s="18"/>
      <c r="RL67" s="18"/>
      <c r="RM67" s="18"/>
      <c r="RN67" s="18"/>
      <c r="RO67" s="18"/>
      <c r="RP67" s="18"/>
      <c r="RQ67" s="18"/>
      <c r="RR67" s="18"/>
      <c r="RS67" s="18"/>
      <c r="RT67" s="18"/>
      <c r="RU67" s="18"/>
      <c r="RV67" s="18"/>
      <c r="RW67" s="18"/>
      <c r="RX67" s="18"/>
      <c r="RY67" s="18"/>
      <c r="RZ67" s="18"/>
      <c r="SA67" s="18"/>
      <c r="SB67" s="18"/>
      <c r="SC67" s="18"/>
      <c r="SD67" s="18"/>
      <c r="SE67" s="18"/>
      <c r="SF67" s="18"/>
      <c r="SG67" s="18"/>
      <c r="SH67" s="18"/>
      <c r="SI67" s="18"/>
      <c r="SJ67" s="18"/>
      <c r="SK67" s="18"/>
      <c r="SL67" s="18"/>
      <c r="SM67" s="18"/>
      <c r="SN67" s="18"/>
      <c r="SO67" s="18"/>
      <c r="SP67" s="18"/>
      <c r="SQ67" s="18"/>
      <c r="SR67" s="18"/>
      <c r="SS67" s="18"/>
      <c r="ST67" s="18"/>
      <c r="SU67" s="18"/>
      <c r="SV67" s="18"/>
      <c r="SW67" s="18"/>
      <c r="SX67" s="18"/>
      <c r="SY67" s="18"/>
      <c r="SZ67" s="18"/>
      <c r="TA67" s="18"/>
      <c r="TB67" s="18"/>
      <c r="TC67" s="18"/>
      <c r="TD67" s="18"/>
      <c r="TE67" s="18"/>
      <c r="TF67" s="18"/>
      <c r="TG67" s="18"/>
      <c r="TH67" s="18"/>
      <c r="TI67" s="18"/>
      <c r="TJ67" s="18"/>
      <c r="TK67" s="18"/>
      <c r="TL67" s="18"/>
      <c r="TM67" s="18"/>
      <c r="TN67" s="18"/>
      <c r="TO67" s="18"/>
      <c r="TP67" s="18"/>
      <c r="TQ67" s="18"/>
      <c r="TR67" s="18"/>
      <c r="TS67" s="18"/>
      <c r="TT67" s="18"/>
      <c r="TU67" s="18"/>
      <c r="TV67" s="18"/>
      <c r="TW67" s="18"/>
      <c r="TX67" s="18"/>
      <c r="TY67" s="18"/>
      <c r="TZ67" s="18"/>
      <c r="UA67" s="18"/>
      <c r="UB67" s="18"/>
      <c r="UC67" s="18"/>
      <c r="UD67" s="18"/>
      <c r="UE67" s="18"/>
      <c r="UF67" s="18"/>
      <c r="UG67" s="18"/>
      <c r="UH67" s="18"/>
      <c r="UI67" s="18"/>
      <c r="UJ67" s="18"/>
      <c r="UK67" s="18"/>
      <c r="UL67" s="18"/>
      <c r="UM67" s="18"/>
      <c r="UN67" s="18"/>
      <c r="UO67" s="18"/>
      <c r="UP67" s="18"/>
      <c r="UQ67" s="18"/>
      <c r="UR67" s="18"/>
      <c r="US67" s="18"/>
      <c r="UT67" s="18"/>
      <c r="UU67" s="18"/>
      <c r="UV67" s="18"/>
      <c r="UW67" s="18"/>
      <c r="UX67" s="18"/>
      <c r="UY67" s="18"/>
      <c r="UZ67" s="18"/>
      <c r="VA67" s="18"/>
      <c r="VB67" s="18"/>
      <c r="VC67" s="18"/>
      <c r="VD67" s="18"/>
      <c r="VE67" s="18"/>
      <c r="VF67" s="18"/>
      <c r="VG67" s="18"/>
      <c r="VH67" s="18"/>
      <c r="VI67" s="18"/>
      <c r="VJ67" s="18"/>
      <c r="VK67" s="18"/>
      <c r="VL67" s="18"/>
      <c r="VM67" s="18"/>
      <c r="VN67" s="18"/>
      <c r="VO67" s="18"/>
      <c r="VP67" s="18"/>
      <c r="VQ67" s="18"/>
      <c r="VR67" s="18"/>
      <c r="VS67" s="18"/>
      <c r="VT67" s="18"/>
      <c r="VU67" s="18"/>
      <c r="VV67" s="18"/>
      <c r="VW67" s="18"/>
      <c r="VX67" s="18"/>
      <c r="VY67" s="18"/>
      <c r="VZ67" s="18"/>
      <c r="WA67" s="18"/>
      <c r="WB67" s="18"/>
      <c r="WC67" s="18"/>
      <c r="WD67" s="18"/>
      <c r="WE67" s="18"/>
      <c r="WF67" s="18"/>
      <c r="WG67" s="18"/>
      <c r="WH67" s="18"/>
      <c r="WI67" s="18"/>
      <c r="WJ67" s="18"/>
      <c r="WK67" s="18"/>
      <c r="WL67" s="18"/>
      <c r="WM67" s="18"/>
      <c r="WN67" s="18"/>
      <c r="WO67" s="18"/>
      <c r="WP67" s="18"/>
      <c r="WQ67" s="18"/>
      <c r="WR67" s="18"/>
      <c r="WS67" s="18"/>
      <c r="WT67" s="18"/>
      <c r="WU67" s="18"/>
      <c r="WV67" s="18"/>
      <c r="WW67" s="18"/>
      <c r="WX67" s="18"/>
      <c r="WY67" s="18"/>
      <c r="WZ67" s="18"/>
      <c r="XA67" s="18"/>
      <c r="XB67" s="18"/>
      <c r="XC67" s="18"/>
      <c r="XD67" s="18"/>
      <c r="XE67" s="18"/>
      <c r="XF67" s="18"/>
      <c r="XG67" s="18"/>
      <c r="XH67" s="18"/>
      <c r="XI67" s="18"/>
      <c r="XJ67" s="18"/>
      <c r="XK67" s="18"/>
      <c r="XL67" s="18"/>
      <c r="XM67" s="18"/>
      <c r="XN67" s="18"/>
      <c r="XO67" s="18"/>
      <c r="XP67" s="18"/>
      <c r="XQ67" s="18"/>
      <c r="XR67" s="18"/>
      <c r="XS67" s="18"/>
      <c r="XT67" s="18"/>
      <c r="XU67" s="18"/>
      <c r="XV67" s="18"/>
      <c r="XW67" s="18"/>
      <c r="XX67" s="18"/>
      <c r="XY67" s="18"/>
      <c r="XZ67" s="18"/>
      <c r="YA67" s="18"/>
      <c r="YB67" s="18"/>
      <c r="YC67" s="18"/>
      <c r="YD67" s="18"/>
      <c r="YE67" s="18"/>
      <c r="YF67" s="18"/>
      <c r="YG67" s="18"/>
      <c r="YH67" s="18"/>
      <c r="YI67" s="18"/>
      <c r="YJ67" s="18"/>
      <c r="YK67" s="18"/>
      <c r="YL67" s="18"/>
      <c r="YM67" s="18"/>
      <c r="YN67" s="18"/>
      <c r="YO67" s="18"/>
      <c r="YP67" s="18"/>
      <c r="YQ67" s="18"/>
      <c r="YR67" s="18"/>
      <c r="YS67" s="18"/>
      <c r="YT67" s="18"/>
      <c r="YU67" s="18"/>
      <c r="YV67" s="18"/>
      <c r="YW67" s="18"/>
      <c r="YX67" s="18"/>
      <c r="YY67" s="18"/>
      <c r="YZ67" s="18"/>
      <c r="ZA67" s="18"/>
      <c r="ZB67" s="18"/>
      <c r="ZC67" s="18"/>
      <c r="ZD67" s="18"/>
      <c r="ZE67" s="18"/>
      <c r="ZF67" s="18"/>
      <c r="ZG67" s="18"/>
      <c r="ZH67" s="18"/>
      <c r="ZI67" s="18"/>
      <c r="ZJ67" s="18"/>
      <c r="ZK67" s="18"/>
      <c r="ZL67" s="18"/>
      <c r="ZM67" s="18"/>
      <c r="ZN67" s="18"/>
      <c r="ZO67" s="18"/>
      <c r="ZP67" s="18"/>
      <c r="ZQ67" s="18"/>
      <c r="ZR67" s="18"/>
      <c r="ZS67" s="18"/>
      <c r="ZT67" s="18"/>
      <c r="ZU67" s="18"/>
      <c r="ZV67" s="18"/>
      <c r="ZW67" s="18"/>
      <c r="ZX67" s="18"/>
      <c r="ZY67" s="18"/>
      <c r="ZZ67" s="18"/>
      <c r="AAA67" s="18"/>
      <c r="AAB67" s="18"/>
      <c r="AAC67" s="18"/>
      <c r="AAD67" s="18"/>
      <c r="AAE67" s="18"/>
      <c r="AAF67" s="18"/>
      <c r="AAG67" s="18"/>
      <c r="AAH67" s="18"/>
      <c r="AAI67" s="18"/>
      <c r="AAJ67" s="18"/>
      <c r="AAK67" s="18"/>
      <c r="AAL67" s="18"/>
      <c r="AAM67" s="18"/>
      <c r="AAN67" s="18"/>
      <c r="AAO67" s="18"/>
      <c r="AAP67" s="18"/>
      <c r="AAQ67" s="18"/>
      <c r="AAR67" s="18"/>
      <c r="AAS67" s="18"/>
      <c r="AAT67" s="18"/>
      <c r="AAU67" s="18"/>
      <c r="AAV67" s="18"/>
      <c r="AAW67" s="18"/>
      <c r="AAX67" s="18"/>
      <c r="AAY67" s="18"/>
      <c r="AAZ67" s="18"/>
      <c r="ABA67" s="18"/>
      <c r="ABB67" s="18"/>
      <c r="ABC67" s="18"/>
      <c r="ABD67" s="18"/>
      <c r="ABE67" s="18"/>
      <c r="ABF67" s="18"/>
      <c r="ABG67" s="18"/>
      <c r="ABH67" s="18"/>
      <c r="ABI67" s="18"/>
      <c r="ABJ67" s="18"/>
      <c r="ABK67" s="18"/>
      <c r="ABL67" s="18"/>
      <c r="ABM67" s="18"/>
      <c r="ABN67" s="18"/>
      <c r="ABO67" s="18"/>
      <c r="ABP67" s="18"/>
      <c r="ABQ67" s="18"/>
      <c r="ABR67" s="18"/>
      <c r="ABS67" s="18"/>
      <c r="ABT67" s="18"/>
      <c r="ABU67" s="18"/>
      <c r="ABV67" s="18"/>
      <c r="ABW67" s="18"/>
      <c r="ABX67" s="18"/>
      <c r="ABY67" s="18"/>
      <c r="ABZ67" s="18"/>
      <c r="ACA67" s="18"/>
      <c r="ACB67" s="18"/>
      <c r="ACC67" s="18"/>
      <c r="ACD67" s="18"/>
      <c r="ACE67" s="18"/>
      <c r="ACF67" s="18"/>
      <c r="ACG67" s="18"/>
      <c r="ACH67" s="18"/>
      <c r="ACI67" s="18"/>
      <c r="ACJ67" s="18"/>
      <c r="ACK67" s="18"/>
      <c r="ACL67" s="18"/>
      <c r="ACM67" s="18"/>
      <c r="ACN67" s="18"/>
      <c r="ACO67" s="18"/>
      <c r="ACP67" s="18"/>
      <c r="ACQ67" s="18"/>
      <c r="ACR67" s="18"/>
      <c r="ACS67" s="18"/>
      <c r="ACT67" s="18"/>
      <c r="ACU67" s="18"/>
      <c r="ACV67" s="18"/>
      <c r="ACW67" s="18"/>
      <c r="ACX67" s="18"/>
      <c r="ACY67" s="18"/>
      <c r="ACZ67" s="18"/>
      <c r="ADA67" s="18"/>
      <c r="ADB67" s="18"/>
      <c r="ADC67" s="18"/>
      <c r="ADD67" s="18"/>
      <c r="ADE67" s="18"/>
      <c r="ADF67" s="18"/>
      <c r="ADG67" s="18"/>
      <c r="ADH67" s="18"/>
      <c r="ADI67" s="18"/>
      <c r="ADJ67" s="18"/>
      <c r="ADK67" s="18"/>
      <c r="ADL67" s="18"/>
      <c r="ADM67" s="18"/>
      <c r="ADN67" s="18"/>
      <c r="ADO67" s="18"/>
      <c r="ADP67" s="18"/>
      <c r="ADQ67" s="18"/>
      <c r="ADR67" s="18"/>
      <c r="ADS67" s="18"/>
      <c r="ADT67" s="18"/>
      <c r="ADU67" s="18"/>
      <c r="ADV67" s="18"/>
      <c r="ADW67" s="18"/>
      <c r="ADX67" s="18"/>
      <c r="ADY67" s="18"/>
      <c r="ADZ67" s="18"/>
      <c r="AEA67" s="18"/>
      <c r="AEB67" s="18"/>
      <c r="AEC67" s="18"/>
      <c r="AED67" s="18"/>
      <c r="AEE67" s="18"/>
      <c r="AEF67" s="18"/>
      <c r="AEG67" s="18"/>
      <c r="AEH67" s="18"/>
      <c r="AEI67" s="18"/>
      <c r="AEJ67" s="18"/>
      <c r="AEK67" s="18"/>
      <c r="AEL67" s="18"/>
      <c r="AEM67" s="18"/>
      <c r="AEN67" s="18"/>
      <c r="AEO67" s="18"/>
      <c r="AEP67" s="18"/>
      <c r="AEQ67" s="18"/>
      <c r="AER67" s="18"/>
      <c r="AES67" s="18"/>
      <c r="AET67" s="18"/>
      <c r="AEU67" s="18"/>
      <c r="AEV67" s="18"/>
      <c r="AEW67" s="18"/>
      <c r="AEX67" s="18"/>
      <c r="AEY67" s="18"/>
      <c r="AEZ67" s="18"/>
      <c r="AFA67" s="18"/>
      <c r="AFB67" s="18"/>
      <c r="AFC67" s="18"/>
      <c r="AFD67" s="18"/>
      <c r="AFE67" s="18"/>
      <c r="AFF67" s="18"/>
      <c r="AFG67" s="18"/>
      <c r="AFH67" s="18"/>
      <c r="AFI67" s="18"/>
      <c r="AFJ67" s="18"/>
      <c r="AFK67" s="18"/>
      <c r="AFL67" s="18"/>
      <c r="AFM67" s="18"/>
      <c r="AFN67" s="18"/>
      <c r="AFO67" s="18"/>
      <c r="AFP67" s="18"/>
      <c r="AFQ67" s="18"/>
      <c r="AFR67" s="18"/>
      <c r="AFS67" s="18"/>
      <c r="AFT67" s="18"/>
      <c r="AFU67" s="18"/>
      <c r="AFV67" s="18"/>
      <c r="AFW67" s="18"/>
      <c r="AFX67" s="18"/>
      <c r="AFY67" s="18"/>
      <c r="AFZ67" s="18"/>
      <c r="AGA67" s="18"/>
      <c r="AGB67" s="18"/>
      <c r="AGC67" s="18"/>
      <c r="AGD67" s="18"/>
      <c r="AGE67" s="18"/>
      <c r="AGF67" s="18"/>
      <c r="AGG67" s="18"/>
      <c r="AGH67" s="18"/>
      <c r="AGI67" s="18"/>
      <c r="AGJ67" s="18"/>
      <c r="AGK67" s="18"/>
      <c r="AGL67" s="18"/>
      <c r="AGM67" s="18"/>
      <c r="AGN67" s="18"/>
      <c r="AGO67" s="18"/>
      <c r="AGP67" s="18"/>
      <c r="AGQ67" s="18"/>
      <c r="AGR67" s="18"/>
      <c r="AGS67" s="18"/>
      <c r="AGT67" s="18"/>
      <c r="AGU67" s="18"/>
      <c r="AGV67" s="18"/>
      <c r="AGW67" s="18"/>
      <c r="AGX67" s="18"/>
      <c r="AGY67" s="18"/>
      <c r="AGZ67" s="18"/>
      <c r="AHA67" s="18"/>
      <c r="AHB67" s="18"/>
      <c r="AHC67" s="18"/>
      <c r="AHD67" s="18"/>
      <c r="AHE67" s="18"/>
      <c r="AHF67" s="18"/>
      <c r="AHG67" s="18"/>
      <c r="AHH67" s="18"/>
      <c r="AHI67" s="18"/>
      <c r="AHJ67" s="18"/>
      <c r="AHK67" s="18"/>
      <c r="AHL67" s="18"/>
      <c r="AHM67" s="18"/>
      <c r="AHN67" s="18"/>
      <c r="AHO67" s="18"/>
      <c r="AHP67" s="18"/>
      <c r="AHQ67" s="18"/>
      <c r="AHR67" s="18"/>
      <c r="AHS67" s="18"/>
      <c r="AHT67" s="18"/>
      <c r="AHU67" s="18"/>
      <c r="AHV67" s="18"/>
      <c r="AHW67" s="18"/>
      <c r="AHX67" s="18"/>
      <c r="AHY67" s="18"/>
      <c r="AHZ67" s="18"/>
      <c r="AIA67" s="18"/>
      <c r="AIB67" s="18"/>
      <c r="AIC67" s="18"/>
      <c r="AID67" s="18"/>
      <c r="AIE67" s="18"/>
      <c r="AIF67" s="18"/>
      <c r="AIG67" s="18"/>
      <c r="AIH67" s="18"/>
      <c r="AII67" s="18"/>
      <c r="AIJ67" s="18"/>
      <c r="AIK67" s="18"/>
      <c r="AIL67" s="18"/>
      <c r="AIM67" s="18"/>
      <c r="AIN67" s="18"/>
      <c r="AIO67" s="18"/>
      <c r="AIP67" s="18"/>
      <c r="AIQ67" s="18"/>
      <c r="AIR67" s="18"/>
      <c r="AIS67" s="18"/>
      <c r="AIT67" s="18"/>
      <c r="AIU67" s="18"/>
      <c r="AIV67" s="18"/>
      <c r="AIW67" s="18"/>
      <c r="AIX67" s="18"/>
      <c r="AIY67" s="18"/>
      <c r="AIZ67" s="18"/>
      <c r="AJA67" s="18"/>
      <c r="AJB67" s="18"/>
      <c r="AJC67" s="18"/>
      <c r="AJD67" s="18"/>
      <c r="AJE67" s="18"/>
      <c r="AJF67" s="18"/>
      <c r="AJG67" s="18"/>
      <c r="AJH67" s="18"/>
      <c r="AJI67" s="18"/>
      <c r="AJJ67" s="18"/>
      <c r="AJK67" s="18"/>
      <c r="AJL67" s="18"/>
      <c r="AJM67" s="18"/>
      <c r="AJN67" s="18"/>
      <c r="AJO67" s="18"/>
      <c r="AJP67" s="18"/>
      <c r="AJQ67" s="18"/>
      <c r="AJR67" s="18"/>
      <c r="AJS67" s="18"/>
      <c r="AJT67" s="18"/>
      <c r="AJU67" s="18"/>
      <c r="AJV67" s="18"/>
      <c r="AJW67" s="18"/>
      <c r="AJX67" s="18"/>
      <c r="AJY67" s="18"/>
      <c r="AJZ67" s="18"/>
      <c r="AKA67" s="18"/>
      <c r="AKB67" s="18"/>
      <c r="AKC67" s="18"/>
      <c r="AKD67" s="18"/>
      <c r="AKE67" s="18"/>
      <c r="AKF67" s="18"/>
      <c r="AKG67" s="18"/>
      <c r="AKH67" s="18"/>
      <c r="AKI67" s="18"/>
      <c r="AKJ67" s="18"/>
      <c r="AKK67" s="18"/>
      <c r="AKL67" s="18"/>
      <c r="AKM67" s="18"/>
      <c r="AKN67" s="18"/>
      <c r="AKO67" s="18"/>
      <c r="AKP67" s="18"/>
      <c r="AKQ67" s="18"/>
      <c r="AKR67" s="18"/>
      <c r="AKS67" s="18"/>
      <c r="AKT67" s="18"/>
      <c r="AKU67" s="18"/>
      <c r="AKV67" s="18"/>
      <c r="AKW67" s="18"/>
      <c r="AKX67" s="18"/>
      <c r="AKY67" s="18"/>
      <c r="AKZ67" s="18"/>
      <c r="ALA67" s="18"/>
      <c r="ALB67" s="18"/>
      <c r="ALC67" s="18"/>
      <c r="ALD67" s="18"/>
      <c r="ALE67" s="18"/>
      <c r="ALF67" s="18"/>
      <c r="ALG67" s="18"/>
      <c r="ALH67" s="18"/>
      <c r="ALI67" s="18"/>
      <c r="ALJ67" s="18"/>
      <c r="ALK67" s="18"/>
      <c r="ALL67" s="18"/>
      <c r="ALM67" s="18"/>
      <c r="ALN67" s="18"/>
      <c r="ALO67" s="18"/>
      <c r="ALP67" s="18"/>
      <c r="ALQ67" s="18"/>
      <c r="ALR67" s="18"/>
      <c r="ALS67" s="18"/>
      <c r="ALT67" s="18"/>
      <c r="ALU67" s="18"/>
      <c r="ALV67" s="18"/>
      <c r="ALW67" s="18"/>
      <c r="ALX67" s="18"/>
      <c r="ALY67" s="18"/>
      <c r="ALZ67" s="18"/>
      <c r="AMA67" s="18"/>
      <c r="AMB67" s="18"/>
      <c r="AMC67" s="18"/>
      <c r="AMD67" s="18"/>
      <c r="AME67" s="18"/>
      <c r="AMF67" s="18"/>
      <c r="AMG67" s="18"/>
      <c r="AMH67" s="18"/>
    </row>
    <row r="68" spans="1:1022" s="23" customFormat="1" x14ac:dyDescent="0.3">
      <c r="A68" s="33">
        <v>164</v>
      </c>
      <c r="B68" s="19"/>
      <c r="C68" s="19"/>
      <c r="D68" s="34" t="s">
        <v>338</v>
      </c>
      <c r="E68" s="34" t="s">
        <v>453</v>
      </c>
      <c r="F68" s="39"/>
      <c r="G68" s="39"/>
      <c r="H68" s="38" t="s">
        <v>281</v>
      </c>
      <c r="I68" s="31"/>
      <c r="J68" s="31"/>
      <c r="K68" s="31"/>
      <c r="L68" s="31"/>
      <c r="M68" s="32"/>
      <c r="N68" s="32"/>
      <c r="O68" s="18"/>
      <c r="P68" s="36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18"/>
      <c r="BK68" s="18"/>
      <c r="BL68" s="18"/>
      <c r="BM68" s="18"/>
      <c r="BN68" s="18"/>
      <c r="BO68" s="18"/>
      <c r="BP68" s="18"/>
      <c r="BQ68" s="18"/>
      <c r="BR68" s="18"/>
      <c r="BS68" s="18"/>
      <c r="BT68" s="18"/>
      <c r="BU68" s="18"/>
      <c r="BV68" s="18"/>
      <c r="BW68" s="18"/>
      <c r="BX68" s="18"/>
      <c r="BY68" s="18"/>
      <c r="BZ68" s="18"/>
      <c r="CA68" s="18"/>
      <c r="CB68" s="18"/>
      <c r="CC68" s="18"/>
      <c r="CD68" s="18"/>
      <c r="CE68" s="18"/>
      <c r="CF68" s="18"/>
      <c r="CG68" s="18"/>
      <c r="CH68" s="18"/>
      <c r="CI68" s="18"/>
      <c r="CJ68" s="18"/>
      <c r="CK68" s="18"/>
      <c r="CL68" s="18"/>
      <c r="CM68" s="18"/>
      <c r="CN68" s="18"/>
      <c r="CO68" s="18"/>
      <c r="CP68" s="18"/>
      <c r="CQ68" s="18"/>
      <c r="CR68" s="18"/>
      <c r="CS68" s="18"/>
      <c r="CT68" s="18"/>
      <c r="CU68" s="18"/>
      <c r="CV68" s="18"/>
      <c r="CW68" s="18"/>
      <c r="CX68" s="18"/>
      <c r="CY68" s="18"/>
      <c r="CZ68" s="18"/>
      <c r="DA68" s="18"/>
      <c r="DB68" s="18"/>
      <c r="DC68" s="18"/>
      <c r="DD68" s="18"/>
      <c r="DE68" s="18"/>
      <c r="DF68" s="18"/>
      <c r="DG68" s="18"/>
      <c r="DH68" s="18"/>
      <c r="DI68" s="18"/>
      <c r="DJ68" s="18"/>
      <c r="DK68" s="18"/>
      <c r="DL68" s="18"/>
      <c r="DM68" s="18"/>
      <c r="DN68" s="18"/>
      <c r="DO68" s="18"/>
      <c r="DP68" s="18"/>
      <c r="DQ68" s="18"/>
      <c r="DR68" s="18"/>
      <c r="DS68" s="18"/>
      <c r="DT68" s="18"/>
      <c r="DU68" s="18"/>
      <c r="DV68" s="18"/>
      <c r="DW68" s="18"/>
      <c r="DX68" s="18"/>
      <c r="DY68" s="18"/>
      <c r="DZ68" s="18"/>
      <c r="EA68" s="18"/>
      <c r="EB68" s="18"/>
      <c r="EC68" s="18"/>
      <c r="ED68" s="18"/>
      <c r="EE68" s="18"/>
      <c r="EF68" s="18"/>
      <c r="EG68" s="18"/>
      <c r="EH68" s="18"/>
      <c r="EI68" s="18"/>
      <c r="EJ68" s="18"/>
      <c r="EK68" s="18"/>
      <c r="EL68" s="18"/>
      <c r="EM68" s="18"/>
      <c r="EN68" s="18"/>
      <c r="EO68" s="18"/>
      <c r="EP68" s="18"/>
      <c r="EQ68" s="18"/>
      <c r="ER68" s="18"/>
      <c r="ES68" s="18"/>
      <c r="ET68" s="18"/>
      <c r="EU68" s="18"/>
      <c r="EV68" s="18"/>
      <c r="EW68" s="18"/>
      <c r="EX68" s="18"/>
      <c r="EY68" s="18"/>
      <c r="EZ68" s="18"/>
      <c r="FA68" s="18"/>
      <c r="FB68" s="18"/>
      <c r="FC68" s="18"/>
      <c r="FD68" s="18"/>
      <c r="FE68" s="18"/>
      <c r="FF68" s="18"/>
      <c r="FG68" s="18"/>
      <c r="FH68" s="18"/>
      <c r="FI68" s="18"/>
      <c r="FJ68" s="18"/>
      <c r="FK68" s="18"/>
      <c r="FL68" s="18"/>
      <c r="FM68" s="18"/>
      <c r="FN68" s="18"/>
      <c r="FO68" s="18"/>
      <c r="FP68" s="18"/>
      <c r="FQ68" s="18"/>
      <c r="FR68" s="18"/>
      <c r="FS68" s="18"/>
      <c r="FT68" s="18"/>
      <c r="FU68" s="18"/>
      <c r="FV68" s="18"/>
      <c r="FW68" s="18"/>
      <c r="FX68" s="18"/>
      <c r="FY68" s="18"/>
      <c r="FZ68" s="18"/>
      <c r="GA68" s="18"/>
      <c r="GB68" s="18"/>
      <c r="GC68" s="18"/>
      <c r="GD68" s="18"/>
      <c r="GE68" s="18"/>
      <c r="GF68" s="18"/>
      <c r="GG68" s="18"/>
      <c r="GH68" s="18"/>
      <c r="GI68" s="18"/>
      <c r="GJ68" s="18"/>
      <c r="GK68" s="18"/>
      <c r="GL68" s="18"/>
      <c r="GM68" s="18"/>
      <c r="GN68" s="18"/>
      <c r="GO68" s="18"/>
      <c r="GP68" s="18"/>
      <c r="GQ68" s="18"/>
      <c r="GR68" s="18"/>
      <c r="GS68" s="18"/>
      <c r="GT68" s="18"/>
      <c r="GU68" s="18"/>
      <c r="GV68" s="18"/>
      <c r="GW68" s="18"/>
      <c r="GX68" s="18"/>
      <c r="GY68" s="18"/>
      <c r="GZ68" s="18"/>
      <c r="HA68" s="18"/>
      <c r="HB68" s="18"/>
      <c r="HC68" s="18"/>
      <c r="HD68" s="18"/>
      <c r="HE68" s="18"/>
      <c r="HF68" s="18"/>
      <c r="HG68" s="18"/>
      <c r="HH68" s="18"/>
      <c r="HI68" s="18"/>
      <c r="HJ68" s="18"/>
      <c r="HK68" s="18"/>
      <c r="HL68" s="18"/>
      <c r="HM68" s="18"/>
      <c r="HN68" s="18"/>
      <c r="HO68" s="18"/>
      <c r="HP68" s="18"/>
      <c r="HQ68" s="18"/>
      <c r="HR68" s="18"/>
      <c r="HS68" s="18"/>
      <c r="HT68" s="18"/>
      <c r="HU68" s="18"/>
      <c r="HV68" s="18"/>
      <c r="HW68" s="18"/>
      <c r="HX68" s="18"/>
      <c r="HY68" s="18"/>
      <c r="HZ68" s="18"/>
      <c r="IA68" s="18"/>
      <c r="IB68" s="18"/>
      <c r="IC68" s="18"/>
      <c r="ID68" s="18"/>
      <c r="IE68" s="18"/>
      <c r="IF68" s="18"/>
      <c r="IG68" s="18"/>
      <c r="IH68" s="18"/>
      <c r="II68" s="18"/>
      <c r="IJ68" s="18"/>
      <c r="IK68" s="18"/>
      <c r="IL68" s="18"/>
      <c r="IM68" s="18"/>
      <c r="IN68" s="18"/>
      <c r="IO68" s="18"/>
      <c r="IP68" s="18"/>
      <c r="IQ68" s="18"/>
      <c r="IR68" s="18"/>
      <c r="IS68" s="18"/>
      <c r="IT68" s="18"/>
      <c r="IU68" s="18"/>
      <c r="IV68" s="18"/>
      <c r="IW68" s="18"/>
      <c r="IX68" s="18"/>
      <c r="IY68" s="18"/>
      <c r="IZ68" s="18"/>
      <c r="JA68" s="18"/>
      <c r="JB68" s="18"/>
      <c r="JC68" s="18"/>
      <c r="JD68" s="18"/>
      <c r="JE68" s="18"/>
      <c r="JF68" s="18"/>
      <c r="JG68" s="18"/>
      <c r="JH68" s="18"/>
      <c r="JI68" s="18"/>
      <c r="JJ68" s="18"/>
      <c r="JK68" s="18"/>
      <c r="JL68" s="18"/>
      <c r="JM68" s="18"/>
      <c r="JN68" s="18"/>
      <c r="JO68" s="18"/>
      <c r="JP68" s="18"/>
      <c r="JQ68" s="18"/>
      <c r="JR68" s="18"/>
      <c r="JS68" s="18"/>
      <c r="JT68" s="18"/>
      <c r="JU68" s="18"/>
      <c r="JV68" s="18"/>
      <c r="JW68" s="18"/>
      <c r="JX68" s="18"/>
      <c r="JY68" s="18"/>
      <c r="JZ68" s="18"/>
      <c r="KA68" s="18"/>
      <c r="KB68" s="18"/>
      <c r="KC68" s="18"/>
      <c r="KD68" s="18"/>
      <c r="KE68" s="18"/>
      <c r="KF68" s="18"/>
      <c r="KG68" s="18"/>
      <c r="KH68" s="18"/>
      <c r="KI68" s="18"/>
      <c r="KJ68" s="18"/>
      <c r="KK68" s="18"/>
      <c r="KL68" s="18"/>
      <c r="KM68" s="18"/>
      <c r="KN68" s="18"/>
      <c r="KO68" s="18"/>
      <c r="KP68" s="18"/>
      <c r="KQ68" s="18"/>
      <c r="KR68" s="18"/>
      <c r="KS68" s="18"/>
      <c r="KT68" s="18"/>
      <c r="KU68" s="18"/>
      <c r="KV68" s="18"/>
      <c r="KW68" s="18"/>
      <c r="KX68" s="18"/>
      <c r="KY68" s="18"/>
      <c r="KZ68" s="18"/>
      <c r="LA68" s="18"/>
      <c r="LB68" s="18"/>
      <c r="LC68" s="18"/>
      <c r="LD68" s="18"/>
      <c r="LE68" s="18"/>
      <c r="LF68" s="18"/>
      <c r="LG68" s="18"/>
      <c r="LH68" s="18"/>
      <c r="LI68" s="18"/>
      <c r="LJ68" s="18"/>
      <c r="LK68" s="18"/>
      <c r="LL68" s="18"/>
      <c r="LM68" s="18"/>
      <c r="LN68" s="18"/>
      <c r="LO68" s="18"/>
      <c r="LP68" s="18"/>
      <c r="LQ68" s="18"/>
      <c r="LR68" s="18"/>
      <c r="LS68" s="18"/>
      <c r="LT68" s="18"/>
      <c r="LU68" s="18"/>
      <c r="LV68" s="18"/>
      <c r="LW68" s="18"/>
      <c r="LX68" s="18"/>
      <c r="LY68" s="18"/>
      <c r="LZ68" s="18"/>
      <c r="MA68" s="18"/>
      <c r="MB68" s="18"/>
      <c r="MC68" s="18"/>
      <c r="MD68" s="18"/>
      <c r="ME68" s="18"/>
      <c r="MF68" s="18"/>
      <c r="MG68" s="18"/>
      <c r="MH68" s="18"/>
      <c r="MI68" s="18"/>
      <c r="MJ68" s="18"/>
      <c r="MK68" s="18"/>
      <c r="ML68" s="18"/>
      <c r="MM68" s="18"/>
      <c r="MN68" s="18"/>
      <c r="MO68" s="18"/>
      <c r="MP68" s="18"/>
      <c r="MQ68" s="18"/>
      <c r="MR68" s="18"/>
      <c r="MS68" s="18"/>
      <c r="MT68" s="18"/>
      <c r="MU68" s="18"/>
      <c r="MV68" s="18"/>
      <c r="MW68" s="18"/>
      <c r="MX68" s="18"/>
      <c r="MY68" s="18"/>
      <c r="MZ68" s="18"/>
      <c r="NA68" s="18"/>
      <c r="NB68" s="18"/>
      <c r="NC68" s="18"/>
      <c r="ND68" s="18"/>
      <c r="NE68" s="18"/>
      <c r="NF68" s="18"/>
      <c r="NG68" s="18"/>
      <c r="NH68" s="18"/>
      <c r="NI68" s="18"/>
      <c r="NJ68" s="18"/>
      <c r="NK68" s="18"/>
      <c r="NL68" s="18"/>
      <c r="NM68" s="18"/>
      <c r="NN68" s="18"/>
      <c r="NO68" s="18"/>
      <c r="NP68" s="18"/>
      <c r="NQ68" s="18"/>
      <c r="NR68" s="18"/>
      <c r="NS68" s="18"/>
      <c r="NT68" s="18"/>
      <c r="NU68" s="18"/>
      <c r="NV68" s="18"/>
      <c r="NW68" s="18"/>
      <c r="NX68" s="18"/>
      <c r="NY68" s="18"/>
      <c r="NZ68" s="18"/>
      <c r="OA68" s="18"/>
      <c r="OB68" s="18"/>
      <c r="OC68" s="18"/>
      <c r="OD68" s="18"/>
      <c r="OE68" s="18"/>
      <c r="OF68" s="18"/>
      <c r="OG68" s="18"/>
      <c r="OH68" s="18"/>
      <c r="OI68" s="18"/>
      <c r="OJ68" s="18"/>
      <c r="OK68" s="18"/>
      <c r="OL68" s="18"/>
      <c r="OM68" s="18"/>
      <c r="ON68" s="18"/>
      <c r="OO68" s="18"/>
      <c r="OP68" s="18"/>
      <c r="OQ68" s="18"/>
      <c r="OR68" s="18"/>
      <c r="OS68" s="18"/>
      <c r="OT68" s="18"/>
      <c r="OU68" s="18"/>
      <c r="OV68" s="18"/>
      <c r="OW68" s="18"/>
      <c r="OX68" s="18"/>
      <c r="OY68" s="18"/>
      <c r="OZ68" s="18"/>
      <c r="PA68" s="18"/>
      <c r="PB68" s="18"/>
      <c r="PC68" s="18"/>
      <c r="PD68" s="18"/>
      <c r="PE68" s="18"/>
      <c r="PF68" s="18"/>
      <c r="PG68" s="18"/>
      <c r="PH68" s="18"/>
      <c r="PI68" s="18"/>
      <c r="PJ68" s="18"/>
      <c r="PK68" s="18"/>
      <c r="PL68" s="18"/>
      <c r="PM68" s="18"/>
      <c r="PN68" s="18"/>
      <c r="PO68" s="18"/>
      <c r="PP68" s="18"/>
      <c r="PQ68" s="18"/>
      <c r="PR68" s="18"/>
      <c r="PS68" s="18"/>
      <c r="PT68" s="18"/>
      <c r="PU68" s="18"/>
      <c r="PV68" s="18"/>
      <c r="PW68" s="18"/>
      <c r="PX68" s="18"/>
      <c r="PY68" s="18"/>
      <c r="PZ68" s="18"/>
      <c r="QA68" s="18"/>
      <c r="QB68" s="18"/>
      <c r="QC68" s="18"/>
      <c r="QD68" s="18"/>
      <c r="QE68" s="18"/>
      <c r="QF68" s="18"/>
      <c r="QG68" s="18"/>
      <c r="QH68" s="18"/>
      <c r="QI68" s="18"/>
      <c r="QJ68" s="18"/>
      <c r="QK68" s="18"/>
      <c r="QL68" s="18"/>
      <c r="QM68" s="18"/>
      <c r="QN68" s="18"/>
      <c r="QO68" s="18"/>
      <c r="QP68" s="18"/>
      <c r="QQ68" s="18"/>
      <c r="QR68" s="18"/>
      <c r="QS68" s="18"/>
      <c r="QT68" s="18"/>
      <c r="QU68" s="18"/>
      <c r="QV68" s="18"/>
      <c r="QW68" s="18"/>
      <c r="QX68" s="18"/>
      <c r="QY68" s="18"/>
      <c r="QZ68" s="18"/>
      <c r="RA68" s="18"/>
      <c r="RB68" s="18"/>
      <c r="RC68" s="18"/>
      <c r="RD68" s="18"/>
      <c r="RE68" s="18"/>
      <c r="RF68" s="18"/>
      <c r="RG68" s="18"/>
      <c r="RH68" s="18"/>
      <c r="RI68" s="18"/>
      <c r="RJ68" s="18"/>
      <c r="RK68" s="18"/>
      <c r="RL68" s="18"/>
      <c r="RM68" s="18"/>
      <c r="RN68" s="18"/>
      <c r="RO68" s="18"/>
      <c r="RP68" s="18"/>
      <c r="RQ68" s="18"/>
      <c r="RR68" s="18"/>
      <c r="RS68" s="18"/>
      <c r="RT68" s="18"/>
      <c r="RU68" s="18"/>
      <c r="RV68" s="18"/>
      <c r="RW68" s="18"/>
      <c r="RX68" s="18"/>
      <c r="RY68" s="18"/>
      <c r="RZ68" s="18"/>
      <c r="SA68" s="18"/>
      <c r="SB68" s="18"/>
      <c r="SC68" s="18"/>
      <c r="SD68" s="18"/>
      <c r="SE68" s="18"/>
      <c r="SF68" s="18"/>
      <c r="SG68" s="18"/>
      <c r="SH68" s="18"/>
      <c r="SI68" s="18"/>
      <c r="SJ68" s="18"/>
      <c r="SK68" s="18"/>
      <c r="SL68" s="18"/>
      <c r="SM68" s="18"/>
      <c r="SN68" s="18"/>
      <c r="SO68" s="18"/>
      <c r="SP68" s="18"/>
      <c r="SQ68" s="18"/>
      <c r="SR68" s="18"/>
      <c r="SS68" s="18"/>
      <c r="ST68" s="18"/>
      <c r="SU68" s="18"/>
      <c r="SV68" s="18"/>
      <c r="SW68" s="18"/>
      <c r="SX68" s="18"/>
      <c r="SY68" s="18"/>
      <c r="SZ68" s="18"/>
      <c r="TA68" s="18"/>
      <c r="TB68" s="18"/>
      <c r="TC68" s="18"/>
      <c r="TD68" s="18"/>
      <c r="TE68" s="18"/>
      <c r="TF68" s="18"/>
      <c r="TG68" s="18"/>
      <c r="TH68" s="18"/>
      <c r="TI68" s="18"/>
      <c r="TJ68" s="18"/>
      <c r="TK68" s="18"/>
      <c r="TL68" s="18"/>
      <c r="TM68" s="18"/>
      <c r="TN68" s="18"/>
      <c r="TO68" s="18"/>
      <c r="TP68" s="18"/>
      <c r="TQ68" s="18"/>
      <c r="TR68" s="18"/>
      <c r="TS68" s="18"/>
      <c r="TT68" s="18"/>
      <c r="TU68" s="18"/>
      <c r="TV68" s="18"/>
      <c r="TW68" s="18"/>
      <c r="TX68" s="18"/>
      <c r="TY68" s="18"/>
      <c r="TZ68" s="18"/>
      <c r="UA68" s="18"/>
      <c r="UB68" s="18"/>
      <c r="UC68" s="18"/>
      <c r="UD68" s="18"/>
      <c r="UE68" s="18"/>
      <c r="UF68" s="18"/>
      <c r="UG68" s="18"/>
      <c r="UH68" s="18"/>
      <c r="UI68" s="18"/>
      <c r="UJ68" s="18"/>
      <c r="UK68" s="18"/>
      <c r="UL68" s="18"/>
      <c r="UM68" s="18"/>
      <c r="UN68" s="18"/>
      <c r="UO68" s="18"/>
      <c r="UP68" s="18"/>
      <c r="UQ68" s="18"/>
      <c r="UR68" s="18"/>
      <c r="US68" s="18"/>
      <c r="UT68" s="18"/>
      <c r="UU68" s="18"/>
      <c r="UV68" s="18"/>
      <c r="UW68" s="18"/>
      <c r="UX68" s="18"/>
      <c r="UY68" s="18"/>
      <c r="UZ68" s="18"/>
      <c r="VA68" s="18"/>
      <c r="VB68" s="18"/>
      <c r="VC68" s="18"/>
      <c r="VD68" s="18"/>
      <c r="VE68" s="18"/>
      <c r="VF68" s="18"/>
      <c r="VG68" s="18"/>
      <c r="VH68" s="18"/>
      <c r="VI68" s="18"/>
      <c r="VJ68" s="18"/>
      <c r="VK68" s="18"/>
      <c r="VL68" s="18"/>
      <c r="VM68" s="18"/>
      <c r="VN68" s="18"/>
      <c r="VO68" s="18"/>
      <c r="VP68" s="18"/>
      <c r="VQ68" s="18"/>
      <c r="VR68" s="18"/>
      <c r="VS68" s="18"/>
      <c r="VT68" s="18"/>
      <c r="VU68" s="18"/>
      <c r="VV68" s="18"/>
      <c r="VW68" s="18"/>
      <c r="VX68" s="18"/>
      <c r="VY68" s="18"/>
      <c r="VZ68" s="18"/>
      <c r="WA68" s="18"/>
      <c r="WB68" s="18"/>
      <c r="WC68" s="18"/>
      <c r="WD68" s="18"/>
      <c r="WE68" s="18"/>
      <c r="WF68" s="18"/>
      <c r="WG68" s="18"/>
      <c r="WH68" s="18"/>
      <c r="WI68" s="18"/>
      <c r="WJ68" s="18"/>
      <c r="WK68" s="18"/>
      <c r="WL68" s="18"/>
      <c r="WM68" s="18"/>
      <c r="WN68" s="18"/>
      <c r="WO68" s="18"/>
      <c r="WP68" s="18"/>
      <c r="WQ68" s="18"/>
      <c r="WR68" s="18"/>
      <c r="WS68" s="18"/>
      <c r="WT68" s="18"/>
      <c r="WU68" s="18"/>
      <c r="WV68" s="18"/>
      <c r="WW68" s="18"/>
      <c r="WX68" s="18"/>
      <c r="WY68" s="18"/>
      <c r="WZ68" s="18"/>
      <c r="XA68" s="18"/>
      <c r="XB68" s="18"/>
      <c r="XC68" s="18"/>
      <c r="XD68" s="18"/>
      <c r="XE68" s="18"/>
      <c r="XF68" s="18"/>
      <c r="XG68" s="18"/>
      <c r="XH68" s="18"/>
      <c r="XI68" s="18"/>
      <c r="XJ68" s="18"/>
      <c r="XK68" s="18"/>
      <c r="XL68" s="18"/>
      <c r="XM68" s="18"/>
      <c r="XN68" s="18"/>
      <c r="XO68" s="18"/>
      <c r="XP68" s="18"/>
      <c r="XQ68" s="18"/>
      <c r="XR68" s="18"/>
      <c r="XS68" s="18"/>
      <c r="XT68" s="18"/>
      <c r="XU68" s="18"/>
      <c r="XV68" s="18"/>
      <c r="XW68" s="18"/>
      <c r="XX68" s="18"/>
      <c r="XY68" s="18"/>
      <c r="XZ68" s="18"/>
      <c r="YA68" s="18"/>
      <c r="YB68" s="18"/>
      <c r="YC68" s="18"/>
      <c r="YD68" s="18"/>
      <c r="YE68" s="18"/>
      <c r="YF68" s="18"/>
      <c r="YG68" s="18"/>
      <c r="YH68" s="18"/>
      <c r="YI68" s="18"/>
      <c r="YJ68" s="18"/>
      <c r="YK68" s="18"/>
      <c r="YL68" s="18"/>
      <c r="YM68" s="18"/>
      <c r="YN68" s="18"/>
      <c r="YO68" s="18"/>
      <c r="YP68" s="18"/>
      <c r="YQ68" s="18"/>
      <c r="YR68" s="18"/>
      <c r="YS68" s="18"/>
      <c r="YT68" s="18"/>
      <c r="YU68" s="18"/>
      <c r="YV68" s="18"/>
      <c r="YW68" s="18"/>
      <c r="YX68" s="18"/>
      <c r="YY68" s="18"/>
      <c r="YZ68" s="18"/>
      <c r="ZA68" s="18"/>
      <c r="ZB68" s="18"/>
      <c r="ZC68" s="18"/>
      <c r="ZD68" s="18"/>
      <c r="ZE68" s="18"/>
      <c r="ZF68" s="18"/>
      <c r="ZG68" s="18"/>
      <c r="ZH68" s="18"/>
      <c r="ZI68" s="18"/>
      <c r="ZJ68" s="18"/>
      <c r="ZK68" s="18"/>
      <c r="ZL68" s="18"/>
      <c r="ZM68" s="18"/>
      <c r="ZN68" s="18"/>
      <c r="ZO68" s="18"/>
      <c r="ZP68" s="18"/>
      <c r="ZQ68" s="18"/>
      <c r="ZR68" s="18"/>
      <c r="ZS68" s="18"/>
      <c r="ZT68" s="18"/>
      <c r="ZU68" s="18"/>
      <c r="ZV68" s="18"/>
      <c r="ZW68" s="18"/>
      <c r="ZX68" s="18"/>
      <c r="ZY68" s="18"/>
      <c r="ZZ68" s="18"/>
      <c r="AAA68" s="18"/>
      <c r="AAB68" s="18"/>
      <c r="AAC68" s="18"/>
      <c r="AAD68" s="18"/>
      <c r="AAE68" s="18"/>
      <c r="AAF68" s="18"/>
      <c r="AAG68" s="18"/>
      <c r="AAH68" s="18"/>
      <c r="AAI68" s="18"/>
      <c r="AAJ68" s="18"/>
      <c r="AAK68" s="18"/>
      <c r="AAL68" s="18"/>
      <c r="AAM68" s="18"/>
      <c r="AAN68" s="18"/>
      <c r="AAO68" s="18"/>
      <c r="AAP68" s="18"/>
      <c r="AAQ68" s="18"/>
      <c r="AAR68" s="18"/>
      <c r="AAS68" s="18"/>
      <c r="AAT68" s="18"/>
      <c r="AAU68" s="18"/>
      <c r="AAV68" s="18"/>
      <c r="AAW68" s="18"/>
      <c r="AAX68" s="18"/>
      <c r="AAY68" s="18"/>
      <c r="AAZ68" s="18"/>
      <c r="ABA68" s="18"/>
      <c r="ABB68" s="18"/>
      <c r="ABC68" s="18"/>
      <c r="ABD68" s="18"/>
      <c r="ABE68" s="18"/>
      <c r="ABF68" s="18"/>
      <c r="ABG68" s="18"/>
      <c r="ABH68" s="18"/>
      <c r="ABI68" s="18"/>
      <c r="ABJ68" s="18"/>
      <c r="ABK68" s="18"/>
      <c r="ABL68" s="18"/>
      <c r="ABM68" s="18"/>
      <c r="ABN68" s="18"/>
      <c r="ABO68" s="18"/>
      <c r="ABP68" s="18"/>
      <c r="ABQ68" s="18"/>
      <c r="ABR68" s="18"/>
      <c r="ABS68" s="18"/>
      <c r="ABT68" s="18"/>
      <c r="ABU68" s="18"/>
      <c r="ABV68" s="18"/>
      <c r="ABW68" s="18"/>
      <c r="ABX68" s="18"/>
      <c r="ABY68" s="18"/>
      <c r="ABZ68" s="18"/>
      <c r="ACA68" s="18"/>
      <c r="ACB68" s="18"/>
      <c r="ACC68" s="18"/>
      <c r="ACD68" s="18"/>
      <c r="ACE68" s="18"/>
      <c r="ACF68" s="18"/>
      <c r="ACG68" s="18"/>
      <c r="ACH68" s="18"/>
      <c r="ACI68" s="18"/>
      <c r="ACJ68" s="18"/>
      <c r="ACK68" s="18"/>
      <c r="ACL68" s="18"/>
      <c r="ACM68" s="18"/>
      <c r="ACN68" s="18"/>
      <c r="ACO68" s="18"/>
      <c r="ACP68" s="18"/>
      <c r="ACQ68" s="18"/>
      <c r="ACR68" s="18"/>
      <c r="ACS68" s="18"/>
      <c r="ACT68" s="18"/>
      <c r="ACU68" s="18"/>
      <c r="ACV68" s="18"/>
      <c r="ACW68" s="18"/>
      <c r="ACX68" s="18"/>
      <c r="ACY68" s="18"/>
      <c r="ACZ68" s="18"/>
      <c r="ADA68" s="18"/>
      <c r="ADB68" s="18"/>
      <c r="ADC68" s="18"/>
      <c r="ADD68" s="18"/>
      <c r="ADE68" s="18"/>
      <c r="ADF68" s="18"/>
      <c r="ADG68" s="18"/>
      <c r="ADH68" s="18"/>
      <c r="ADI68" s="18"/>
      <c r="ADJ68" s="18"/>
      <c r="ADK68" s="18"/>
      <c r="ADL68" s="18"/>
      <c r="ADM68" s="18"/>
      <c r="ADN68" s="18"/>
      <c r="ADO68" s="18"/>
      <c r="ADP68" s="18"/>
      <c r="ADQ68" s="18"/>
      <c r="ADR68" s="18"/>
      <c r="ADS68" s="18"/>
      <c r="ADT68" s="18"/>
      <c r="ADU68" s="18"/>
      <c r="ADV68" s="18"/>
      <c r="ADW68" s="18"/>
      <c r="ADX68" s="18"/>
      <c r="ADY68" s="18"/>
      <c r="ADZ68" s="18"/>
      <c r="AEA68" s="18"/>
      <c r="AEB68" s="18"/>
      <c r="AEC68" s="18"/>
      <c r="AED68" s="18"/>
      <c r="AEE68" s="18"/>
      <c r="AEF68" s="18"/>
      <c r="AEG68" s="18"/>
      <c r="AEH68" s="18"/>
      <c r="AEI68" s="18"/>
      <c r="AEJ68" s="18"/>
      <c r="AEK68" s="18"/>
      <c r="AEL68" s="18"/>
      <c r="AEM68" s="18"/>
      <c r="AEN68" s="18"/>
      <c r="AEO68" s="18"/>
      <c r="AEP68" s="18"/>
      <c r="AEQ68" s="18"/>
      <c r="AER68" s="18"/>
      <c r="AES68" s="18"/>
      <c r="AET68" s="18"/>
      <c r="AEU68" s="18"/>
      <c r="AEV68" s="18"/>
      <c r="AEW68" s="18"/>
      <c r="AEX68" s="18"/>
      <c r="AEY68" s="18"/>
      <c r="AEZ68" s="18"/>
      <c r="AFA68" s="18"/>
      <c r="AFB68" s="18"/>
      <c r="AFC68" s="18"/>
      <c r="AFD68" s="18"/>
      <c r="AFE68" s="18"/>
      <c r="AFF68" s="18"/>
      <c r="AFG68" s="18"/>
      <c r="AFH68" s="18"/>
      <c r="AFI68" s="18"/>
      <c r="AFJ68" s="18"/>
      <c r="AFK68" s="18"/>
      <c r="AFL68" s="18"/>
      <c r="AFM68" s="18"/>
      <c r="AFN68" s="18"/>
      <c r="AFO68" s="18"/>
      <c r="AFP68" s="18"/>
      <c r="AFQ68" s="18"/>
      <c r="AFR68" s="18"/>
      <c r="AFS68" s="18"/>
      <c r="AFT68" s="18"/>
      <c r="AFU68" s="18"/>
      <c r="AFV68" s="18"/>
      <c r="AFW68" s="18"/>
      <c r="AFX68" s="18"/>
      <c r="AFY68" s="18"/>
      <c r="AFZ68" s="18"/>
      <c r="AGA68" s="18"/>
      <c r="AGB68" s="18"/>
      <c r="AGC68" s="18"/>
      <c r="AGD68" s="18"/>
      <c r="AGE68" s="18"/>
      <c r="AGF68" s="18"/>
      <c r="AGG68" s="18"/>
      <c r="AGH68" s="18"/>
      <c r="AGI68" s="18"/>
      <c r="AGJ68" s="18"/>
      <c r="AGK68" s="18"/>
      <c r="AGL68" s="18"/>
      <c r="AGM68" s="18"/>
      <c r="AGN68" s="18"/>
      <c r="AGO68" s="18"/>
      <c r="AGP68" s="18"/>
      <c r="AGQ68" s="18"/>
      <c r="AGR68" s="18"/>
      <c r="AGS68" s="18"/>
      <c r="AGT68" s="18"/>
      <c r="AGU68" s="18"/>
      <c r="AGV68" s="18"/>
      <c r="AGW68" s="18"/>
      <c r="AGX68" s="18"/>
      <c r="AGY68" s="18"/>
      <c r="AGZ68" s="18"/>
      <c r="AHA68" s="18"/>
      <c r="AHB68" s="18"/>
      <c r="AHC68" s="18"/>
      <c r="AHD68" s="18"/>
      <c r="AHE68" s="18"/>
      <c r="AHF68" s="18"/>
      <c r="AHG68" s="18"/>
      <c r="AHH68" s="18"/>
      <c r="AHI68" s="18"/>
      <c r="AHJ68" s="18"/>
      <c r="AHK68" s="18"/>
      <c r="AHL68" s="18"/>
      <c r="AHM68" s="18"/>
      <c r="AHN68" s="18"/>
      <c r="AHO68" s="18"/>
      <c r="AHP68" s="18"/>
      <c r="AHQ68" s="18"/>
      <c r="AHR68" s="18"/>
      <c r="AHS68" s="18"/>
      <c r="AHT68" s="18"/>
      <c r="AHU68" s="18"/>
      <c r="AHV68" s="18"/>
      <c r="AHW68" s="18"/>
      <c r="AHX68" s="18"/>
      <c r="AHY68" s="18"/>
      <c r="AHZ68" s="18"/>
      <c r="AIA68" s="18"/>
      <c r="AIB68" s="18"/>
      <c r="AIC68" s="18"/>
      <c r="AID68" s="18"/>
      <c r="AIE68" s="18"/>
      <c r="AIF68" s="18"/>
      <c r="AIG68" s="18"/>
      <c r="AIH68" s="18"/>
      <c r="AII68" s="18"/>
      <c r="AIJ68" s="18"/>
      <c r="AIK68" s="18"/>
      <c r="AIL68" s="18"/>
      <c r="AIM68" s="18"/>
      <c r="AIN68" s="18"/>
      <c r="AIO68" s="18"/>
      <c r="AIP68" s="18"/>
      <c r="AIQ68" s="18"/>
      <c r="AIR68" s="18"/>
      <c r="AIS68" s="18"/>
      <c r="AIT68" s="18"/>
      <c r="AIU68" s="18"/>
      <c r="AIV68" s="18"/>
      <c r="AIW68" s="18"/>
      <c r="AIX68" s="18"/>
      <c r="AIY68" s="18"/>
      <c r="AIZ68" s="18"/>
      <c r="AJA68" s="18"/>
      <c r="AJB68" s="18"/>
      <c r="AJC68" s="18"/>
      <c r="AJD68" s="18"/>
      <c r="AJE68" s="18"/>
      <c r="AJF68" s="18"/>
      <c r="AJG68" s="18"/>
      <c r="AJH68" s="18"/>
      <c r="AJI68" s="18"/>
      <c r="AJJ68" s="18"/>
      <c r="AJK68" s="18"/>
      <c r="AJL68" s="18"/>
      <c r="AJM68" s="18"/>
      <c r="AJN68" s="18"/>
      <c r="AJO68" s="18"/>
      <c r="AJP68" s="18"/>
      <c r="AJQ68" s="18"/>
      <c r="AJR68" s="18"/>
      <c r="AJS68" s="18"/>
      <c r="AJT68" s="18"/>
      <c r="AJU68" s="18"/>
      <c r="AJV68" s="18"/>
      <c r="AJW68" s="18"/>
      <c r="AJX68" s="18"/>
      <c r="AJY68" s="18"/>
      <c r="AJZ68" s="18"/>
      <c r="AKA68" s="18"/>
      <c r="AKB68" s="18"/>
      <c r="AKC68" s="18"/>
      <c r="AKD68" s="18"/>
      <c r="AKE68" s="18"/>
      <c r="AKF68" s="18"/>
      <c r="AKG68" s="18"/>
      <c r="AKH68" s="18"/>
      <c r="AKI68" s="18"/>
      <c r="AKJ68" s="18"/>
      <c r="AKK68" s="18"/>
      <c r="AKL68" s="18"/>
      <c r="AKM68" s="18"/>
      <c r="AKN68" s="18"/>
      <c r="AKO68" s="18"/>
      <c r="AKP68" s="18"/>
      <c r="AKQ68" s="18"/>
      <c r="AKR68" s="18"/>
      <c r="AKS68" s="18"/>
      <c r="AKT68" s="18"/>
      <c r="AKU68" s="18"/>
      <c r="AKV68" s="18"/>
      <c r="AKW68" s="18"/>
      <c r="AKX68" s="18"/>
      <c r="AKY68" s="18"/>
      <c r="AKZ68" s="18"/>
      <c r="ALA68" s="18"/>
      <c r="ALB68" s="18"/>
      <c r="ALC68" s="18"/>
      <c r="ALD68" s="18"/>
      <c r="ALE68" s="18"/>
      <c r="ALF68" s="18"/>
      <c r="ALG68" s="18"/>
      <c r="ALH68" s="18"/>
      <c r="ALI68" s="18"/>
      <c r="ALJ68" s="18"/>
      <c r="ALK68" s="18"/>
      <c r="ALL68" s="18"/>
      <c r="ALM68" s="18"/>
      <c r="ALN68" s="18"/>
      <c r="ALO68" s="18"/>
      <c r="ALP68" s="18"/>
      <c r="ALQ68" s="18"/>
      <c r="ALR68" s="18"/>
      <c r="ALS68" s="18"/>
      <c r="ALT68" s="18"/>
      <c r="ALU68" s="18"/>
      <c r="ALV68" s="18"/>
      <c r="ALW68" s="18"/>
      <c r="ALX68" s="18"/>
      <c r="ALY68" s="18"/>
      <c r="ALZ68" s="18"/>
      <c r="AMA68" s="18"/>
      <c r="AMB68" s="18"/>
      <c r="AMC68" s="18"/>
      <c r="AMD68" s="18"/>
      <c r="AME68" s="18"/>
      <c r="AMF68" s="18"/>
      <c r="AMG68" s="18"/>
      <c r="AMH68" s="18"/>
    </row>
    <row r="69" spans="1:1022" s="23" customFormat="1" x14ac:dyDescent="0.3">
      <c r="A69" s="33">
        <v>165</v>
      </c>
      <c r="B69" s="19"/>
      <c r="C69" s="19"/>
      <c r="D69" s="58" t="s">
        <v>339</v>
      </c>
      <c r="E69" s="34" t="s">
        <v>489</v>
      </c>
      <c r="F69" s="42">
        <v>26</v>
      </c>
      <c r="G69" s="19"/>
      <c r="H69" s="38" t="s">
        <v>281</v>
      </c>
      <c r="I69" s="31"/>
      <c r="J69" s="31"/>
      <c r="K69" s="31"/>
      <c r="L69" s="31"/>
      <c r="M69" s="32"/>
      <c r="N69" s="32"/>
      <c r="O69" s="18"/>
      <c r="P69" s="36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18"/>
      <c r="BK69" s="18"/>
      <c r="BL69" s="18"/>
      <c r="BM69" s="18"/>
      <c r="BN69" s="18"/>
      <c r="BO69" s="18"/>
      <c r="BP69" s="18"/>
      <c r="BQ69" s="18"/>
      <c r="BR69" s="18"/>
      <c r="BS69" s="18"/>
      <c r="BT69" s="18"/>
      <c r="BU69" s="18"/>
      <c r="BV69" s="18"/>
      <c r="BW69" s="18"/>
      <c r="BX69" s="18"/>
      <c r="BY69" s="18"/>
      <c r="BZ69" s="18"/>
      <c r="CA69" s="18"/>
      <c r="CB69" s="18"/>
      <c r="CC69" s="18"/>
      <c r="CD69" s="18"/>
      <c r="CE69" s="18"/>
      <c r="CF69" s="18"/>
      <c r="CG69" s="18"/>
      <c r="CH69" s="18"/>
      <c r="CI69" s="18"/>
      <c r="CJ69" s="18"/>
      <c r="CK69" s="18"/>
      <c r="CL69" s="18"/>
      <c r="CM69" s="18"/>
      <c r="CN69" s="18"/>
      <c r="CO69" s="18"/>
      <c r="CP69" s="18"/>
      <c r="CQ69" s="18"/>
      <c r="CR69" s="18"/>
      <c r="CS69" s="18"/>
      <c r="CT69" s="18"/>
      <c r="CU69" s="18"/>
      <c r="CV69" s="18"/>
      <c r="CW69" s="18"/>
      <c r="CX69" s="18"/>
      <c r="CY69" s="18"/>
      <c r="CZ69" s="18"/>
      <c r="DA69" s="18"/>
      <c r="DB69" s="18"/>
      <c r="DC69" s="18"/>
      <c r="DD69" s="18"/>
      <c r="DE69" s="18"/>
      <c r="DF69" s="18"/>
      <c r="DG69" s="18"/>
      <c r="DH69" s="18"/>
      <c r="DI69" s="18"/>
      <c r="DJ69" s="18"/>
      <c r="DK69" s="18"/>
      <c r="DL69" s="18"/>
      <c r="DM69" s="18"/>
      <c r="DN69" s="18"/>
      <c r="DO69" s="18"/>
      <c r="DP69" s="18"/>
      <c r="DQ69" s="18"/>
      <c r="DR69" s="18"/>
      <c r="DS69" s="18"/>
      <c r="DT69" s="18"/>
      <c r="DU69" s="18"/>
      <c r="DV69" s="18"/>
      <c r="DW69" s="18"/>
      <c r="DX69" s="18"/>
      <c r="DY69" s="18"/>
      <c r="DZ69" s="18"/>
      <c r="EA69" s="18"/>
      <c r="EB69" s="18"/>
      <c r="EC69" s="18"/>
      <c r="ED69" s="18"/>
      <c r="EE69" s="18"/>
      <c r="EF69" s="18"/>
      <c r="EG69" s="18"/>
      <c r="EH69" s="18"/>
      <c r="EI69" s="18"/>
      <c r="EJ69" s="18"/>
      <c r="EK69" s="18"/>
      <c r="EL69" s="18"/>
      <c r="EM69" s="18"/>
      <c r="EN69" s="18"/>
      <c r="EO69" s="18"/>
      <c r="EP69" s="18"/>
      <c r="EQ69" s="18"/>
      <c r="ER69" s="18"/>
      <c r="ES69" s="18"/>
      <c r="ET69" s="18"/>
      <c r="EU69" s="18"/>
      <c r="EV69" s="18"/>
      <c r="EW69" s="18"/>
      <c r="EX69" s="18"/>
      <c r="EY69" s="18"/>
      <c r="EZ69" s="18"/>
      <c r="FA69" s="18"/>
      <c r="FB69" s="18"/>
      <c r="FC69" s="18"/>
      <c r="FD69" s="18"/>
      <c r="FE69" s="18"/>
      <c r="FF69" s="18"/>
      <c r="FG69" s="18"/>
      <c r="FH69" s="18"/>
      <c r="FI69" s="18"/>
      <c r="FJ69" s="18"/>
      <c r="FK69" s="18"/>
      <c r="FL69" s="18"/>
      <c r="FM69" s="18"/>
      <c r="FN69" s="18"/>
      <c r="FO69" s="18"/>
      <c r="FP69" s="18"/>
      <c r="FQ69" s="18"/>
      <c r="FR69" s="18"/>
      <c r="FS69" s="18"/>
      <c r="FT69" s="18"/>
      <c r="FU69" s="18"/>
      <c r="FV69" s="18"/>
      <c r="FW69" s="18"/>
      <c r="FX69" s="18"/>
      <c r="FY69" s="18"/>
      <c r="FZ69" s="18"/>
      <c r="GA69" s="18"/>
      <c r="GB69" s="18"/>
      <c r="GC69" s="18"/>
      <c r="GD69" s="18"/>
      <c r="GE69" s="18"/>
      <c r="GF69" s="18"/>
      <c r="GG69" s="18"/>
      <c r="GH69" s="18"/>
      <c r="GI69" s="18"/>
      <c r="GJ69" s="18"/>
      <c r="GK69" s="18"/>
      <c r="GL69" s="18"/>
      <c r="GM69" s="18"/>
      <c r="GN69" s="18"/>
      <c r="GO69" s="18"/>
      <c r="GP69" s="18"/>
      <c r="GQ69" s="18"/>
      <c r="GR69" s="18"/>
      <c r="GS69" s="18"/>
      <c r="GT69" s="18"/>
      <c r="GU69" s="18"/>
      <c r="GV69" s="18"/>
      <c r="GW69" s="18"/>
      <c r="GX69" s="18"/>
      <c r="GY69" s="18"/>
      <c r="GZ69" s="18"/>
      <c r="HA69" s="18"/>
      <c r="HB69" s="18"/>
      <c r="HC69" s="18"/>
      <c r="HD69" s="18"/>
      <c r="HE69" s="18"/>
      <c r="HF69" s="18"/>
      <c r="HG69" s="18"/>
      <c r="HH69" s="18"/>
      <c r="HI69" s="18"/>
      <c r="HJ69" s="18"/>
      <c r="HK69" s="18"/>
      <c r="HL69" s="18"/>
      <c r="HM69" s="18"/>
      <c r="HN69" s="18"/>
      <c r="HO69" s="18"/>
      <c r="HP69" s="18"/>
      <c r="HQ69" s="18"/>
      <c r="HR69" s="18"/>
      <c r="HS69" s="18"/>
      <c r="HT69" s="18"/>
      <c r="HU69" s="18"/>
      <c r="HV69" s="18"/>
      <c r="HW69" s="18"/>
      <c r="HX69" s="18"/>
      <c r="HY69" s="18"/>
      <c r="HZ69" s="18"/>
      <c r="IA69" s="18"/>
      <c r="IB69" s="18"/>
      <c r="IC69" s="18"/>
      <c r="ID69" s="18"/>
      <c r="IE69" s="18"/>
      <c r="IF69" s="18"/>
      <c r="IG69" s="18"/>
      <c r="IH69" s="18"/>
      <c r="II69" s="18"/>
      <c r="IJ69" s="18"/>
      <c r="IK69" s="18"/>
      <c r="IL69" s="18"/>
      <c r="IM69" s="18"/>
      <c r="IN69" s="18"/>
      <c r="IO69" s="18"/>
      <c r="IP69" s="18"/>
      <c r="IQ69" s="18"/>
      <c r="IR69" s="18"/>
      <c r="IS69" s="18"/>
      <c r="IT69" s="18"/>
      <c r="IU69" s="18"/>
      <c r="IV69" s="18"/>
      <c r="IW69" s="18"/>
      <c r="IX69" s="18"/>
      <c r="IY69" s="18"/>
      <c r="IZ69" s="18"/>
      <c r="JA69" s="18"/>
      <c r="JB69" s="18"/>
      <c r="JC69" s="18"/>
      <c r="JD69" s="18"/>
      <c r="JE69" s="18"/>
      <c r="JF69" s="18"/>
      <c r="JG69" s="18"/>
      <c r="JH69" s="18"/>
      <c r="JI69" s="18"/>
      <c r="JJ69" s="18"/>
      <c r="JK69" s="18"/>
      <c r="JL69" s="18"/>
      <c r="JM69" s="18"/>
      <c r="JN69" s="18"/>
      <c r="JO69" s="18"/>
      <c r="JP69" s="18"/>
      <c r="JQ69" s="18"/>
      <c r="JR69" s="18"/>
      <c r="JS69" s="18"/>
      <c r="JT69" s="18"/>
      <c r="JU69" s="18"/>
      <c r="JV69" s="18"/>
      <c r="JW69" s="18"/>
      <c r="JX69" s="18"/>
      <c r="JY69" s="18"/>
      <c r="JZ69" s="18"/>
      <c r="KA69" s="18"/>
      <c r="KB69" s="18"/>
      <c r="KC69" s="18"/>
      <c r="KD69" s="18"/>
      <c r="KE69" s="18"/>
      <c r="KF69" s="18"/>
      <c r="KG69" s="18"/>
      <c r="KH69" s="18"/>
      <c r="KI69" s="18"/>
      <c r="KJ69" s="18"/>
      <c r="KK69" s="18"/>
      <c r="KL69" s="18"/>
      <c r="KM69" s="18"/>
      <c r="KN69" s="18"/>
      <c r="KO69" s="18"/>
      <c r="KP69" s="18"/>
      <c r="KQ69" s="18"/>
      <c r="KR69" s="18"/>
      <c r="KS69" s="18"/>
      <c r="KT69" s="18"/>
      <c r="KU69" s="18"/>
      <c r="KV69" s="18"/>
      <c r="KW69" s="18"/>
      <c r="KX69" s="18"/>
      <c r="KY69" s="18"/>
      <c r="KZ69" s="18"/>
      <c r="LA69" s="18"/>
      <c r="LB69" s="18"/>
      <c r="LC69" s="18"/>
      <c r="LD69" s="18"/>
      <c r="LE69" s="18"/>
      <c r="LF69" s="18"/>
      <c r="LG69" s="18"/>
      <c r="LH69" s="18"/>
      <c r="LI69" s="18"/>
      <c r="LJ69" s="18"/>
      <c r="LK69" s="18"/>
      <c r="LL69" s="18"/>
      <c r="LM69" s="18"/>
      <c r="LN69" s="18"/>
      <c r="LO69" s="18"/>
      <c r="LP69" s="18"/>
      <c r="LQ69" s="18"/>
      <c r="LR69" s="18"/>
      <c r="LS69" s="18"/>
      <c r="LT69" s="18"/>
      <c r="LU69" s="18"/>
      <c r="LV69" s="18"/>
      <c r="LW69" s="18"/>
      <c r="LX69" s="18"/>
      <c r="LY69" s="18"/>
      <c r="LZ69" s="18"/>
      <c r="MA69" s="18"/>
      <c r="MB69" s="18"/>
      <c r="MC69" s="18"/>
      <c r="MD69" s="18"/>
      <c r="ME69" s="18"/>
      <c r="MF69" s="18"/>
      <c r="MG69" s="18"/>
      <c r="MH69" s="18"/>
      <c r="MI69" s="18"/>
      <c r="MJ69" s="18"/>
      <c r="MK69" s="18"/>
      <c r="ML69" s="18"/>
      <c r="MM69" s="18"/>
      <c r="MN69" s="18"/>
      <c r="MO69" s="18"/>
      <c r="MP69" s="18"/>
      <c r="MQ69" s="18"/>
      <c r="MR69" s="18"/>
      <c r="MS69" s="18"/>
      <c r="MT69" s="18"/>
      <c r="MU69" s="18"/>
      <c r="MV69" s="18"/>
      <c r="MW69" s="18"/>
      <c r="MX69" s="18"/>
      <c r="MY69" s="18"/>
      <c r="MZ69" s="18"/>
      <c r="NA69" s="18"/>
      <c r="NB69" s="18"/>
      <c r="NC69" s="18"/>
      <c r="ND69" s="18"/>
      <c r="NE69" s="18"/>
      <c r="NF69" s="18"/>
      <c r="NG69" s="18"/>
      <c r="NH69" s="18"/>
      <c r="NI69" s="18"/>
      <c r="NJ69" s="18"/>
      <c r="NK69" s="18"/>
      <c r="NL69" s="18"/>
      <c r="NM69" s="18"/>
      <c r="NN69" s="18"/>
      <c r="NO69" s="18"/>
      <c r="NP69" s="18"/>
      <c r="NQ69" s="18"/>
      <c r="NR69" s="18"/>
      <c r="NS69" s="18"/>
      <c r="NT69" s="18"/>
      <c r="NU69" s="18"/>
      <c r="NV69" s="18"/>
      <c r="NW69" s="18"/>
      <c r="NX69" s="18"/>
      <c r="NY69" s="18"/>
      <c r="NZ69" s="18"/>
      <c r="OA69" s="18"/>
      <c r="OB69" s="18"/>
      <c r="OC69" s="18"/>
      <c r="OD69" s="18"/>
      <c r="OE69" s="18"/>
      <c r="OF69" s="18"/>
      <c r="OG69" s="18"/>
      <c r="OH69" s="18"/>
      <c r="OI69" s="18"/>
      <c r="OJ69" s="18"/>
      <c r="OK69" s="18"/>
      <c r="OL69" s="18"/>
      <c r="OM69" s="18"/>
      <c r="ON69" s="18"/>
      <c r="OO69" s="18"/>
      <c r="OP69" s="18"/>
      <c r="OQ69" s="18"/>
      <c r="OR69" s="18"/>
      <c r="OS69" s="18"/>
      <c r="OT69" s="18"/>
      <c r="OU69" s="18"/>
      <c r="OV69" s="18"/>
      <c r="OW69" s="18"/>
      <c r="OX69" s="18"/>
      <c r="OY69" s="18"/>
      <c r="OZ69" s="18"/>
      <c r="PA69" s="18"/>
      <c r="PB69" s="18"/>
      <c r="PC69" s="18"/>
      <c r="PD69" s="18"/>
      <c r="PE69" s="18"/>
      <c r="PF69" s="18"/>
      <c r="PG69" s="18"/>
      <c r="PH69" s="18"/>
      <c r="PI69" s="18"/>
      <c r="PJ69" s="18"/>
      <c r="PK69" s="18"/>
      <c r="PL69" s="18"/>
      <c r="PM69" s="18"/>
      <c r="PN69" s="18"/>
      <c r="PO69" s="18"/>
      <c r="PP69" s="18"/>
      <c r="PQ69" s="18"/>
      <c r="PR69" s="18"/>
      <c r="PS69" s="18"/>
      <c r="PT69" s="18"/>
      <c r="PU69" s="18"/>
      <c r="PV69" s="18"/>
      <c r="PW69" s="18"/>
      <c r="PX69" s="18"/>
      <c r="PY69" s="18"/>
      <c r="PZ69" s="18"/>
      <c r="QA69" s="18"/>
      <c r="QB69" s="18"/>
      <c r="QC69" s="18"/>
      <c r="QD69" s="18"/>
      <c r="QE69" s="18"/>
      <c r="QF69" s="18"/>
      <c r="QG69" s="18"/>
      <c r="QH69" s="18"/>
      <c r="QI69" s="18"/>
      <c r="QJ69" s="18"/>
      <c r="QK69" s="18"/>
      <c r="QL69" s="18"/>
      <c r="QM69" s="18"/>
      <c r="QN69" s="18"/>
      <c r="QO69" s="18"/>
      <c r="QP69" s="18"/>
      <c r="QQ69" s="18"/>
      <c r="QR69" s="18"/>
      <c r="QS69" s="18"/>
      <c r="QT69" s="18"/>
      <c r="QU69" s="18"/>
      <c r="QV69" s="18"/>
      <c r="QW69" s="18"/>
      <c r="QX69" s="18"/>
      <c r="QY69" s="18"/>
      <c r="QZ69" s="18"/>
      <c r="RA69" s="18"/>
      <c r="RB69" s="18"/>
      <c r="RC69" s="18"/>
      <c r="RD69" s="18"/>
      <c r="RE69" s="18"/>
      <c r="RF69" s="18"/>
      <c r="RG69" s="18"/>
      <c r="RH69" s="18"/>
      <c r="RI69" s="18"/>
      <c r="RJ69" s="18"/>
      <c r="RK69" s="18"/>
      <c r="RL69" s="18"/>
      <c r="RM69" s="18"/>
      <c r="RN69" s="18"/>
      <c r="RO69" s="18"/>
      <c r="RP69" s="18"/>
      <c r="RQ69" s="18"/>
      <c r="RR69" s="18"/>
      <c r="RS69" s="18"/>
      <c r="RT69" s="18"/>
      <c r="RU69" s="18"/>
      <c r="RV69" s="18"/>
      <c r="RW69" s="18"/>
      <c r="RX69" s="18"/>
      <c r="RY69" s="18"/>
      <c r="RZ69" s="18"/>
      <c r="SA69" s="18"/>
      <c r="SB69" s="18"/>
      <c r="SC69" s="18"/>
      <c r="SD69" s="18"/>
      <c r="SE69" s="18"/>
      <c r="SF69" s="18"/>
      <c r="SG69" s="18"/>
      <c r="SH69" s="18"/>
      <c r="SI69" s="18"/>
      <c r="SJ69" s="18"/>
      <c r="SK69" s="18"/>
      <c r="SL69" s="18"/>
      <c r="SM69" s="18"/>
      <c r="SN69" s="18"/>
      <c r="SO69" s="18"/>
      <c r="SP69" s="18"/>
      <c r="SQ69" s="18"/>
      <c r="SR69" s="18"/>
      <c r="SS69" s="18"/>
      <c r="ST69" s="18"/>
      <c r="SU69" s="18"/>
      <c r="SV69" s="18"/>
      <c r="SW69" s="18"/>
      <c r="SX69" s="18"/>
      <c r="SY69" s="18"/>
      <c r="SZ69" s="18"/>
      <c r="TA69" s="18"/>
      <c r="TB69" s="18"/>
      <c r="TC69" s="18"/>
      <c r="TD69" s="18"/>
      <c r="TE69" s="18"/>
      <c r="TF69" s="18"/>
      <c r="TG69" s="18"/>
      <c r="TH69" s="18"/>
      <c r="TI69" s="18"/>
      <c r="TJ69" s="18"/>
      <c r="TK69" s="18"/>
      <c r="TL69" s="18"/>
      <c r="TM69" s="18"/>
      <c r="TN69" s="18"/>
      <c r="TO69" s="18"/>
      <c r="TP69" s="18"/>
      <c r="TQ69" s="18"/>
      <c r="TR69" s="18"/>
      <c r="TS69" s="18"/>
      <c r="TT69" s="18"/>
      <c r="TU69" s="18"/>
      <c r="TV69" s="18"/>
      <c r="TW69" s="18"/>
      <c r="TX69" s="18"/>
      <c r="TY69" s="18"/>
      <c r="TZ69" s="18"/>
      <c r="UA69" s="18"/>
      <c r="UB69" s="18"/>
      <c r="UC69" s="18"/>
      <c r="UD69" s="18"/>
      <c r="UE69" s="18"/>
      <c r="UF69" s="18"/>
      <c r="UG69" s="18"/>
      <c r="UH69" s="18"/>
      <c r="UI69" s="18"/>
      <c r="UJ69" s="18"/>
      <c r="UK69" s="18"/>
      <c r="UL69" s="18"/>
      <c r="UM69" s="18"/>
      <c r="UN69" s="18"/>
      <c r="UO69" s="18"/>
      <c r="UP69" s="18"/>
      <c r="UQ69" s="18"/>
      <c r="UR69" s="18"/>
      <c r="US69" s="18"/>
      <c r="UT69" s="18"/>
      <c r="UU69" s="18"/>
      <c r="UV69" s="18"/>
      <c r="UW69" s="18"/>
      <c r="UX69" s="18"/>
      <c r="UY69" s="18"/>
      <c r="UZ69" s="18"/>
      <c r="VA69" s="18"/>
      <c r="VB69" s="18"/>
      <c r="VC69" s="18"/>
      <c r="VD69" s="18"/>
      <c r="VE69" s="18"/>
      <c r="VF69" s="18"/>
      <c r="VG69" s="18"/>
      <c r="VH69" s="18"/>
      <c r="VI69" s="18"/>
      <c r="VJ69" s="18"/>
      <c r="VK69" s="18"/>
      <c r="VL69" s="18"/>
      <c r="VM69" s="18"/>
      <c r="VN69" s="18"/>
      <c r="VO69" s="18"/>
      <c r="VP69" s="18"/>
      <c r="VQ69" s="18"/>
      <c r="VR69" s="18"/>
      <c r="VS69" s="18"/>
      <c r="VT69" s="18"/>
      <c r="VU69" s="18"/>
      <c r="VV69" s="18"/>
      <c r="VW69" s="18"/>
      <c r="VX69" s="18"/>
      <c r="VY69" s="18"/>
      <c r="VZ69" s="18"/>
      <c r="WA69" s="18"/>
      <c r="WB69" s="18"/>
      <c r="WC69" s="18"/>
      <c r="WD69" s="18"/>
      <c r="WE69" s="18"/>
      <c r="WF69" s="18"/>
      <c r="WG69" s="18"/>
      <c r="WH69" s="18"/>
      <c r="WI69" s="18"/>
      <c r="WJ69" s="18"/>
      <c r="WK69" s="18"/>
      <c r="WL69" s="18"/>
      <c r="WM69" s="18"/>
      <c r="WN69" s="18"/>
      <c r="WO69" s="18"/>
      <c r="WP69" s="18"/>
      <c r="WQ69" s="18"/>
      <c r="WR69" s="18"/>
      <c r="WS69" s="18"/>
      <c r="WT69" s="18"/>
      <c r="WU69" s="18"/>
      <c r="WV69" s="18"/>
      <c r="WW69" s="18"/>
      <c r="WX69" s="18"/>
      <c r="WY69" s="18"/>
      <c r="WZ69" s="18"/>
      <c r="XA69" s="18"/>
      <c r="XB69" s="18"/>
      <c r="XC69" s="18"/>
      <c r="XD69" s="18"/>
      <c r="XE69" s="18"/>
      <c r="XF69" s="18"/>
      <c r="XG69" s="18"/>
      <c r="XH69" s="18"/>
      <c r="XI69" s="18"/>
      <c r="XJ69" s="18"/>
      <c r="XK69" s="18"/>
      <c r="XL69" s="18"/>
      <c r="XM69" s="18"/>
      <c r="XN69" s="18"/>
      <c r="XO69" s="18"/>
      <c r="XP69" s="18"/>
      <c r="XQ69" s="18"/>
      <c r="XR69" s="18"/>
      <c r="XS69" s="18"/>
      <c r="XT69" s="18"/>
      <c r="XU69" s="18"/>
      <c r="XV69" s="18"/>
      <c r="XW69" s="18"/>
      <c r="XX69" s="18"/>
      <c r="XY69" s="18"/>
      <c r="XZ69" s="18"/>
      <c r="YA69" s="18"/>
      <c r="YB69" s="18"/>
      <c r="YC69" s="18"/>
      <c r="YD69" s="18"/>
      <c r="YE69" s="18"/>
      <c r="YF69" s="18"/>
      <c r="YG69" s="18"/>
      <c r="YH69" s="18"/>
      <c r="YI69" s="18"/>
      <c r="YJ69" s="18"/>
      <c r="YK69" s="18"/>
      <c r="YL69" s="18"/>
      <c r="YM69" s="18"/>
      <c r="YN69" s="18"/>
      <c r="YO69" s="18"/>
      <c r="YP69" s="18"/>
      <c r="YQ69" s="18"/>
      <c r="YR69" s="18"/>
      <c r="YS69" s="18"/>
      <c r="YT69" s="18"/>
      <c r="YU69" s="18"/>
      <c r="YV69" s="18"/>
      <c r="YW69" s="18"/>
      <c r="YX69" s="18"/>
      <c r="YY69" s="18"/>
      <c r="YZ69" s="18"/>
      <c r="ZA69" s="18"/>
      <c r="ZB69" s="18"/>
      <c r="ZC69" s="18"/>
      <c r="ZD69" s="18"/>
      <c r="ZE69" s="18"/>
      <c r="ZF69" s="18"/>
      <c r="ZG69" s="18"/>
      <c r="ZH69" s="18"/>
      <c r="ZI69" s="18"/>
      <c r="ZJ69" s="18"/>
      <c r="ZK69" s="18"/>
      <c r="ZL69" s="18"/>
      <c r="ZM69" s="18"/>
      <c r="ZN69" s="18"/>
      <c r="ZO69" s="18"/>
      <c r="ZP69" s="18"/>
      <c r="ZQ69" s="18"/>
      <c r="ZR69" s="18"/>
      <c r="ZS69" s="18"/>
      <c r="ZT69" s="18"/>
      <c r="ZU69" s="18"/>
      <c r="ZV69" s="18"/>
      <c r="ZW69" s="18"/>
      <c r="ZX69" s="18"/>
      <c r="ZY69" s="18"/>
      <c r="ZZ69" s="18"/>
      <c r="AAA69" s="18"/>
      <c r="AAB69" s="18"/>
      <c r="AAC69" s="18"/>
      <c r="AAD69" s="18"/>
      <c r="AAE69" s="18"/>
      <c r="AAF69" s="18"/>
      <c r="AAG69" s="18"/>
      <c r="AAH69" s="18"/>
      <c r="AAI69" s="18"/>
      <c r="AAJ69" s="18"/>
      <c r="AAK69" s="18"/>
      <c r="AAL69" s="18"/>
      <c r="AAM69" s="18"/>
      <c r="AAN69" s="18"/>
      <c r="AAO69" s="18"/>
      <c r="AAP69" s="18"/>
      <c r="AAQ69" s="18"/>
      <c r="AAR69" s="18"/>
      <c r="AAS69" s="18"/>
      <c r="AAT69" s="18"/>
      <c r="AAU69" s="18"/>
      <c r="AAV69" s="18"/>
      <c r="AAW69" s="18"/>
      <c r="AAX69" s="18"/>
      <c r="AAY69" s="18"/>
      <c r="AAZ69" s="18"/>
      <c r="ABA69" s="18"/>
      <c r="ABB69" s="18"/>
      <c r="ABC69" s="18"/>
      <c r="ABD69" s="18"/>
      <c r="ABE69" s="18"/>
      <c r="ABF69" s="18"/>
      <c r="ABG69" s="18"/>
      <c r="ABH69" s="18"/>
      <c r="ABI69" s="18"/>
      <c r="ABJ69" s="18"/>
      <c r="ABK69" s="18"/>
      <c r="ABL69" s="18"/>
      <c r="ABM69" s="18"/>
      <c r="ABN69" s="18"/>
      <c r="ABO69" s="18"/>
      <c r="ABP69" s="18"/>
      <c r="ABQ69" s="18"/>
      <c r="ABR69" s="18"/>
      <c r="ABS69" s="18"/>
      <c r="ABT69" s="18"/>
      <c r="ABU69" s="18"/>
      <c r="ABV69" s="18"/>
      <c r="ABW69" s="18"/>
      <c r="ABX69" s="18"/>
      <c r="ABY69" s="18"/>
      <c r="ABZ69" s="18"/>
      <c r="ACA69" s="18"/>
      <c r="ACB69" s="18"/>
      <c r="ACC69" s="18"/>
      <c r="ACD69" s="18"/>
      <c r="ACE69" s="18"/>
      <c r="ACF69" s="18"/>
      <c r="ACG69" s="18"/>
      <c r="ACH69" s="18"/>
      <c r="ACI69" s="18"/>
      <c r="ACJ69" s="18"/>
      <c r="ACK69" s="18"/>
      <c r="ACL69" s="18"/>
      <c r="ACM69" s="18"/>
      <c r="ACN69" s="18"/>
      <c r="ACO69" s="18"/>
      <c r="ACP69" s="18"/>
      <c r="ACQ69" s="18"/>
      <c r="ACR69" s="18"/>
      <c r="ACS69" s="18"/>
      <c r="ACT69" s="18"/>
      <c r="ACU69" s="18"/>
      <c r="ACV69" s="18"/>
      <c r="ACW69" s="18"/>
      <c r="ACX69" s="18"/>
      <c r="ACY69" s="18"/>
      <c r="ACZ69" s="18"/>
      <c r="ADA69" s="18"/>
      <c r="ADB69" s="18"/>
      <c r="ADC69" s="18"/>
      <c r="ADD69" s="18"/>
      <c r="ADE69" s="18"/>
      <c r="ADF69" s="18"/>
      <c r="ADG69" s="18"/>
      <c r="ADH69" s="18"/>
      <c r="ADI69" s="18"/>
      <c r="ADJ69" s="18"/>
      <c r="ADK69" s="18"/>
      <c r="ADL69" s="18"/>
      <c r="ADM69" s="18"/>
      <c r="ADN69" s="18"/>
      <c r="ADO69" s="18"/>
      <c r="ADP69" s="18"/>
      <c r="ADQ69" s="18"/>
      <c r="ADR69" s="18"/>
      <c r="ADS69" s="18"/>
      <c r="ADT69" s="18"/>
      <c r="ADU69" s="18"/>
      <c r="ADV69" s="18"/>
      <c r="ADW69" s="18"/>
      <c r="ADX69" s="18"/>
      <c r="ADY69" s="18"/>
      <c r="ADZ69" s="18"/>
      <c r="AEA69" s="18"/>
      <c r="AEB69" s="18"/>
      <c r="AEC69" s="18"/>
      <c r="AED69" s="18"/>
      <c r="AEE69" s="18"/>
      <c r="AEF69" s="18"/>
      <c r="AEG69" s="18"/>
      <c r="AEH69" s="18"/>
      <c r="AEI69" s="18"/>
      <c r="AEJ69" s="18"/>
      <c r="AEK69" s="18"/>
      <c r="AEL69" s="18"/>
      <c r="AEM69" s="18"/>
      <c r="AEN69" s="18"/>
      <c r="AEO69" s="18"/>
      <c r="AEP69" s="18"/>
      <c r="AEQ69" s="18"/>
      <c r="AER69" s="18"/>
      <c r="AES69" s="18"/>
      <c r="AET69" s="18"/>
      <c r="AEU69" s="18"/>
      <c r="AEV69" s="18"/>
      <c r="AEW69" s="18"/>
      <c r="AEX69" s="18"/>
      <c r="AEY69" s="18"/>
      <c r="AEZ69" s="18"/>
      <c r="AFA69" s="18"/>
      <c r="AFB69" s="18"/>
      <c r="AFC69" s="18"/>
      <c r="AFD69" s="18"/>
      <c r="AFE69" s="18"/>
      <c r="AFF69" s="18"/>
      <c r="AFG69" s="18"/>
      <c r="AFH69" s="18"/>
      <c r="AFI69" s="18"/>
      <c r="AFJ69" s="18"/>
      <c r="AFK69" s="18"/>
      <c r="AFL69" s="18"/>
      <c r="AFM69" s="18"/>
      <c r="AFN69" s="18"/>
      <c r="AFO69" s="18"/>
      <c r="AFP69" s="18"/>
      <c r="AFQ69" s="18"/>
      <c r="AFR69" s="18"/>
      <c r="AFS69" s="18"/>
      <c r="AFT69" s="18"/>
      <c r="AFU69" s="18"/>
      <c r="AFV69" s="18"/>
      <c r="AFW69" s="18"/>
      <c r="AFX69" s="18"/>
      <c r="AFY69" s="18"/>
      <c r="AFZ69" s="18"/>
      <c r="AGA69" s="18"/>
      <c r="AGB69" s="18"/>
      <c r="AGC69" s="18"/>
      <c r="AGD69" s="18"/>
      <c r="AGE69" s="18"/>
      <c r="AGF69" s="18"/>
      <c r="AGG69" s="18"/>
      <c r="AGH69" s="18"/>
      <c r="AGI69" s="18"/>
      <c r="AGJ69" s="18"/>
      <c r="AGK69" s="18"/>
      <c r="AGL69" s="18"/>
      <c r="AGM69" s="18"/>
      <c r="AGN69" s="18"/>
      <c r="AGO69" s="18"/>
      <c r="AGP69" s="18"/>
      <c r="AGQ69" s="18"/>
      <c r="AGR69" s="18"/>
      <c r="AGS69" s="18"/>
      <c r="AGT69" s="18"/>
      <c r="AGU69" s="18"/>
      <c r="AGV69" s="18"/>
      <c r="AGW69" s="18"/>
      <c r="AGX69" s="18"/>
      <c r="AGY69" s="18"/>
      <c r="AGZ69" s="18"/>
      <c r="AHA69" s="18"/>
      <c r="AHB69" s="18"/>
      <c r="AHC69" s="18"/>
      <c r="AHD69" s="18"/>
      <c r="AHE69" s="18"/>
      <c r="AHF69" s="18"/>
      <c r="AHG69" s="18"/>
      <c r="AHH69" s="18"/>
      <c r="AHI69" s="18"/>
      <c r="AHJ69" s="18"/>
      <c r="AHK69" s="18"/>
      <c r="AHL69" s="18"/>
      <c r="AHM69" s="18"/>
      <c r="AHN69" s="18"/>
      <c r="AHO69" s="18"/>
      <c r="AHP69" s="18"/>
      <c r="AHQ69" s="18"/>
      <c r="AHR69" s="18"/>
      <c r="AHS69" s="18"/>
      <c r="AHT69" s="18"/>
      <c r="AHU69" s="18"/>
      <c r="AHV69" s="18"/>
      <c r="AHW69" s="18"/>
      <c r="AHX69" s="18"/>
      <c r="AHY69" s="18"/>
      <c r="AHZ69" s="18"/>
      <c r="AIA69" s="18"/>
      <c r="AIB69" s="18"/>
      <c r="AIC69" s="18"/>
      <c r="AID69" s="18"/>
      <c r="AIE69" s="18"/>
      <c r="AIF69" s="18"/>
      <c r="AIG69" s="18"/>
      <c r="AIH69" s="18"/>
      <c r="AII69" s="18"/>
      <c r="AIJ69" s="18"/>
      <c r="AIK69" s="18"/>
      <c r="AIL69" s="18"/>
      <c r="AIM69" s="18"/>
      <c r="AIN69" s="18"/>
      <c r="AIO69" s="18"/>
      <c r="AIP69" s="18"/>
      <c r="AIQ69" s="18"/>
      <c r="AIR69" s="18"/>
      <c r="AIS69" s="18"/>
      <c r="AIT69" s="18"/>
      <c r="AIU69" s="18"/>
      <c r="AIV69" s="18"/>
      <c r="AIW69" s="18"/>
      <c r="AIX69" s="18"/>
      <c r="AIY69" s="18"/>
      <c r="AIZ69" s="18"/>
      <c r="AJA69" s="18"/>
      <c r="AJB69" s="18"/>
      <c r="AJC69" s="18"/>
      <c r="AJD69" s="18"/>
      <c r="AJE69" s="18"/>
      <c r="AJF69" s="18"/>
      <c r="AJG69" s="18"/>
      <c r="AJH69" s="18"/>
      <c r="AJI69" s="18"/>
      <c r="AJJ69" s="18"/>
      <c r="AJK69" s="18"/>
      <c r="AJL69" s="18"/>
      <c r="AJM69" s="18"/>
      <c r="AJN69" s="18"/>
      <c r="AJO69" s="18"/>
      <c r="AJP69" s="18"/>
      <c r="AJQ69" s="18"/>
      <c r="AJR69" s="18"/>
      <c r="AJS69" s="18"/>
      <c r="AJT69" s="18"/>
      <c r="AJU69" s="18"/>
      <c r="AJV69" s="18"/>
      <c r="AJW69" s="18"/>
      <c r="AJX69" s="18"/>
      <c r="AJY69" s="18"/>
      <c r="AJZ69" s="18"/>
      <c r="AKA69" s="18"/>
      <c r="AKB69" s="18"/>
      <c r="AKC69" s="18"/>
      <c r="AKD69" s="18"/>
      <c r="AKE69" s="18"/>
      <c r="AKF69" s="18"/>
      <c r="AKG69" s="18"/>
      <c r="AKH69" s="18"/>
      <c r="AKI69" s="18"/>
      <c r="AKJ69" s="18"/>
      <c r="AKK69" s="18"/>
      <c r="AKL69" s="18"/>
      <c r="AKM69" s="18"/>
      <c r="AKN69" s="18"/>
      <c r="AKO69" s="18"/>
      <c r="AKP69" s="18"/>
      <c r="AKQ69" s="18"/>
      <c r="AKR69" s="18"/>
      <c r="AKS69" s="18"/>
      <c r="AKT69" s="18"/>
      <c r="AKU69" s="18"/>
      <c r="AKV69" s="18"/>
      <c r="AKW69" s="18"/>
      <c r="AKX69" s="18"/>
      <c r="AKY69" s="18"/>
      <c r="AKZ69" s="18"/>
      <c r="ALA69" s="18"/>
      <c r="ALB69" s="18"/>
      <c r="ALC69" s="18"/>
      <c r="ALD69" s="18"/>
      <c r="ALE69" s="18"/>
      <c r="ALF69" s="18"/>
      <c r="ALG69" s="18"/>
      <c r="ALH69" s="18"/>
      <c r="ALI69" s="18"/>
      <c r="ALJ69" s="18"/>
      <c r="ALK69" s="18"/>
      <c r="ALL69" s="18"/>
      <c r="ALM69" s="18"/>
      <c r="ALN69" s="18"/>
      <c r="ALO69" s="18"/>
      <c r="ALP69" s="18"/>
      <c r="ALQ69" s="18"/>
      <c r="ALR69" s="18"/>
      <c r="ALS69" s="18"/>
      <c r="ALT69" s="18"/>
      <c r="ALU69" s="18"/>
      <c r="ALV69" s="18"/>
      <c r="ALW69" s="18"/>
      <c r="ALX69" s="18"/>
      <c r="ALY69" s="18"/>
      <c r="ALZ69" s="18"/>
      <c r="AMA69" s="18"/>
      <c r="AMB69" s="18"/>
      <c r="AMC69" s="18"/>
      <c r="AMD69" s="18"/>
      <c r="AME69" s="18"/>
      <c r="AMF69" s="18"/>
      <c r="AMG69" s="18"/>
      <c r="AMH69" s="18"/>
    </row>
    <row r="70" spans="1:1022" s="23" customFormat="1" x14ac:dyDescent="0.3">
      <c r="A70" s="33">
        <v>166</v>
      </c>
      <c r="B70" s="19"/>
      <c r="C70" s="19"/>
      <c r="D70" s="58" t="s">
        <v>340</v>
      </c>
      <c r="E70" s="34" t="s">
        <v>490</v>
      </c>
      <c r="F70" s="42">
        <v>26</v>
      </c>
      <c r="G70" s="19"/>
      <c r="H70" s="38" t="s">
        <v>281</v>
      </c>
      <c r="I70" s="31"/>
      <c r="J70" s="31"/>
      <c r="K70" s="31"/>
      <c r="L70" s="31"/>
      <c r="M70" s="32"/>
      <c r="N70" s="32"/>
      <c r="O70" s="18"/>
      <c r="P70" s="36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18"/>
      <c r="BK70" s="18"/>
      <c r="BL70" s="18"/>
      <c r="BM70" s="18"/>
      <c r="BN70" s="18"/>
      <c r="BO70" s="18"/>
      <c r="BP70" s="18"/>
      <c r="BQ70" s="18"/>
      <c r="BR70" s="18"/>
      <c r="BS70" s="18"/>
      <c r="BT70" s="18"/>
      <c r="BU70" s="18"/>
      <c r="BV70" s="18"/>
      <c r="BW70" s="18"/>
      <c r="BX70" s="18"/>
      <c r="BY70" s="18"/>
      <c r="BZ70" s="18"/>
      <c r="CA70" s="18"/>
      <c r="CB70" s="18"/>
      <c r="CC70" s="18"/>
      <c r="CD70" s="18"/>
      <c r="CE70" s="18"/>
      <c r="CF70" s="18"/>
      <c r="CG70" s="18"/>
      <c r="CH70" s="18"/>
      <c r="CI70" s="18"/>
      <c r="CJ70" s="18"/>
      <c r="CK70" s="18"/>
      <c r="CL70" s="18"/>
      <c r="CM70" s="18"/>
      <c r="CN70" s="18"/>
      <c r="CO70" s="18"/>
      <c r="CP70" s="18"/>
      <c r="CQ70" s="18"/>
      <c r="CR70" s="18"/>
      <c r="CS70" s="18"/>
      <c r="CT70" s="18"/>
      <c r="CU70" s="18"/>
      <c r="CV70" s="18"/>
      <c r="CW70" s="18"/>
      <c r="CX70" s="18"/>
      <c r="CY70" s="18"/>
      <c r="CZ70" s="18"/>
      <c r="DA70" s="18"/>
      <c r="DB70" s="18"/>
      <c r="DC70" s="18"/>
      <c r="DD70" s="18"/>
      <c r="DE70" s="18"/>
      <c r="DF70" s="18"/>
      <c r="DG70" s="18"/>
      <c r="DH70" s="18"/>
      <c r="DI70" s="18"/>
      <c r="DJ70" s="18"/>
      <c r="DK70" s="18"/>
      <c r="DL70" s="18"/>
      <c r="DM70" s="18"/>
      <c r="DN70" s="18"/>
      <c r="DO70" s="18"/>
      <c r="DP70" s="18"/>
      <c r="DQ70" s="18"/>
      <c r="DR70" s="18"/>
      <c r="DS70" s="18"/>
      <c r="DT70" s="18"/>
      <c r="DU70" s="18"/>
      <c r="DV70" s="18"/>
      <c r="DW70" s="18"/>
      <c r="DX70" s="18"/>
      <c r="DY70" s="18"/>
      <c r="DZ70" s="18"/>
      <c r="EA70" s="18"/>
      <c r="EB70" s="18"/>
      <c r="EC70" s="18"/>
      <c r="ED70" s="18"/>
      <c r="EE70" s="18"/>
      <c r="EF70" s="18"/>
      <c r="EG70" s="18"/>
      <c r="EH70" s="18"/>
      <c r="EI70" s="18"/>
      <c r="EJ70" s="18"/>
      <c r="EK70" s="18"/>
      <c r="EL70" s="18"/>
      <c r="EM70" s="18"/>
      <c r="EN70" s="18"/>
      <c r="EO70" s="18"/>
      <c r="EP70" s="18"/>
      <c r="EQ70" s="18"/>
      <c r="ER70" s="18"/>
      <c r="ES70" s="18"/>
      <c r="ET70" s="18"/>
      <c r="EU70" s="18"/>
      <c r="EV70" s="18"/>
      <c r="EW70" s="18"/>
      <c r="EX70" s="18"/>
      <c r="EY70" s="18"/>
      <c r="EZ70" s="18"/>
      <c r="FA70" s="18"/>
      <c r="FB70" s="18"/>
      <c r="FC70" s="18"/>
      <c r="FD70" s="18"/>
      <c r="FE70" s="18"/>
      <c r="FF70" s="18"/>
      <c r="FG70" s="18"/>
      <c r="FH70" s="18"/>
      <c r="FI70" s="18"/>
      <c r="FJ70" s="18"/>
      <c r="FK70" s="18"/>
      <c r="FL70" s="18"/>
      <c r="FM70" s="18"/>
      <c r="FN70" s="18"/>
      <c r="FO70" s="18"/>
      <c r="FP70" s="18"/>
      <c r="FQ70" s="18"/>
      <c r="FR70" s="18"/>
      <c r="FS70" s="18"/>
      <c r="FT70" s="18"/>
      <c r="FU70" s="18"/>
      <c r="FV70" s="18"/>
      <c r="FW70" s="18"/>
      <c r="FX70" s="18"/>
      <c r="FY70" s="18"/>
      <c r="FZ70" s="18"/>
      <c r="GA70" s="18"/>
      <c r="GB70" s="18"/>
      <c r="GC70" s="18"/>
      <c r="GD70" s="18"/>
      <c r="GE70" s="18"/>
      <c r="GF70" s="18"/>
      <c r="GG70" s="18"/>
      <c r="GH70" s="18"/>
      <c r="GI70" s="18"/>
      <c r="GJ70" s="18"/>
      <c r="GK70" s="18"/>
      <c r="GL70" s="18"/>
      <c r="GM70" s="18"/>
      <c r="GN70" s="18"/>
      <c r="GO70" s="18"/>
      <c r="GP70" s="18"/>
      <c r="GQ70" s="18"/>
      <c r="GR70" s="18"/>
      <c r="GS70" s="18"/>
      <c r="GT70" s="18"/>
      <c r="GU70" s="18"/>
      <c r="GV70" s="18"/>
      <c r="GW70" s="18"/>
      <c r="GX70" s="18"/>
      <c r="GY70" s="18"/>
      <c r="GZ70" s="18"/>
      <c r="HA70" s="18"/>
      <c r="HB70" s="18"/>
      <c r="HC70" s="18"/>
      <c r="HD70" s="18"/>
      <c r="HE70" s="18"/>
      <c r="HF70" s="18"/>
      <c r="HG70" s="18"/>
      <c r="HH70" s="18"/>
      <c r="HI70" s="18"/>
      <c r="HJ70" s="18"/>
      <c r="HK70" s="18"/>
      <c r="HL70" s="18"/>
      <c r="HM70" s="18"/>
      <c r="HN70" s="18"/>
      <c r="HO70" s="18"/>
      <c r="HP70" s="18"/>
      <c r="HQ70" s="18"/>
      <c r="HR70" s="18"/>
      <c r="HS70" s="18"/>
      <c r="HT70" s="18"/>
      <c r="HU70" s="18"/>
      <c r="HV70" s="18"/>
      <c r="HW70" s="18"/>
      <c r="HX70" s="18"/>
      <c r="HY70" s="18"/>
      <c r="HZ70" s="18"/>
      <c r="IA70" s="18"/>
      <c r="IB70" s="18"/>
      <c r="IC70" s="18"/>
      <c r="ID70" s="18"/>
      <c r="IE70" s="18"/>
      <c r="IF70" s="18"/>
      <c r="IG70" s="18"/>
      <c r="IH70" s="18"/>
      <c r="II70" s="18"/>
      <c r="IJ70" s="18"/>
      <c r="IK70" s="18"/>
      <c r="IL70" s="18"/>
      <c r="IM70" s="18"/>
      <c r="IN70" s="18"/>
      <c r="IO70" s="18"/>
      <c r="IP70" s="18"/>
      <c r="IQ70" s="18"/>
      <c r="IR70" s="18"/>
      <c r="IS70" s="18"/>
      <c r="IT70" s="18"/>
      <c r="IU70" s="18"/>
      <c r="IV70" s="18"/>
      <c r="IW70" s="18"/>
      <c r="IX70" s="18"/>
      <c r="IY70" s="18"/>
      <c r="IZ70" s="18"/>
      <c r="JA70" s="18"/>
      <c r="JB70" s="18"/>
      <c r="JC70" s="18"/>
      <c r="JD70" s="18"/>
      <c r="JE70" s="18"/>
      <c r="JF70" s="18"/>
      <c r="JG70" s="18"/>
      <c r="JH70" s="18"/>
      <c r="JI70" s="18"/>
      <c r="JJ70" s="18"/>
      <c r="JK70" s="18"/>
      <c r="JL70" s="18"/>
      <c r="JM70" s="18"/>
      <c r="JN70" s="18"/>
      <c r="JO70" s="18"/>
      <c r="JP70" s="18"/>
      <c r="JQ70" s="18"/>
      <c r="JR70" s="18"/>
      <c r="JS70" s="18"/>
      <c r="JT70" s="18"/>
      <c r="JU70" s="18"/>
      <c r="JV70" s="18"/>
      <c r="JW70" s="18"/>
      <c r="JX70" s="18"/>
      <c r="JY70" s="18"/>
      <c r="JZ70" s="18"/>
      <c r="KA70" s="18"/>
      <c r="KB70" s="18"/>
      <c r="KC70" s="18"/>
      <c r="KD70" s="18"/>
      <c r="KE70" s="18"/>
      <c r="KF70" s="18"/>
      <c r="KG70" s="18"/>
      <c r="KH70" s="18"/>
      <c r="KI70" s="18"/>
      <c r="KJ70" s="18"/>
      <c r="KK70" s="18"/>
      <c r="KL70" s="18"/>
      <c r="KM70" s="18"/>
      <c r="KN70" s="18"/>
      <c r="KO70" s="18"/>
      <c r="KP70" s="18"/>
      <c r="KQ70" s="18"/>
      <c r="KR70" s="18"/>
      <c r="KS70" s="18"/>
      <c r="KT70" s="18"/>
      <c r="KU70" s="18"/>
      <c r="KV70" s="18"/>
      <c r="KW70" s="18"/>
      <c r="KX70" s="18"/>
      <c r="KY70" s="18"/>
      <c r="KZ70" s="18"/>
      <c r="LA70" s="18"/>
      <c r="LB70" s="18"/>
      <c r="LC70" s="18"/>
      <c r="LD70" s="18"/>
      <c r="LE70" s="18"/>
      <c r="LF70" s="18"/>
      <c r="LG70" s="18"/>
      <c r="LH70" s="18"/>
      <c r="LI70" s="18"/>
      <c r="LJ70" s="18"/>
      <c r="LK70" s="18"/>
      <c r="LL70" s="18"/>
      <c r="LM70" s="18"/>
      <c r="LN70" s="18"/>
      <c r="LO70" s="18"/>
      <c r="LP70" s="18"/>
      <c r="LQ70" s="18"/>
      <c r="LR70" s="18"/>
      <c r="LS70" s="18"/>
      <c r="LT70" s="18"/>
      <c r="LU70" s="18"/>
      <c r="LV70" s="18"/>
      <c r="LW70" s="18"/>
      <c r="LX70" s="18"/>
      <c r="LY70" s="18"/>
      <c r="LZ70" s="18"/>
      <c r="MA70" s="18"/>
      <c r="MB70" s="18"/>
      <c r="MC70" s="18"/>
      <c r="MD70" s="18"/>
      <c r="ME70" s="18"/>
      <c r="MF70" s="18"/>
      <c r="MG70" s="18"/>
      <c r="MH70" s="18"/>
      <c r="MI70" s="18"/>
      <c r="MJ70" s="18"/>
      <c r="MK70" s="18"/>
      <c r="ML70" s="18"/>
      <c r="MM70" s="18"/>
      <c r="MN70" s="18"/>
      <c r="MO70" s="18"/>
      <c r="MP70" s="18"/>
      <c r="MQ70" s="18"/>
      <c r="MR70" s="18"/>
      <c r="MS70" s="18"/>
      <c r="MT70" s="18"/>
      <c r="MU70" s="18"/>
      <c r="MV70" s="18"/>
      <c r="MW70" s="18"/>
      <c r="MX70" s="18"/>
      <c r="MY70" s="18"/>
      <c r="MZ70" s="18"/>
      <c r="NA70" s="18"/>
      <c r="NB70" s="18"/>
      <c r="NC70" s="18"/>
      <c r="ND70" s="18"/>
      <c r="NE70" s="18"/>
      <c r="NF70" s="18"/>
      <c r="NG70" s="18"/>
      <c r="NH70" s="18"/>
      <c r="NI70" s="18"/>
      <c r="NJ70" s="18"/>
      <c r="NK70" s="18"/>
      <c r="NL70" s="18"/>
      <c r="NM70" s="18"/>
      <c r="NN70" s="18"/>
      <c r="NO70" s="18"/>
      <c r="NP70" s="18"/>
      <c r="NQ70" s="18"/>
      <c r="NR70" s="18"/>
      <c r="NS70" s="18"/>
      <c r="NT70" s="18"/>
      <c r="NU70" s="18"/>
      <c r="NV70" s="18"/>
      <c r="NW70" s="18"/>
      <c r="NX70" s="18"/>
      <c r="NY70" s="18"/>
      <c r="NZ70" s="18"/>
      <c r="OA70" s="18"/>
      <c r="OB70" s="18"/>
      <c r="OC70" s="18"/>
      <c r="OD70" s="18"/>
      <c r="OE70" s="18"/>
      <c r="OF70" s="18"/>
      <c r="OG70" s="18"/>
      <c r="OH70" s="18"/>
      <c r="OI70" s="18"/>
      <c r="OJ70" s="18"/>
      <c r="OK70" s="18"/>
      <c r="OL70" s="18"/>
      <c r="OM70" s="18"/>
      <c r="ON70" s="18"/>
      <c r="OO70" s="18"/>
      <c r="OP70" s="18"/>
      <c r="OQ70" s="18"/>
      <c r="OR70" s="18"/>
      <c r="OS70" s="18"/>
      <c r="OT70" s="18"/>
      <c r="OU70" s="18"/>
      <c r="OV70" s="18"/>
      <c r="OW70" s="18"/>
      <c r="OX70" s="18"/>
      <c r="OY70" s="18"/>
      <c r="OZ70" s="18"/>
      <c r="PA70" s="18"/>
      <c r="PB70" s="18"/>
      <c r="PC70" s="18"/>
      <c r="PD70" s="18"/>
      <c r="PE70" s="18"/>
      <c r="PF70" s="18"/>
      <c r="PG70" s="18"/>
      <c r="PH70" s="18"/>
      <c r="PI70" s="18"/>
      <c r="PJ70" s="18"/>
      <c r="PK70" s="18"/>
      <c r="PL70" s="18"/>
      <c r="PM70" s="18"/>
      <c r="PN70" s="18"/>
      <c r="PO70" s="18"/>
      <c r="PP70" s="18"/>
      <c r="PQ70" s="18"/>
      <c r="PR70" s="18"/>
      <c r="PS70" s="18"/>
      <c r="PT70" s="18"/>
      <c r="PU70" s="18"/>
      <c r="PV70" s="18"/>
      <c r="PW70" s="18"/>
      <c r="PX70" s="18"/>
      <c r="PY70" s="18"/>
      <c r="PZ70" s="18"/>
      <c r="QA70" s="18"/>
      <c r="QB70" s="18"/>
      <c r="QC70" s="18"/>
      <c r="QD70" s="18"/>
      <c r="QE70" s="18"/>
      <c r="QF70" s="18"/>
      <c r="QG70" s="18"/>
      <c r="QH70" s="18"/>
      <c r="QI70" s="18"/>
      <c r="QJ70" s="18"/>
      <c r="QK70" s="18"/>
      <c r="QL70" s="18"/>
      <c r="QM70" s="18"/>
      <c r="QN70" s="18"/>
      <c r="QO70" s="18"/>
      <c r="QP70" s="18"/>
      <c r="QQ70" s="18"/>
      <c r="QR70" s="18"/>
      <c r="QS70" s="18"/>
      <c r="QT70" s="18"/>
      <c r="QU70" s="18"/>
      <c r="QV70" s="18"/>
      <c r="QW70" s="18"/>
      <c r="QX70" s="18"/>
      <c r="QY70" s="18"/>
      <c r="QZ70" s="18"/>
      <c r="RA70" s="18"/>
      <c r="RB70" s="18"/>
      <c r="RC70" s="18"/>
      <c r="RD70" s="18"/>
      <c r="RE70" s="18"/>
      <c r="RF70" s="18"/>
      <c r="RG70" s="18"/>
      <c r="RH70" s="18"/>
      <c r="RI70" s="18"/>
      <c r="RJ70" s="18"/>
      <c r="RK70" s="18"/>
      <c r="RL70" s="18"/>
      <c r="RM70" s="18"/>
      <c r="RN70" s="18"/>
      <c r="RO70" s="18"/>
      <c r="RP70" s="18"/>
      <c r="RQ70" s="18"/>
      <c r="RR70" s="18"/>
      <c r="RS70" s="18"/>
      <c r="RT70" s="18"/>
      <c r="RU70" s="18"/>
      <c r="RV70" s="18"/>
      <c r="RW70" s="18"/>
      <c r="RX70" s="18"/>
      <c r="RY70" s="18"/>
      <c r="RZ70" s="18"/>
      <c r="SA70" s="18"/>
      <c r="SB70" s="18"/>
      <c r="SC70" s="18"/>
      <c r="SD70" s="18"/>
      <c r="SE70" s="18"/>
      <c r="SF70" s="18"/>
      <c r="SG70" s="18"/>
      <c r="SH70" s="18"/>
      <c r="SI70" s="18"/>
      <c r="SJ70" s="18"/>
      <c r="SK70" s="18"/>
      <c r="SL70" s="18"/>
      <c r="SM70" s="18"/>
      <c r="SN70" s="18"/>
      <c r="SO70" s="18"/>
      <c r="SP70" s="18"/>
      <c r="SQ70" s="18"/>
      <c r="SR70" s="18"/>
      <c r="SS70" s="18"/>
      <c r="ST70" s="18"/>
      <c r="SU70" s="18"/>
      <c r="SV70" s="18"/>
      <c r="SW70" s="18"/>
      <c r="SX70" s="18"/>
      <c r="SY70" s="18"/>
      <c r="SZ70" s="18"/>
      <c r="TA70" s="18"/>
      <c r="TB70" s="18"/>
      <c r="TC70" s="18"/>
      <c r="TD70" s="18"/>
      <c r="TE70" s="18"/>
      <c r="TF70" s="18"/>
      <c r="TG70" s="18"/>
      <c r="TH70" s="18"/>
      <c r="TI70" s="18"/>
      <c r="TJ70" s="18"/>
      <c r="TK70" s="18"/>
      <c r="TL70" s="18"/>
      <c r="TM70" s="18"/>
      <c r="TN70" s="18"/>
      <c r="TO70" s="18"/>
      <c r="TP70" s="18"/>
      <c r="TQ70" s="18"/>
      <c r="TR70" s="18"/>
      <c r="TS70" s="18"/>
      <c r="TT70" s="18"/>
      <c r="TU70" s="18"/>
      <c r="TV70" s="18"/>
      <c r="TW70" s="18"/>
      <c r="TX70" s="18"/>
      <c r="TY70" s="18"/>
      <c r="TZ70" s="18"/>
      <c r="UA70" s="18"/>
      <c r="UB70" s="18"/>
      <c r="UC70" s="18"/>
      <c r="UD70" s="18"/>
      <c r="UE70" s="18"/>
      <c r="UF70" s="18"/>
      <c r="UG70" s="18"/>
      <c r="UH70" s="18"/>
      <c r="UI70" s="18"/>
      <c r="UJ70" s="18"/>
      <c r="UK70" s="18"/>
      <c r="UL70" s="18"/>
      <c r="UM70" s="18"/>
      <c r="UN70" s="18"/>
      <c r="UO70" s="18"/>
      <c r="UP70" s="18"/>
      <c r="UQ70" s="18"/>
      <c r="UR70" s="18"/>
      <c r="US70" s="18"/>
      <c r="UT70" s="18"/>
      <c r="UU70" s="18"/>
      <c r="UV70" s="18"/>
      <c r="UW70" s="18"/>
      <c r="UX70" s="18"/>
      <c r="UY70" s="18"/>
      <c r="UZ70" s="18"/>
      <c r="VA70" s="18"/>
      <c r="VB70" s="18"/>
      <c r="VC70" s="18"/>
      <c r="VD70" s="18"/>
      <c r="VE70" s="18"/>
      <c r="VF70" s="18"/>
      <c r="VG70" s="18"/>
      <c r="VH70" s="18"/>
      <c r="VI70" s="18"/>
      <c r="VJ70" s="18"/>
      <c r="VK70" s="18"/>
      <c r="VL70" s="18"/>
      <c r="VM70" s="18"/>
      <c r="VN70" s="18"/>
      <c r="VO70" s="18"/>
      <c r="VP70" s="18"/>
      <c r="VQ70" s="18"/>
      <c r="VR70" s="18"/>
      <c r="VS70" s="18"/>
      <c r="VT70" s="18"/>
      <c r="VU70" s="18"/>
      <c r="VV70" s="18"/>
      <c r="VW70" s="18"/>
      <c r="VX70" s="18"/>
      <c r="VY70" s="18"/>
      <c r="VZ70" s="18"/>
      <c r="WA70" s="18"/>
      <c r="WB70" s="18"/>
      <c r="WC70" s="18"/>
      <c r="WD70" s="18"/>
      <c r="WE70" s="18"/>
      <c r="WF70" s="18"/>
      <c r="WG70" s="18"/>
      <c r="WH70" s="18"/>
      <c r="WI70" s="18"/>
      <c r="WJ70" s="18"/>
      <c r="WK70" s="18"/>
      <c r="WL70" s="18"/>
      <c r="WM70" s="18"/>
      <c r="WN70" s="18"/>
      <c r="WO70" s="18"/>
      <c r="WP70" s="18"/>
      <c r="WQ70" s="18"/>
      <c r="WR70" s="18"/>
      <c r="WS70" s="18"/>
      <c r="WT70" s="18"/>
      <c r="WU70" s="18"/>
      <c r="WV70" s="18"/>
      <c r="WW70" s="18"/>
      <c r="WX70" s="18"/>
      <c r="WY70" s="18"/>
      <c r="WZ70" s="18"/>
      <c r="XA70" s="18"/>
      <c r="XB70" s="18"/>
      <c r="XC70" s="18"/>
      <c r="XD70" s="18"/>
      <c r="XE70" s="18"/>
      <c r="XF70" s="18"/>
      <c r="XG70" s="18"/>
      <c r="XH70" s="18"/>
      <c r="XI70" s="18"/>
      <c r="XJ70" s="18"/>
      <c r="XK70" s="18"/>
      <c r="XL70" s="18"/>
      <c r="XM70" s="18"/>
      <c r="XN70" s="18"/>
      <c r="XO70" s="18"/>
      <c r="XP70" s="18"/>
      <c r="XQ70" s="18"/>
      <c r="XR70" s="18"/>
      <c r="XS70" s="18"/>
      <c r="XT70" s="18"/>
      <c r="XU70" s="18"/>
      <c r="XV70" s="18"/>
      <c r="XW70" s="18"/>
      <c r="XX70" s="18"/>
      <c r="XY70" s="18"/>
      <c r="XZ70" s="18"/>
      <c r="YA70" s="18"/>
      <c r="YB70" s="18"/>
      <c r="YC70" s="18"/>
      <c r="YD70" s="18"/>
      <c r="YE70" s="18"/>
      <c r="YF70" s="18"/>
      <c r="YG70" s="18"/>
      <c r="YH70" s="18"/>
      <c r="YI70" s="18"/>
      <c r="YJ70" s="18"/>
      <c r="YK70" s="18"/>
      <c r="YL70" s="18"/>
      <c r="YM70" s="18"/>
      <c r="YN70" s="18"/>
      <c r="YO70" s="18"/>
      <c r="YP70" s="18"/>
      <c r="YQ70" s="18"/>
      <c r="YR70" s="18"/>
      <c r="YS70" s="18"/>
      <c r="YT70" s="18"/>
      <c r="YU70" s="18"/>
      <c r="YV70" s="18"/>
      <c r="YW70" s="18"/>
      <c r="YX70" s="18"/>
      <c r="YY70" s="18"/>
      <c r="YZ70" s="18"/>
      <c r="ZA70" s="18"/>
      <c r="ZB70" s="18"/>
      <c r="ZC70" s="18"/>
      <c r="ZD70" s="18"/>
      <c r="ZE70" s="18"/>
      <c r="ZF70" s="18"/>
      <c r="ZG70" s="18"/>
      <c r="ZH70" s="18"/>
      <c r="ZI70" s="18"/>
      <c r="ZJ70" s="18"/>
      <c r="ZK70" s="18"/>
      <c r="ZL70" s="18"/>
      <c r="ZM70" s="18"/>
      <c r="ZN70" s="18"/>
      <c r="ZO70" s="18"/>
      <c r="ZP70" s="18"/>
      <c r="ZQ70" s="18"/>
      <c r="ZR70" s="18"/>
      <c r="ZS70" s="18"/>
      <c r="ZT70" s="18"/>
      <c r="ZU70" s="18"/>
      <c r="ZV70" s="18"/>
      <c r="ZW70" s="18"/>
      <c r="ZX70" s="18"/>
      <c r="ZY70" s="18"/>
      <c r="ZZ70" s="18"/>
      <c r="AAA70" s="18"/>
      <c r="AAB70" s="18"/>
      <c r="AAC70" s="18"/>
      <c r="AAD70" s="18"/>
      <c r="AAE70" s="18"/>
      <c r="AAF70" s="18"/>
      <c r="AAG70" s="18"/>
      <c r="AAH70" s="18"/>
      <c r="AAI70" s="18"/>
      <c r="AAJ70" s="18"/>
      <c r="AAK70" s="18"/>
      <c r="AAL70" s="18"/>
      <c r="AAM70" s="18"/>
      <c r="AAN70" s="18"/>
      <c r="AAO70" s="18"/>
      <c r="AAP70" s="18"/>
      <c r="AAQ70" s="18"/>
      <c r="AAR70" s="18"/>
      <c r="AAS70" s="18"/>
      <c r="AAT70" s="18"/>
      <c r="AAU70" s="18"/>
      <c r="AAV70" s="18"/>
      <c r="AAW70" s="18"/>
      <c r="AAX70" s="18"/>
      <c r="AAY70" s="18"/>
      <c r="AAZ70" s="18"/>
      <c r="ABA70" s="18"/>
      <c r="ABB70" s="18"/>
      <c r="ABC70" s="18"/>
      <c r="ABD70" s="18"/>
      <c r="ABE70" s="18"/>
      <c r="ABF70" s="18"/>
      <c r="ABG70" s="18"/>
      <c r="ABH70" s="18"/>
      <c r="ABI70" s="18"/>
      <c r="ABJ70" s="18"/>
      <c r="ABK70" s="18"/>
      <c r="ABL70" s="18"/>
      <c r="ABM70" s="18"/>
      <c r="ABN70" s="18"/>
      <c r="ABO70" s="18"/>
      <c r="ABP70" s="18"/>
      <c r="ABQ70" s="18"/>
      <c r="ABR70" s="18"/>
      <c r="ABS70" s="18"/>
      <c r="ABT70" s="18"/>
      <c r="ABU70" s="18"/>
      <c r="ABV70" s="18"/>
      <c r="ABW70" s="18"/>
      <c r="ABX70" s="18"/>
      <c r="ABY70" s="18"/>
      <c r="ABZ70" s="18"/>
      <c r="ACA70" s="18"/>
      <c r="ACB70" s="18"/>
      <c r="ACC70" s="18"/>
      <c r="ACD70" s="18"/>
      <c r="ACE70" s="18"/>
      <c r="ACF70" s="18"/>
      <c r="ACG70" s="18"/>
      <c r="ACH70" s="18"/>
      <c r="ACI70" s="18"/>
      <c r="ACJ70" s="18"/>
      <c r="ACK70" s="18"/>
      <c r="ACL70" s="18"/>
      <c r="ACM70" s="18"/>
      <c r="ACN70" s="18"/>
      <c r="ACO70" s="18"/>
      <c r="ACP70" s="18"/>
      <c r="ACQ70" s="18"/>
      <c r="ACR70" s="18"/>
      <c r="ACS70" s="18"/>
      <c r="ACT70" s="18"/>
      <c r="ACU70" s="18"/>
      <c r="ACV70" s="18"/>
      <c r="ACW70" s="18"/>
      <c r="ACX70" s="18"/>
      <c r="ACY70" s="18"/>
      <c r="ACZ70" s="18"/>
      <c r="ADA70" s="18"/>
      <c r="ADB70" s="18"/>
      <c r="ADC70" s="18"/>
      <c r="ADD70" s="18"/>
      <c r="ADE70" s="18"/>
      <c r="ADF70" s="18"/>
      <c r="ADG70" s="18"/>
      <c r="ADH70" s="18"/>
      <c r="ADI70" s="18"/>
      <c r="ADJ70" s="18"/>
      <c r="ADK70" s="18"/>
      <c r="ADL70" s="18"/>
      <c r="ADM70" s="18"/>
      <c r="ADN70" s="18"/>
      <c r="ADO70" s="18"/>
      <c r="ADP70" s="18"/>
      <c r="ADQ70" s="18"/>
      <c r="ADR70" s="18"/>
      <c r="ADS70" s="18"/>
      <c r="ADT70" s="18"/>
      <c r="ADU70" s="18"/>
      <c r="ADV70" s="18"/>
      <c r="ADW70" s="18"/>
      <c r="ADX70" s="18"/>
      <c r="ADY70" s="18"/>
      <c r="ADZ70" s="18"/>
      <c r="AEA70" s="18"/>
      <c r="AEB70" s="18"/>
      <c r="AEC70" s="18"/>
      <c r="AED70" s="18"/>
      <c r="AEE70" s="18"/>
      <c r="AEF70" s="18"/>
      <c r="AEG70" s="18"/>
      <c r="AEH70" s="18"/>
      <c r="AEI70" s="18"/>
      <c r="AEJ70" s="18"/>
      <c r="AEK70" s="18"/>
      <c r="AEL70" s="18"/>
      <c r="AEM70" s="18"/>
      <c r="AEN70" s="18"/>
      <c r="AEO70" s="18"/>
      <c r="AEP70" s="18"/>
      <c r="AEQ70" s="18"/>
      <c r="AER70" s="18"/>
      <c r="AES70" s="18"/>
      <c r="AET70" s="18"/>
      <c r="AEU70" s="18"/>
      <c r="AEV70" s="18"/>
      <c r="AEW70" s="18"/>
      <c r="AEX70" s="18"/>
      <c r="AEY70" s="18"/>
      <c r="AEZ70" s="18"/>
      <c r="AFA70" s="18"/>
      <c r="AFB70" s="18"/>
      <c r="AFC70" s="18"/>
      <c r="AFD70" s="18"/>
      <c r="AFE70" s="18"/>
      <c r="AFF70" s="18"/>
      <c r="AFG70" s="18"/>
      <c r="AFH70" s="18"/>
      <c r="AFI70" s="18"/>
      <c r="AFJ70" s="18"/>
      <c r="AFK70" s="18"/>
      <c r="AFL70" s="18"/>
      <c r="AFM70" s="18"/>
      <c r="AFN70" s="18"/>
      <c r="AFO70" s="18"/>
      <c r="AFP70" s="18"/>
      <c r="AFQ70" s="18"/>
      <c r="AFR70" s="18"/>
      <c r="AFS70" s="18"/>
      <c r="AFT70" s="18"/>
      <c r="AFU70" s="18"/>
      <c r="AFV70" s="18"/>
      <c r="AFW70" s="18"/>
      <c r="AFX70" s="18"/>
      <c r="AFY70" s="18"/>
      <c r="AFZ70" s="18"/>
      <c r="AGA70" s="18"/>
      <c r="AGB70" s="18"/>
      <c r="AGC70" s="18"/>
      <c r="AGD70" s="18"/>
      <c r="AGE70" s="18"/>
      <c r="AGF70" s="18"/>
      <c r="AGG70" s="18"/>
      <c r="AGH70" s="18"/>
      <c r="AGI70" s="18"/>
      <c r="AGJ70" s="18"/>
      <c r="AGK70" s="18"/>
      <c r="AGL70" s="18"/>
      <c r="AGM70" s="18"/>
      <c r="AGN70" s="18"/>
      <c r="AGO70" s="18"/>
      <c r="AGP70" s="18"/>
      <c r="AGQ70" s="18"/>
      <c r="AGR70" s="18"/>
      <c r="AGS70" s="18"/>
      <c r="AGT70" s="18"/>
      <c r="AGU70" s="18"/>
      <c r="AGV70" s="18"/>
      <c r="AGW70" s="18"/>
      <c r="AGX70" s="18"/>
      <c r="AGY70" s="18"/>
      <c r="AGZ70" s="18"/>
      <c r="AHA70" s="18"/>
      <c r="AHB70" s="18"/>
      <c r="AHC70" s="18"/>
      <c r="AHD70" s="18"/>
      <c r="AHE70" s="18"/>
      <c r="AHF70" s="18"/>
      <c r="AHG70" s="18"/>
      <c r="AHH70" s="18"/>
      <c r="AHI70" s="18"/>
      <c r="AHJ70" s="18"/>
      <c r="AHK70" s="18"/>
      <c r="AHL70" s="18"/>
      <c r="AHM70" s="18"/>
      <c r="AHN70" s="18"/>
      <c r="AHO70" s="18"/>
      <c r="AHP70" s="18"/>
      <c r="AHQ70" s="18"/>
      <c r="AHR70" s="18"/>
      <c r="AHS70" s="18"/>
      <c r="AHT70" s="18"/>
      <c r="AHU70" s="18"/>
      <c r="AHV70" s="18"/>
      <c r="AHW70" s="18"/>
      <c r="AHX70" s="18"/>
      <c r="AHY70" s="18"/>
      <c r="AHZ70" s="18"/>
      <c r="AIA70" s="18"/>
      <c r="AIB70" s="18"/>
      <c r="AIC70" s="18"/>
      <c r="AID70" s="18"/>
      <c r="AIE70" s="18"/>
      <c r="AIF70" s="18"/>
      <c r="AIG70" s="18"/>
      <c r="AIH70" s="18"/>
      <c r="AII70" s="18"/>
      <c r="AIJ70" s="18"/>
      <c r="AIK70" s="18"/>
      <c r="AIL70" s="18"/>
      <c r="AIM70" s="18"/>
      <c r="AIN70" s="18"/>
      <c r="AIO70" s="18"/>
      <c r="AIP70" s="18"/>
      <c r="AIQ70" s="18"/>
      <c r="AIR70" s="18"/>
      <c r="AIS70" s="18"/>
      <c r="AIT70" s="18"/>
      <c r="AIU70" s="18"/>
      <c r="AIV70" s="18"/>
      <c r="AIW70" s="18"/>
      <c r="AIX70" s="18"/>
      <c r="AIY70" s="18"/>
      <c r="AIZ70" s="18"/>
      <c r="AJA70" s="18"/>
      <c r="AJB70" s="18"/>
      <c r="AJC70" s="18"/>
      <c r="AJD70" s="18"/>
      <c r="AJE70" s="18"/>
      <c r="AJF70" s="18"/>
      <c r="AJG70" s="18"/>
      <c r="AJH70" s="18"/>
      <c r="AJI70" s="18"/>
      <c r="AJJ70" s="18"/>
      <c r="AJK70" s="18"/>
      <c r="AJL70" s="18"/>
      <c r="AJM70" s="18"/>
      <c r="AJN70" s="18"/>
      <c r="AJO70" s="18"/>
      <c r="AJP70" s="18"/>
      <c r="AJQ70" s="18"/>
      <c r="AJR70" s="18"/>
      <c r="AJS70" s="18"/>
      <c r="AJT70" s="18"/>
      <c r="AJU70" s="18"/>
      <c r="AJV70" s="18"/>
      <c r="AJW70" s="18"/>
      <c r="AJX70" s="18"/>
      <c r="AJY70" s="18"/>
      <c r="AJZ70" s="18"/>
      <c r="AKA70" s="18"/>
      <c r="AKB70" s="18"/>
      <c r="AKC70" s="18"/>
      <c r="AKD70" s="18"/>
      <c r="AKE70" s="18"/>
      <c r="AKF70" s="18"/>
      <c r="AKG70" s="18"/>
      <c r="AKH70" s="18"/>
      <c r="AKI70" s="18"/>
      <c r="AKJ70" s="18"/>
      <c r="AKK70" s="18"/>
      <c r="AKL70" s="18"/>
      <c r="AKM70" s="18"/>
      <c r="AKN70" s="18"/>
      <c r="AKO70" s="18"/>
      <c r="AKP70" s="18"/>
      <c r="AKQ70" s="18"/>
      <c r="AKR70" s="18"/>
      <c r="AKS70" s="18"/>
      <c r="AKT70" s="18"/>
      <c r="AKU70" s="18"/>
      <c r="AKV70" s="18"/>
      <c r="AKW70" s="18"/>
      <c r="AKX70" s="18"/>
      <c r="AKY70" s="18"/>
      <c r="AKZ70" s="18"/>
      <c r="ALA70" s="18"/>
      <c r="ALB70" s="18"/>
      <c r="ALC70" s="18"/>
      <c r="ALD70" s="18"/>
      <c r="ALE70" s="18"/>
      <c r="ALF70" s="18"/>
      <c r="ALG70" s="18"/>
      <c r="ALH70" s="18"/>
      <c r="ALI70" s="18"/>
      <c r="ALJ70" s="18"/>
      <c r="ALK70" s="18"/>
      <c r="ALL70" s="18"/>
      <c r="ALM70" s="18"/>
      <c r="ALN70" s="18"/>
      <c r="ALO70" s="18"/>
      <c r="ALP70" s="18"/>
      <c r="ALQ70" s="18"/>
      <c r="ALR70" s="18"/>
      <c r="ALS70" s="18"/>
      <c r="ALT70" s="18"/>
      <c r="ALU70" s="18"/>
      <c r="ALV70" s="18"/>
      <c r="ALW70" s="18"/>
      <c r="ALX70" s="18"/>
      <c r="ALY70" s="18"/>
      <c r="ALZ70" s="18"/>
      <c r="AMA70" s="18"/>
      <c r="AMB70" s="18"/>
      <c r="AMC70" s="18"/>
      <c r="AMD70" s="18"/>
      <c r="AME70" s="18"/>
      <c r="AMF70" s="18"/>
      <c r="AMG70" s="18"/>
      <c r="AMH70" s="18"/>
    </row>
    <row r="71" spans="1:1022" s="23" customFormat="1" x14ac:dyDescent="0.3">
      <c r="A71" s="33">
        <v>167</v>
      </c>
      <c r="B71" s="19"/>
      <c r="C71" s="19"/>
      <c r="D71" s="60" t="s">
        <v>341</v>
      </c>
      <c r="E71" s="34" t="s">
        <v>491</v>
      </c>
      <c r="F71" s="43">
        <v>1180</v>
      </c>
      <c r="G71" s="19"/>
      <c r="H71" s="18"/>
      <c r="I71" s="31"/>
      <c r="J71" s="31"/>
      <c r="K71" s="31"/>
      <c r="L71" s="38" t="s">
        <v>281</v>
      </c>
      <c r="M71" s="32"/>
      <c r="N71" s="32"/>
      <c r="O71" s="18"/>
      <c r="P71" s="36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18"/>
      <c r="BK71" s="18"/>
      <c r="BL71" s="18"/>
      <c r="BM71" s="18"/>
      <c r="BN71" s="18"/>
      <c r="BO71" s="18"/>
      <c r="BP71" s="18"/>
      <c r="BQ71" s="18"/>
      <c r="BR71" s="18"/>
      <c r="BS71" s="18"/>
      <c r="BT71" s="18"/>
      <c r="BU71" s="18"/>
      <c r="BV71" s="18"/>
      <c r="BW71" s="18"/>
      <c r="BX71" s="18"/>
      <c r="BY71" s="18"/>
      <c r="BZ71" s="18"/>
      <c r="CA71" s="18"/>
      <c r="CB71" s="18"/>
      <c r="CC71" s="18"/>
      <c r="CD71" s="18"/>
      <c r="CE71" s="18"/>
      <c r="CF71" s="18"/>
      <c r="CG71" s="18"/>
      <c r="CH71" s="18"/>
      <c r="CI71" s="18"/>
      <c r="CJ71" s="18"/>
      <c r="CK71" s="18"/>
      <c r="CL71" s="18"/>
      <c r="CM71" s="18"/>
      <c r="CN71" s="18"/>
      <c r="CO71" s="18"/>
      <c r="CP71" s="18"/>
      <c r="CQ71" s="18"/>
      <c r="CR71" s="18"/>
      <c r="CS71" s="18"/>
      <c r="CT71" s="18"/>
      <c r="CU71" s="18"/>
      <c r="CV71" s="18"/>
      <c r="CW71" s="18"/>
      <c r="CX71" s="18"/>
      <c r="CY71" s="18"/>
      <c r="CZ71" s="18"/>
      <c r="DA71" s="18"/>
      <c r="DB71" s="18"/>
      <c r="DC71" s="18"/>
      <c r="DD71" s="18"/>
      <c r="DE71" s="18"/>
      <c r="DF71" s="18"/>
      <c r="DG71" s="18"/>
      <c r="DH71" s="18"/>
      <c r="DI71" s="18"/>
      <c r="DJ71" s="18"/>
      <c r="DK71" s="18"/>
      <c r="DL71" s="18"/>
      <c r="DM71" s="18"/>
      <c r="DN71" s="18"/>
      <c r="DO71" s="18"/>
      <c r="DP71" s="18"/>
      <c r="DQ71" s="18"/>
      <c r="DR71" s="18"/>
      <c r="DS71" s="18"/>
      <c r="DT71" s="18"/>
      <c r="DU71" s="18"/>
      <c r="DV71" s="18"/>
      <c r="DW71" s="18"/>
      <c r="DX71" s="18"/>
      <c r="DY71" s="18"/>
      <c r="DZ71" s="18"/>
      <c r="EA71" s="18"/>
      <c r="EB71" s="18"/>
      <c r="EC71" s="18"/>
      <c r="ED71" s="18"/>
      <c r="EE71" s="18"/>
      <c r="EF71" s="18"/>
      <c r="EG71" s="18"/>
      <c r="EH71" s="18"/>
      <c r="EI71" s="18"/>
      <c r="EJ71" s="18"/>
      <c r="EK71" s="18"/>
      <c r="EL71" s="18"/>
      <c r="EM71" s="18"/>
      <c r="EN71" s="18"/>
      <c r="EO71" s="18"/>
      <c r="EP71" s="18"/>
      <c r="EQ71" s="18"/>
      <c r="ER71" s="18"/>
      <c r="ES71" s="18"/>
      <c r="ET71" s="18"/>
      <c r="EU71" s="18"/>
      <c r="EV71" s="18"/>
      <c r="EW71" s="18"/>
      <c r="EX71" s="18"/>
      <c r="EY71" s="18"/>
      <c r="EZ71" s="18"/>
      <c r="FA71" s="18"/>
      <c r="FB71" s="18"/>
      <c r="FC71" s="18"/>
      <c r="FD71" s="18"/>
      <c r="FE71" s="18"/>
      <c r="FF71" s="18"/>
      <c r="FG71" s="18"/>
      <c r="FH71" s="18"/>
      <c r="FI71" s="18"/>
      <c r="FJ71" s="18"/>
      <c r="FK71" s="18"/>
      <c r="FL71" s="18"/>
      <c r="FM71" s="18"/>
      <c r="FN71" s="18"/>
      <c r="FO71" s="18"/>
      <c r="FP71" s="18"/>
      <c r="FQ71" s="18"/>
      <c r="FR71" s="18"/>
      <c r="FS71" s="18"/>
      <c r="FT71" s="18"/>
      <c r="FU71" s="18"/>
      <c r="FV71" s="18"/>
      <c r="FW71" s="18"/>
      <c r="FX71" s="18"/>
      <c r="FY71" s="18"/>
      <c r="FZ71" s="18"/>
      <c r="GA71" s="18"/>
      <c r="GB71" s="18"/>
      <c r="GC71" s="18"/>
      <c r="GD71" s="18"/>
      <c r="GE71" s="18"/>
      <c r="GF71" s="18"/>
      <c r="GG71" s="18"/>
      <c r="GH71" s="18"/>
      <c r="GI71" s="18"/>
      <c r="GJ71" s="18"/>
      <c r="GK71" s="18"/>
      <c r="GL71" s="18"/>
      <c r="GM71" s="18"/>
      <c r="GN71" s="18"/>
      <c r="GO71" s="18"/>
      <c r="GP71" s="18"/>
      <c r="GQ71" s="18"/>
      <c r="GR71" s="18"/>
      <c r="GS71" s="18"/>
      <c r="GT71" s="18"/>
      <c r="GU71" s="18"/>
      <c r="GV71" s="18"/>
      <c r="GW71" s="18"/>
      <c r="GX71" s="18"/>
      <c r="GY71" s="18"/>
      <c r="GZ71" s="18"/>
      <c r="HA71" s="18"/>
      <c r="HB71" s="18"/>
      <c r="HC71" s="18"/>
      <c r="HD71" s="18"/>
      <c r="HE71" s="18"/>
      <c r="HF71" s="18"/>
      <c r="HG71" s="18"/>
      <c r="HH71" s="18"/>
      <c r="HI71" s="18"/>
      <c r="HJ71" s="18"/>
      <c r="HK71" s="18"/>
      <c r="HL71" s="18"/>
      <c r="HM71" s="18"/>
      <c r="HN71" s="18"/>
      <c r="HO71" s="18"/>
      <c r="HP71" s="18"/>
      <c r="HQ71" s="18"/>
      <c r="HR71" s="18"/>
      <c r="HS71" s="18"/>
      <c r="HT71" s="18"/>
      <c r="HU71" s="18"/>
      <c r="HV71" s="18"/>
      <c r="HW71" s="18"/>
      <c r="HX71" s="18"/>
      <c r="HY71" s="18"/>
      <c r="HZ71" s="18"/>
      <c r="IA71" s="18"/>
      <c r="IB71" s="18"/>
      <c r="IC71" s="18"/>
      <c r="ID71" s="18"/>
      <c r="IE71" s="18"/>
      <c r="IF71" s="18"/>
      <c r="IG71" s="18"/>
      <c r="IH71" s="18"/>
      <c r="II71" s="18"/>
      <c r="IJ71" s="18"/>
      <c r="IK71" s="18"/>
      <c r="IL71" s="18"/>
      <c r="IM71" s="18"/>
      <c r="IN71" s="18"/>
      <c r="IO71" s="18"/>
      <c r="IP71" s="18"/>
      <c r="IQ71" s="18"/>
      <c r="IR71" s="18"/>
      <c r="IS71" s="18"/>
      <c r="IT71" s="18"/>
      <c r="IU71" s="18"/>
      <c r="IV71" s="18"/>
      <c r="IW71" s="18"/>
      <c r="IX71" s="18"/>
      <c r="IY71" s="18"/>
      <c r="IZ71" s="18"/>
      <c r="JA71" s="18"/>
      <c r="JB71" s="18"/>
      <c r="JC71" s="18"/>
      <c r="JD71" s="18"/>
      <c r="JE71" s="18"/>
      <c r="JF71" s="18"/>
      <c r="JG71" s="18"/>
      <c r="JH71" s="18"/>
      <c r="JI71" s="18"/>
      <c r="JJ71" s="18"/>
      <c r="JK71" s="18"/>
      <c r="JL71" s="18"/>
      <c r="JM71" s="18"/>
      <c r="JN71" s="18"/>
      <c r="JO71" s="18"/>
      <c r="JP71" s="18"/>
      <c r="JQ71" s="18"/>
      <c r="JR71" s="18"/>
      <c r="JS71" s="18"/>
      <c r="JT71" s="18"/>
      <c r="JU71" s="18"/>
      <c r="JV71" s="18"/>
      <c r="JW71" s="18"/>
      <c r="JX71" s="18"/>
      <c r="JY71" s="18"/>
      <c r="JZ71" s="18"/>
      <c r="KA71" s="18"/>
      <c r="KB71" s="18"/>
      <c r="KC71" s="18"/>
      <c r="KD71" s="18"/>
      <c r="KE71" s="18"/>
      <c r="KF71" s="18"/>
      <c r="KG71" s="18"/>
      <c r="KH71" s="18"/>
      <c r="KI71" s="18"/>
      <c r="KJ71" s="18"/>
      <c r="KK71" s="18"/>
      <c r="KL71" s="18"/>
      <c r="KM71" s="18"/>
      <c r="KN71" s="18"/>
      <c r="KO71" s="18"/>
      <c r="KP71" s="18"/>
      <c r="KQ71" s="18"/>
      <c r="KR71" s="18"/>
      <c r="KS71" s="18"/>
      <c r="KT71" s="18"/>
      <c r="KU71" s="18"/>
      <c r="KV71" s="18"/>
      <c r="KW71" s="18"/>
      <c r="KX71" s="18"/>
      <c r="KY71" s="18"/>
      <c r="KZ71" s="18"/>
      <c r="LA71" s="18"/>
      <c r="LB71" s="18"/>
      <c r="LC71" s="18"/>
      <c r="LD71" s="18"/>
      <c r="LE71" s="18"/>
      <c r="LF71" s="18"/>
      <c r="LG71" s="18"/>
      <c r="LH71" s="18"/>
      <c r="LI71" s="18"/>
      <c r="LJ71" s="18"/>
      <c r="LK71" s="18"/>
      <c r="LL71" s="18"/>
      <c r="LM71" s="18"/>
      <c r="LN71" s="18"/>
      <c r="LO71" s="18"/>
      <c r="LP71" s="18"/>
      <c r="LQ71" s="18"/>
      <c r="LR71" s="18"/>
      <c r="LS71" s="18"/>
      <c r="LT71" s="18"/>
      <c r="LU71" s="18"/>
      <c r="LV71" s="18"/>
      <c r="LW71" s="18"/>
      <c r="LX71" s="18"/>
      <c r="LY71" s="18"/>
      <c r="LZ71" s="18"/>
      <c r="MA71" s="18"/>
      <c r="MB71" s="18"/>
      <c r="MC71" s="18"/>
      <c r="MD71" s="18"/>
      <c r="ME71" s="18"/>
      <c r="MF71" s="18"/>
      <c r="MG71" s="18"/>
      <c r="MH71" s="18"/>
      <c r="MI71" s="18"/>
      <c r="MJ71" s="18"/>
      <c r="MK71" s="18"/>
      <c r="ML71" s="18"/>
      <c r="MM71" s="18"/>
      <c r="MN71" s="18"/>
      <c r="MO71" s="18"/>
      <c r="MP71" s="18"/>
      <c r="MQ71" s="18"/>
      <c r="MR71" s="18"/>
      <c r="MS71" s="18"/>
      <c r="MT71" s="18"/>
      <c r="MU71" s="18"/>
      <c r="MV71" s="18"/>
      <c r="MW71" s="18"/>
      <c r="MX71" s="18"/>
      <c r="MY71" s="18"/>
      <c r="MZ71" s="18"/>
      <c r="NA71" s="18"/>
      <c r="NB71" s="18"/>
      <c r="NC71" s="18"/>
      <c r="ND71" s="18"/>
      <c r="NE71" s="18"/>
      <c r="NF71" s="18"/>
      <c r="NG71" s="18"/>
      <c r="NH71" s="18"/>
      <c r="NI71" s="18"/>
      <c r="NJ71" s="18"/>
      <c r="NK71" s="18"/>
      <c r="NL71" s="18"/>
      <c r="NM71" s="18"/>
      <c r="NN71" s="18"/>
      <c r="NO71" s="18"/>
      <c r="NP71" s="18"/>
      <c r="NQ71" s="18"/>
      <c r="NR71" s="18"/>
      <c r="NS71" s="18"/>
      <c r="NT71" s="18"/>
      <c r="NU71" s="18"/>
      <c r="NV71" s="18"/>
      <c r="NW71" s="18"/>
      <c r="NX71" s="18"/>
      <c r="NY71" s="18"/>
      <c r="NZ71" s="18"/>
      <c r="OA71" s="18"/>
      <c r="OB71" s="18"/>
      <c r="OC71" s="18"/>
      <c r="OD71" s="18"/>
      <c r="OE71" s="18"/>
      <c r="OF71" s="18"/>
      <c r="OG71" s="18"/>
      <c r="OH71" s="18"/>
      <c r="OI71" s="18"/>
      <c r="OJ71" s="18"/>
      <c r="OK71" s="18"/>
      <c r="OL71" s="18"/>
      <c r="OM71" s="18"/>
      <c r="ON71" s="18"/>
      <c r="OO71" s="18"/>
      <c r="OP71" s="18"/>
      <c r="OQ71" s="18"/>
      <c r="OR71" s="18"/>
      <c r="OS71" s="18"/>
      <c r="OT71" s="18"/>
      <c r="OU71" s="18"/>
      <c r="OV71" s="18"/>
      <c r="OW71" s="18"/>
      <c r="OX71" s="18"/>
      <c r="OY71" s="18"/>
      <c r="OZ71" s="18"/>
      <c r="PA71" s="18"/>
      <c r="PB71" s="18"/>
      <c r="PC71" s="18"/>
      <c r="PD71" s="18"/>
      <c r="PE71" s="18"/>
      <c r="PF71" s="18"/>
      <c r="PG71" s="18"/>
      <c r="PH71" s="18"/>
      <c r="PI71" s="18"/>
      <c r="PJ71" s="18"/>
      <c r="PK71" s="18"/>
      <c r="PL71" s="18"/>
      <c r="PM71" s="18"/>
      <c r="PN71" s="18"/>
      <c r="PO71" s="18"/>
      <c r="PP71" s="18"/>
      <c r="PQ71" s="18"/>
      <c r="PR71" s="18"/>
      <c r="PS71" s="18"/>
      <c r="PT71" s="18"/>
      <c r="PU71" s="18"/>
      <c r="PV71" s="18"/>
      <c r="PW71" s="18"/>
      <c r="PX71" s="18"/>
      <c r="PY71" s="18"/>
      <c r="PZ71" s="18"/>
      <c r="QA71" s="18"/>
      <c r="QB71" s="18"/>
      <c r="QC71" s="18"/>
      <c r="QD71" s="18"/>
      <c r="QE71" s="18"/>
      <c r="QF71" s="18"/>
      <c r="QG71" s="18"/>
      <c r="QH71" s="18"/>
      <c r="QI71" s="18"/>
      <c r="QJ71" s="18"/>
      <c r="QK71" s="18"/>
      <c r="QL71" s="18"/>
      <c r="QM71" s="18"/>
      <c r="QN71" s="18"/>
      <c r="QO71" s="18"/>
      <c r="QP71" s="18"/>
      <c r="QQ71" s="18"/>
      <c r="QR71" s="18"/>
      <c r="QS71" s="18"/>
      <c r="QT71" s="18"/>
      <c r="QU71" s="18"/>
      <c r="QV71" s="18"/>
      <c r="QW71" s="18"/>
      <c r="QX71" s="18"/>
      <c r="QY71" s="18"/>
      <c r="QZ71" s="18"/>
      <c r="RA71" s="18"/>
      <c r="RB71" s="18"/>
      <c r="RC71" s="18"/>
      <c r="RD71" s="18"/>
      <c r="RE71" s="18"/>
      <c r="RF71" s="18"/>
      <c r="RG71" s="18"/>
      <c r="RH71" s="18"/>
      <c r="RI71" s="18"/>
      <c r="RJ71" s="18"/>
      <c r="RK71" s="18"/>
      <c r="RL71" s="18"/>
      <c r="RM71" s="18"/>
      <c r="RN71" s="18"/>
      <c r="RO71" s="18"/>
      <c r="RP71" s="18"/>
      <c r="RQ71" s="18"/>
      <c r="RR71" s="18"/>
      <c r="RS71" s="18"/>
      <c r="RT71" s="18"/>
      <c r="RU71" s="18"/>
      <c r="RV71" s="18"/>
      <c r="RW71" s="18"/>
      <c r="RX71" s="18"/>
      <c r="RY71" s="18"/>
      <c r="RZ71" s="18"/>
      <c r="SA71" s="18"/>
      <c r="SB71" s="18"/>
      <c r="SC71" s="18"/>
      <c r="SD71" s="18"/>
      <c r="SE71" s="18"/>
      <c r="SF71" s="18"/>
      <c r="SG71" s="18"/>
      <c r="SH71" s="18"/>
      <c r="SI71" s="18"/>
      <c r="SJ71" s="18"/>
      <c r="SK71" s="18"/>
      <c r="SL71" s="18"/>
      <c r="SM71" s="18"/>
      <c r="SN71" s="18"/>
      <c r="SO71" s="18"/>
      <c r="SP71" s="18"/>
      <c r="SQ71" s="18"/>
      <c r="SR71" s="18"/>
      <c r="SS71" s="18"/>
      <c r="ST71" s="18"/>
      <c r="SU71" s="18"/>
      <c r="SV71" s="18"/>
      <c r="SW71" s="18"/>
      <c r="SX71" s="18"/>
      <c r="SY71" s="18"/>
      <c r="SZ71" s="18"/>
      <c r="TA71" s="18"/>
      <c r="TB71" s="18"/>
      <c r="TC71" s="18"/>
      <c r="TD71" s="18"/>
      <c r="TE71" s="18"/>
      <c r="TF71" s="18"/>
      <c r="TG71" s="18"/>
      <c r="TH71" s="18"/>
      <c r="TI71" s="18"/>
      <c r="TJ71" s="18"/>
      <c r="TK71" s="18"/>
      <c r="TL71" s="18"/>
      <c r="TM71" s="18"/>
      <c r="TN71" s="18"/>
      <c r="TO71" s="18"/>
      <c r="TP71" s="18"/>
      <c r="TQ71" s="18"/>
      <c r="TR71" s="18"/>
      <c r="TS71" s="18"/>
      <c r="TT71" s="18"/>
      <c r="TU71" s="18"/>
      <c r="TV71" s="18"/>
      <c r="TW71" s="18"/>
      <c r="TX71" s="18"/>
      <c r="TY71" s="18"/>
      <c r="TZ71" s="18"/>
      <c r="UA71" s="18"/>
      <c r="UB71" s="18"/>
      <c r="UC71" s="18"/>
      <c r="UD71" s="18"/>
      <c r="UE71" s="18"/>
      <c r="UF71" s="18"/>
      <c r="UG71" s="18"/>
      <c r="UH71" s="18"/>
      <c r="UI71" s="18"/>
      <c r="UJ71" s="18"/>
      <c r="UK71" s="18"/>
      <c r="UL71" s="18"/>
      <c r="UM71" s="18"/>
      <c r="UN71" s="18"/>
      <c r="UO71" s="18"/>
      <c r="UP71" s="18"/>
      <c r="UQ71" s="18"/>
      <c r="UR71" s="18"/>
      <c r="US71" s="18"/>
      <c r="UT71" s="18"/>
      <c r="UU71" s="18"/>
      <c r="UV71" s="18"/>
      <c r="UW71" s="18"/>
      <c r="UX71" s="18"/>
      <c r="UY71" s="18"/>
      <c r="UZ71" s="18"/>
      <c r="VA71" s="18"/>
      <c r="VB71" s="18"/>
      <c r="VC71" s="18"/>
      <c r="VD71" s="18"/>
      <c r="VE71" s="18"/>
      <c r="VF71" s="18"/>
      <c r="VG71" s="18"/>
      <c r="VH71" s="18"/>
      <c r="VI71" s="18"/>
      <c r="VJ71" s="18"/>
      <c r="VK71" s="18"/>
      <c r="VL71" s="18"/>
      <c r="VM71" s="18"/>
      <c r="VN71" s="18"/>
      <c r="VO71" s="18"/>
      <c r="VP71" s="18"/>
      <c r="VQ71" s="18"/>
      <c r="VR71" s="18"/>
      <c r="VS71" s="18"/>
      <c r="VT71" s="18"/>
      <c r="VU71" s="18"/>
      <c r="VV71" s="18"/>
      <c r="VW71" s="18"/>
      <c r="VX71" s="18"/>
      <c r="VY71" s="18"/>
      <c r="VZ71" s="18"/>
      <c r="WA71" s="18"/>
      <c r="WB71" s="18"/>
      <c r="WC71" s="18"/>
      <c r="WD71" s="18"/>
      <c r="WE71" s="18"/>
      <c r="WF71" s="18"/>
      <c r="WG71" s="18"/>
      <c r="WH71" s="18"/>
      <c r="WI71" s="18"/>
      <c r="WJ71" s="18"/>
      <c r="WK71" s="18"/>
      <c r="WL71" s="18"/>
      <c r="WM71" s="18"/>
      <c r="WN71" s="18"/>
      <c r="WO71" s="18"/>
      <c r="WP71" s="18"/>
      <c r="WQ71" s="18"/>
      <c r="WR71" s="18"/>
      <c r="WS71" s="18"/>
      <c r="WT71" s="18"/>
      <c r="WU71" s="18"/>
      <c r="WV71" s="18"/>
      <c r="WW71" s="18"/>
      <c r="WX71" s="18"/>
      <c r="WY71" s="18"/>
      <c r="WZ71" s="18"/>
      <c r="XA71" s="18"/>
      <c r="XB71" s="18"/>
      <c r="XC71" s="18"/>
      <c r="XD71" s="18"/>
      <c r="XE71" s="18"/>
      <c r="XF71" s="18"/>
      <c r="XG71" s="18"/>
      <c r="XH71" s="18"/>
      <c r="XI71" s="18"/>
      <c r="XJ71" s="18"/>
      <c r="XK71" s="18"/>
      <c r="XL71" s="18"/>
      <c r="XM71" s="18"/>
      <c r="XN71" s="18"/>
      <c r="XO71" s="18"/>
      <c r="XP71" s="18"/>
      <c r="XQ71" s="18"/>
      <c r="XR71" s="18"/>
      <c r="XS71" s="18"/>
      <c r="XT71" s="18"/>
      <c r="XU71" s="18"/>
      <c r="XV71" s="18"/>
      <c r="XW71" s="18"/>
      <c r="XX71" s="18"/>
      <c r="XY71" s="18"/>
      <c r="XZ71" s="18"/>
      <c r="YA71" s="18"/>
      <c r="YB71" s="18"/>
      <c r="YC71" s="18"/>
      <c r="YD71" s="18"/>
      <c r="YE71" s="18"/>
      <c r="YF71" s="18"/>
      <c r="YG71" s="18"/>
      <c r="YH71" s="18"/>
      <c r="YI71" s="18"/>
      <c r="YJ71" s="18"/>
      <c r="YK71" s="18"/>
      <c r="YL71" s="18"/>
      <c r="YM71" s="18"/>
      <c r="YN71" s="18"/>
      <c r="YO71" s="18"/>
      <c r="YP71" s="18"/>
      <c r="YQ71" s="18"/>
      <c r="YR71" s="18"/>
      <c r="YS71" s="18"/>
      <c r="YT71" s="18"/>
      <c r="YU71" s="18"/>
      <c r="YV71" s="18"/>
      <c r="YW71" s="18"/>
      <c r="YX71" s="18"/>
      <c r="YY71" s="18"/>
      <c r="YZ71" s="18"/>
      <c r="ZA71" s="18"/>
      <c r="ZB71" s="18"/>
      <c r="ZC71" s="18"/>
      <c r="ZD71" s="18"/>
      <c r="ZE71" s="18"/>
      <c r="ZF71" s="18"/>
      <c r="ZG71" s="18"/>
      <c r="ZH71" s="18"/>
      <c r="ZI71" s="18"/>
      <c r="ZJ71" s="18"/>
      <c r="ZK71" s="18"/>
      <c r="ZL71" s="18"/>
      <c r="ZM71" s="18"/>
      <c r="ZN71" s="18"/>
      <c r="ZO71" s="18"/>
      <c r="ZP71" s="18"/>
      <c r="ZQ71" s="18"/>
      <c r="ZR71" s="18"/>
      <c r="ZS71" s="18"/>
      <c r="ZT71" s="18"/>
      <c r="ZU71" s="18"/>
      <c r="ZV71" s="18"/>
      <c r="ZW71" s="18"/>
      <c r="ZX71" s="18"/>
      <c r="ZY71" s="18"/>
      <c r="ZZ71" s="18"/>
      <c r="AAA71" s="18"/>
      <c r="AAB71" s="18"/>
      <c r="AAC71" s="18"/>
      <c r="AAD71" s="18"/>
      <c r="AAE71" s="18"/>
      <c r="AAF71" s="18"/>
      <c r="AAG71" s="18"/>
      <c r="AAH71" s="18"/>
      <c r="AAI71" s="18"/>
      <c r="AAJ71" s="18"/>
      <c r="AAK71" s="18"/>
      <c r="AAL71" s="18"/>
      <c r="AAM71" s="18"/>
      <c r="AAN71" s="18"/>
      <c r="AAO71" s="18"/>
      <c r="AAP71" s="18"/>
      <c r="AAQ71" s="18"/>
      <c r="AAR71" s="18"/>
      <c r="AAS71" s="18"/>
      <c r="AAT71" s="18"/>
      <c r="AAU71" s="18"/>
      <c r="AAV71" s="18"/>
      <c r="AAW71" s="18"/>
      <c r="AAX71" s="18"/>
      <c r="AAY71" s="18"/>
      <c r="AAZ71" s="18"/>
      <c r="ABA71" s="18"/>
      <c r="ABB71" s="18"/>
      <c r="ABC71" s="18"/>
      <c r="ABD71" s="18"/>
      <c r="ABE71" s="18"/>
      <c r="ABF71" s="18"/>
      <c r="ABG71" s="18"/>
      <c r="ABH71" s="18"/>
      <c r="ABI71" s="18"/>
      <c r="ABJ71" s="18"/>
      <c r="ABK71" s="18"/>
      <c r="ABL71" s="18"/>
      <c r="ABM71" s="18"/>
      <c r="ABN71" s="18"/>
      <c r="ABO71" s="18"/>
      <c r="ABP71" s="18"/>
      <c r="ABQ71" s="18"/>
      <c r="ABR71" s="18"/>
      <c r="ABS71" s="18"/>
      <c r="ABT71" s="18"/>
      <c r="ABU71" s="18"/>
      <c r="ABV71" s="18"/>
      <c r="ABW71" s="18"/>
      <c r="ABX71" s="18"/>
      <c r="ABY71" s="18"/>
      <c r="ABZ71" s="18"/>
      <c r="ACA71" s="18"/>
      <c r="ACB71" s="18"/>
      <c r="ACC71" s="18"/>
      <c r="ACD71" s="18"/>
      <c r="ACE71" s="18"/>
      <c r="ACF71" s="18"/>
      <c r="ACG71" s="18"/>
      <c r="ACH71" s="18"/>
      <c r="ACI71" s="18"/>
      <c r="ACJ71" s="18"/>
      <c r="ACK71" s="18"/>
      <c r="ACL71" s="18"/>
      <c r="ACM71" s="18"/>
      <c r="ACN71" s="18"/>
      <c r="ACO71" s="18"/>
      <c r="ACP71" s="18"/>
      <c r="ACQ71" s="18"/>
      <c r="ACR71" s="18"/>
      <c r="ACS71" s="18"/>
      <c r="ACT71" s="18"/>
      <c r="ACU71" s="18"/>
      <c r="ACV71" s="18"/>
      <c r="ACW71" s="18"/>
      <c r="ACX71" s="18"/>
      <c r="ACY71" s="18"/>
      <c r="ACZ71" s="18"/>
      <c r="ADA71" s="18"/>
      <c r="ADB71" s="18"/>
      <c r="ADC71" s="18"/>
      <c r="ADD71" s="18"/>
      <c r="ADE71" s="18"/>
      <c r="ADF71" s="18"/>
      <c r="ADG71" s="18"/>
      <c r="ADH71" s="18"/>
      <c r="ADI71" s="18"/>
      <c r="ADJ71" s="18"/>
      <c r="ADK71" s="18"/>
      <c r="ADL71" s="18"/>
      <c r="ADM71" s="18"/>
      <c r="ADN71" s="18"/>
      <c r="ADO71" s="18"/>
      <c r="ADP71" s="18"/>
      <c r="ADQ71" s="18"/>
      <c r="ADR71" s="18"/>
      <c r="ADS71" s="18"/>
      <c r="ADT71" s="18"/>
      <c r="ADU71" s="18"/>
      <c r="ADV71" s="18"/>
      <c r="ADW71" s="18"/>
      <c r="ADX71" s="18"/>
      <c r="ADY71" s="18"/>
      <c r="ADZ71" s="18"/>
      <c r="AEA71" s="18"/>
      <c r="AEB71" s="18"/>
      <c r="AEC71" s="18"/>
      <c r="AED71" s="18"/>
      <c r="AEE71" s="18"/>
      <c r="AEF71" s="18"/>
      <c r="AEG71" s="18"/>
      <c r="AEH71" s="18"/>
      <c r="AEI71" s="18"/>
      <c r="AEJ71" s="18"/>
      <c r="AEK71" s="18"/>
      <c r="AEL71" s="18"/>
      <c r="AEM71" s="18"/>
      <c r="AEN71" s="18"/>
      <c r="AEO71" s="18"/>
      <c r="AEP71" s="18"/>
      <c r="AEQ71" s="18"/>
      <c r="AER71" s="18"/>
      <c r="AES71" s="18"/>
      <c r="AET71" s="18"/>
      <c r="AEU71" s="18"/>
      <c r="AEV71" s="18"/>
      <c r="AEW71" s="18"/>
      <c r="AEX71" s="18"/>
      <c r="AEY71" s="18"/>
      <c r="AEZ71" s="18"/>
      <c r="AFA71" s="18"/>
      <c r="AFB71" s="18"/>
      <c r="AFC71" s="18"/>
      <c r="AFD71" s="18"/>
      <c r="AFE71" s="18"/>
      <c r="AFF71" s="18"/>
      <c r="AFG71" s="18"/>
      <c r="AFH71" s="18"/>
      <c r="AFI71" s="18"/>
      <c r="AFJ71" s="18"/>
      <c r="AFK71" s="18"/>
      <c r="AFL71" s="18"/>
      <c r="AFM71" s="18"/>
      <c r="AFN71" s="18"/>
      <c r="AFO71" s="18"/>
      <c r="AFP71" s="18"/>
      <c r="AFQ71" s="18"/>
      <c r="AFR71" s="18"/>
      <c r="AFS71" s="18"/>
      <c r="AFT71" s="18"/>
      <c r="AFU71" s="18"/>
      <c r="AFV71" s="18"/>
      <c r="AFW71" s="18"/>
      <c r="AFX71" s="18"/>
      <c r="AFY71" s="18"/>
      <c r="AFZ71" s="18"/>
      <c r="AGA71" s="18"/>
      <c r="AGB71" s="18"/>
      <c r="AGC71" s="18"/>
      <c r="AGD71" s="18"/>
      <c r="AGE71" s="18"/>
      <c r="AGF71" s="18"/>
      <c r="AGG71" s="18"/>
      <c r="AGH71" s="18"/>
      <c r="AGI71" s="18"/>
      <c r="AGJ71" s="18"/>
      <c r="AGK71" s="18"/>
      <c r="AGL71" s="18"/>
      <c r="AGM71" s="18"/>
      <c r="AGN71" s="18"/>
      <c r="AGO71" s="18"/>
      <c r="AGP71" s="18"/>
      <c r="AGQ71" s="18"/>
      <c r="AGR71" s="18"/>
      <c r="AGS71" s="18"/>
      <c r="AGT71" s="18"/>
      <c r="AGU71" s="18"/>
      <c r="AGV71" s="18"/>
      <c r="AGW71" s="18"/>
      <c r="AGX71" s="18"/>
      <c r="AGY71" s="18"/>
      <c r="AGZ71" s="18"/>
      <c r="AHA71" s="18"/>
      <c r="AHB71" s="18"/>
      <c r="AHC71" s="18"/>
      <c r="AHD71" s="18"/>
      <c r="AHE71" s="18"/>
      <c r="AHF71" s="18"/>
      <c r="AHG71" s="18"/>
      <c r="AHH71" s="18"/>
      <c r="AHI71" s="18"/>
      <c r="AHJ71" s="18"/>
      <c r="AHK71" s="18"/>
      <c r="AHL71" s="18"/>
      <c r="AHM71" s="18"/>
      <c r="AHN71" s="18"/>
      <c r="AHO71" s="18"/>
      <c r="AHP71" s="18"/>
      <c r="AHQ71" s="18"/>
      <c r="AHR71" s="18"/>
      <c r="AHS71" s="18"/>
      <c r="AHT71" s="18"/>
      <c r="AHU71" s="18"/>
      <c r="AHV71" s="18"/>
      <c r="AHW71" s="18"/>
      <c r="AHX71" s="18"/>
      <c r="AHY71" s="18"/>
      <c r="AHZ71" s="18"/>
      <c r="AIA71" s="18"/>
      <c r="AIB71" s="18"/>
      <c r="AIC71" s="18"/>
      <c r="AID71" s="18"/>
      <c r="AIE71" s="18"/>
      <c r="AIF71" s="18"/>
      <c r="AIG71" s="18"/>
      <c r="AIH71" s="18"/>
      <c r="AII71" s="18"/>
      <c r="AIJ71" s="18"/>
      <c r="AIK71" s="18"/>
      <c r="AIL71" s="18"/>
      <c r="AIM71" s="18"/>
      <c r="AIN71" s="18"/>
      <c r="AIO71" s="18"/>
      <c r="AIP71" s="18"/>
      <c r="AIQ71" s="18"/>
      <c r="AIR71" s="18"/>
      <c r="AIS71" s="18"/>
      <c r="AIT71" s="18"/>
      <c r="AIU71" s="18"/>
      <c r="AIV71" s="18"/>
      <c r="AIW71" s="18"/>
      <c r="AIX71" s="18"/>
      <c r="AIY71" s="18"/>
      <c r="AIZ71" s="18"/>
      <c r="AJA71" s="18"/>
      <c r="AJB71" s="18"/>
      <c r="AJC71" s="18"/>
      <c r="AJD71" s="18"/>
      <c r="AJE71" s="18"/>
      <c r="AJF71" s="18"/>
      <c r="AJG71" s="18"/>
      <c r="AJH71" s="18"/>
      <c r="AJI71" s="18"/>
      <c r="AJJ71" s="18"/>
      <c r="AJK71" s="18"/>
      <c r="AJL71" s="18"/>
      <c r="AJM71" s="18"/>
      <c r="AJN71" s="18"/>
      <c r="AJO71" s="18"/>
      <c r="AJP71" s="18"/>
      <c r="AJQ71" s="18"/>
      <c r="AJR71" s="18"/>
      <c r="AJS71" s="18"/>
      <c r="AJT71" s="18"/>
      <c r="AJU71" s="18"/>
      <c r="AJV71" s="18"/>
      <c r="AJW71" s="18"/>
      <c r="AJX71" s="18"/>
      <c r="AJY71" s="18"/>
      <c r="AJZ71" s="18"/>
      <c r="AKA71" s="18"/>
      <c r="AKB71" s="18"/>
      <c r="AKC71" s="18"/>
      <c r="AKD71" s="18"/>
      <c r="AKE71" s="18"/>
      <c r="AKF71" s="18"/>
      <c r="AKG71" s="18"/>
      <c r="AKH71" s="18"/>
      <c r="AKI71" s="18"/>
      <c r="AKJ71" s="18"/>
      <c r="AKK71" s="18"/>
      <c r="AKL71" s="18"/>
      <c r="AKM71" s="18"/>
      <c r="AKN71" s="18"/>
      <c r="AKO71" s="18"/>
      <c r="AKP71" s="18"/>
      <c r="AKQ71" s="18"/>
      <c r="AKR71" s="18"/>
      <c r="AKS71" s="18"/>
      <c r="AKT71" s="18"/>
      <c r="AKU71" s="18"/>
      <c r="AKV71" s="18"/>
      <c r="AKW71" s="18"/>
      <c r="AKX71" s="18"/>
      <c r="AKY71" s="18"/>
      <c r="AKZ71" s="18"/>
      <c r="ALA71" s="18"/>
      <c r="ALB71" s="18"/>
      <c r="ALC71" s="18"/>
      <c r="ALD71" s="18"/>
      <c r="ALE71" s="18"/>
      <c r="ALF71" s="18"/>
      <c r="ALG71" s="18"/>
      <c r="ALH71" s="18"/>
      <c r="ALI71" s="18"/>
      <c r="ALJ71" s="18"/>
      <c r="ALK71" s="18"/>
      <c r="ALL71" s="18"/>
      <c r="ALM71" s="18"/>
      <c r="ALN71" s="18"/>
      <c r="ALO71" s="18"/>
      <c r="ALP71" s="18"/>
      <c r="ALQ71" s="18"/>
      <c r="ALR71" s="18"/>
      <c r="ALS71" s="18"/>
      <c r="ALT71" s="18"/>
      <c r="ALU71" s="18"/>
      <c r="ALV71" s="18"/>
      <c r="ALW71" s="18"/>
      <c r="ALX71" s="18"/>
      <c r="ALY71" s="18"/>
      <c r="ALZ71" s="18"/>
      <c r="AMA71" s="18"/>
      <c r="AMB71" s="18"/>
      <c r="AMC71" s="18"/>
      <c r="AMD71" s="18"/>
      <c r="AME71" s="18"/>
      <c r="AMF71" s="18"/>
      <c r="AMG71" s="18"/>
      <c r="AMH71" s="18"/>
    </row>
    <row r="72" spans="1:1022" s="23" customFormat="1" x14ac:dyDescent="0.3">
      <c r="A72" s="33">
        <v>168</v>
      </c>
      <c r="B72" s="19"/>
      <c r="C72" s="19"/>
      <c r="D72" s="34" t="s">
        <v>342</v>
      </c>
      <c r="E72" s="34" t="s">
        <v>492</v>
      </c>
      <c r="F72" s="19"/>
      <c r="G72" s="19"/>
      <c r="H72" s="18"/>
      <c r="I72" s="31"/>
      <c r="J72" s="31"/>
      <c r="K72" s="31"/>
      <c r="L72" s="38" t="s">
        <v>281</v>
      </c>
      <c r="M72" s="32"/>
      <c r="N72" s="32"/>
      <c r="O72" s="18"/>
      <c r="P72" s="36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  <c r="BB72" s="18"/>
      <c r="BC72" s="18"/>
      <c r="BD72" s="18"/>
      <c r="BE72" s="18"/>
      <c r="BF72" s="18"/>
      <c r="BG72" s="18"/>
      <c r="BH72" s="18"/>
      <c r="BI72" s="18"/>
      <c r="BJ72" s="18"/>
      <c r="BK72" s="18"/>
      <c r="BL72" s="18"/>
      <c r="BM72" s="18"/>
      <c r="BN72" s="18"/>
      <c r="BO72" s="18"/>
      <c r="BP72" s="18"/>
      <c r="BQ72" s="18"/>
      <c r="BR72" s="18"/>
      <c r="BS72" s="18"/>
      <c r="BT72" s="18"/>
      <c r="BU72" s="18"/>
      <c r="BV72" s="18"/>
      <c r="BW72" s="18"/>
      <c r="BX72" s="18"/>
      <c r="BY72" s="18"/>
      <c r="BZ72" s="18"/>
      <c r="CA72" s="18"/>
      <c r="CB72" s="18"/>
      <c r="CC72" s="18"/>
      <c r="CD72" s="18"/>
      <c r="CE72" s="18"/>
      <c r="CF72" s="18"/>
      <c r="CG72" s="18"/>
      <c r="CH72" s="18"/>
      <c r="CI72" s="18"/>
      <c r="CJ72" s="18"/>
      <c r="CK72" s="18"/>
      <c r="CL72" s="18"/>
      <c r="CM72" s="18"/>
      <c r="CN72" s="18"/>
      <c r="CO72" s="18"/>
      <c r="CP72" s="18"/>
      <c r="CQ72" s="18"/>
      <c r="CR72" s="18"/>
      <c r="CS72" s="18"/>
      <c r="CT72" s="18"/>
      <c r="CU72" s="18"/>
      <c r="CV72" s="18"/>
      <c r="CW72" s="18"/>
      <c r="CX72" s="18"/>
      <c r="CY72" s="18"/>
      <c r="CZ72" s="18"/>
      <c r="DA72" s="18"/>
      <c r="DB72" s="18"/>
      <c r="DC72" s="18"/>
      <c r="DD72" s="18"/>
      <c r="DE72" s="18"/>
      <c r="DF72" s="18"/>
      <c r="DG72" s="18"/>
      <c r="DH72" s="18"/>
      <c r="DI72" s="18"/>
      <c r="DJ72" s="18"/>
      <c r="DK72" s="18"/>
      <c r="DL72" s="18"/>
      <c r="DM72" s="18"/>
      <c r="DN72" s="18"/>
      <c r="DO72" s="18"/>
      <c r="DP72" s="18"/>
      <c r="DQ72" s="18"/>
      <c r="DR72" s="18"/>
      <c r="DS72" s="18"/>
      <c r="DT72" s="18"/>
      <c r="DU72" s="18"/>
      <c r="DV72" s="18"/>
      <c r="DW72" s="18"/>
      <c r="DX72" s="18"/>
      <c r="DY72" s="18"/>
      <c r="DZ72" s="18"/>
      <c r="EA72" s="18"/>
      <c r="EB72" s="18"/>
      <c r="EC72" s="18"/>
      <c r="ED72" s="18"/>
      <c r="EE72" s="18"/>
      <c r="EF72" s="18"/>
      <c r="EG72" s="18"/>
      <c r="EH72" s="18"/>
      <c r="EI72" s="18"/>
      <c r="EJ72" s="18"/>
      <c r="EK72" s="18"/>
      <c r="EL72" s="18"/>
      <c r="EM72" s="18"/>
      <c r="EN72" s="18"/>
      <c r="EO72" s="18"/>
      <c r="EP72" s="18"/>
      <c r="EQ72" s="18"/>
      <c r="ER72" s="18"/>
      <c r="ES72" s="18"/>
      <c r="ET72" s="18"/>
      <c r="EU72" s="18"/>
      <c r="EV72" s="18"/>
      <c r="EW72" s="18"/>
      <c r="EX72" s="18"/>
      <c r="EY72" s="18"/>
      <c r="EZ72" s="18"/>
      <c r="FA72" s="18"/>
      <c r="FB72" s="18"/>
      <c r="FC72" s="18"/>
      <c r="FD72" s="18"/>
      <c r="FE72" s="18"/>
      <c r="FF72" s="18"/>
      <c r="FG72" s="18"/>
      <c r="FH72" s="18"/>
      <c r="FI72" s="18"/>
      <c r="FJ72" s="18"/>
      <c r="FK72" s="18"/>
      <c r="FL72" s="18"/>
      <c r="FM72" s="18"/>
      <c r="FN72" s="18"/>
      <c r="FO72" s="18"/>
      <c r="FP72" s="18"/>
      <c r="FQ72" s="18"/>
      <c r="FR72" s="18"/>
      <c r="FS72" s="18"/>
      <c r="FT72" s="18"/>
      <c r="FU72" s="18"/>
      <c r="FV72" s="18"/>
      <c r="FW72" s="18"/>
      <c r="FX72" s="18"/>
      <c r="FY72" s="18"/>
      <c r="FZ72" s="18"/>
      <c r="GA72" s="18"/>
      <c r="GB72" s="18"/>
      <c r="GC72" s="18"/>
      <c r="GD72" s="18"/>
      <c r="GE72" s="18"/>
      <c r="GF72" s="18"/>
      <c r="GG72" s="18"/>
      <c r="GH72" s="18"/>
      <c r="GI72" s="18"/>
      <c r="GJ72" s="18"/>
      <c r="GK72" s="18"/>
      <c r="GL72" s="18"/>
      <c r="GM72" s="18"/>
      <c r="GN72" s="18"/>
      <c r="GO72" s="18"/>
      <c r="GP72" s="18"/>
      <c r="GQ72" s="18"/>
      <c r="GR72" s="18"/>
      <c r="GS72" s="18"/>
      <c r="GT72" s="18"/>
      <c r="GU72" s="18"/>
      <c r="GV72" s="18"/>
      <c r="GW72" s="18"/>
      <c r="GX72" s="18"/>
      <c r="GY72" s="18"/>
      <c r="GZ72" s="18"/>
      <c r="HA72" s="18"/>
      <c r="HB72" s="18"/>
      <c r="HC72" s="18"/>
      <c r="HD72" s="18"/>
      <c r="HE72" s="18"/>
      <c r="HF72" s="18"/>
      <c r="HG72" s="18"/>
      <c r="HH72" s="18"/>
      <c r="HI72" s="18"/>
      <c r="HJ72" s="18"/>
      <c r="HK72" s="18"/>
      <c r="HL72" s="18"/>
      <c r="HM72" s="18"/>
      <c r="HN72" s="18"/>
      <c r="HO72" s="18"/>
      <c r="HP72" s="18"/>
      <c r="HQ72" s="18"/>
      <c r="HR72" s="18"/>
      <c r="HS72" s="18"/>
      <c r="HT72" s="18"/>
      <c r="HU72" s="18"/>
      <c r="HV72" s="18"/>
      <c r="HW72" s="18"/>
      <c r="HX72" s="18"/>
      <c r="HY72" s="18"/>
      <c r="HZ72" s="18"/>
      <c r="IA72" s="18"/>
      <c r="IB72" s="18"/>
      <c r="IC72" s="18"/>
      <c r="ID72" s="18"/>
      <c r="IE72" s="18"/>
      <c r="IF72" s="18"/>
      <c r="IG72" s="18"/>
      <c r="IH72" s="18"/>
      <c r="II72" s="18"/>
      <c r="IJ72" s="18"/>
      <c r="IK72" s="18"/>
      <c r="IL72" s="18"/>
      <c r="IM72" s="18"/>
      <c r="IN72" s="18"/>
      <c r="IO72" s="18"/>
      <c r="IP72" s="18"/>
      <c r="IQ72" s="18"/>
      <c r="IR72" s="18"/>
      <c r="IS72" s="18"/>
      <c r="IT72" s="18"/>
      <c r="IU72" s="18"/>
      <c r="IV72" s="18"/>
      <c r="IW72" s="18"/>
      <c r="IX72" s="18"/>
      <c r="IY72" s="18"/>
      <c r="IZ72" s="18"/>
      <c r="JA72" s="18"/>
      <c r="JB72" s="18"/>
      <c r="JC72" s="18"/>
      <c r="JD72" s="18"/>
      <c r="JE72" s="18"/>
      <c r="JF72" s="18"/>
      <c r="JG72" s="18"/>
      <c r="JH72" s="18"/>
      <c r="JI72" s="18"/>
      <c r="JJ72" s="18"/>
      <c r="JK72" s="18"/>
      <c r="JL72" s="18"/>
      <c r="JM72" s="18"/>
      <c r="JN72" s="18"/>
      <c r="JO72" s="18"/>
      <c r="JP72" s="18"/>
      <c r="JQ72" s="18"/>
      <c r="JR72" s="18"/>
      <c r="JS72" s="18"/>
      <c r="JT72" s="18"/>
      <c r="JU72" s="18"/>
      <c r="JV72" s="18"/>
      <c r="JW72" s="18"/>
      <c r="JX72" s="18"/>
      <c r="JY72" s="18"/>
      <c r="JZ72" s="18"/>
      <c r="KA72" s="18"/>
      <c r="KB72" s="18"/>
      <c r="KC72" s="18"/>
      <c r="KD72" s="18"/>
      <c r="KE72" s="18"/>
      <c r="KF72" s="18"/>
      <c r="KG72" s="18"/>
      <c r="KH72" s="18"/>
      <c r="KI72" s="18"/>
      <c r="KJ72" s="18"/>
      <c r="KK72" s="18"/>
      <c r="KL72" s="18"/>
      <c r="KM72" s="18"/>
      <c r="KN72" s="18"/>
      <c r="KO72" s="18"/>
      <c r="KP72" s="18"/>
      <c r="KQ72" s="18"/>
      <c r="KR72" s="18"/>
      <c r="KS72" s="18"/>
      <c r="KT72" s="18"/>
      <c r="KU72" s="18"/>
      <c r="KV72" s="18"/>
      <c r="KW72" s="18"/>
      <c r="KX72" s="18"/>
      <c r="KY72" s="18"/>
      <c r="KZ72" s="18"/>
      <c r="LA72" s="18"/>
      <c r="LB72" s="18"/>
      <c r="LC72" s="18"/>
      <c r="LD72" s="18"/>
      <c r="LE72" s="18"/>
      <c r="LF72" s="18"/>
      <c r="LG72" s="18"/>
      <c r="LH72" s="18"/>
      <c r="LI72" s="18"/>
      <c r="LJ72" s="18"/>
      <c r="LK72" s="18"/>
      <c r="LL72" s="18"/>
      <c r="LM72" s="18"/>
      <c r="LN72" s="18"/>
      <c r="LO72" s="18"/>
      <c r="LP72" s="18"/>
      <c r="LQ72" s="18"/>
      <c r="LR72" s="18"/>
      <c r="LS72" s="18"/>
      <c r="LT72" s="18"/>
      <c r="LU72" s="18"/>
      <c r="LV72" s="18"/>
      <c r="LW72" s="18"/>
      <c r="LX72" s="18"/>
      <c r="LY72" s="18"/>
      <c r="LZ72" s="18"/>
      <c r="MA72" s="18"/>
      <c r="MB72" s="18"/>
      <c r="MC72" s="18"/>
      <c r="MD72" s="18"/>
      <c r="ME72" s="18"/>
      <c r="MF72" s="18"/>
      <c r="MG72" s="18"/>
      <c r="MH72" s="18"/>
      <c r="MI72" s="18"/>
      <c r="MJ72" s="18"/>
      <c r="MK72" s="18"/>
      <c r="ML72" s="18"/>
      <c r="MM72" s="18"/>
      <c r="MN72" s="18"/>
      <c r="MO72" s="18"/>
      <c r="MP72" s="18"/>
      <c r="MQ72" s="18"/>
      <c r="MR72" s="18"/>
      <c r="MS72" s="18"/>
      <c r="MT72" s="18"/>
      <c r="MU72" s="18"/>
      <c r="MV72" s="18"/>
      <c r="MW72" s="18"/>
      <c r="MX72" s="18"/>
      <c r="MY72" s="18"/>
      <c r="MZ72" s="18"/>
      <c r="NA72" s="18"/>
      <c r="NB72" s="18"/>
      <c r="NC72" s="18"/>
      <c r="ND72" s="18"/>
      <c r="NE72" s="18"/>
      <c r="NF72" s="18"/>
      <c r="NG72" s="18"/>
      <c r="NH72" s="18"/>
      <c r="NI72" s="18"/>
      <c r="NJ72" s="18"/>
      <c r="NK72" s="18"/>
      <c r="NL72" s="18"/>
      <c r="NM72" s="18"/>
      <c r="NN72" s="18"/>
      <c r="NO72" s="18"/>
      <c r="NP72" s="18"/>
      <c r="NQ72" s="18"/>
      <c r="NR72" s="18"/>
      <c r="NS72" s="18"/>
      <c r="NT72" s="18"/>
      <c r="NU72" s="18"/>
      <c r="NV72" s="18"/>
      <c r="NW72" s="18"/>
      <c r="NX72" s="18"/>
      <c r="NY72" s="18"/>
      <c r="NZ72" s="18"/>
      <c r="OA72" s="18"/>
      <c r="OB72" s="18"/>
      <c r="OC72" s="18"/>
      <c r="OD72" s="18"/>
      <c r="OE72" s="18"/>
      <c r="OF72" s="18"/>
      <c r="OG72" s="18"/>
      <c r="OH72" s="18"/>
      <c r="OI72" s="18"/>
      <c r="OJ72" s="18"/>
      <c r="OK72" s="18"/>
      <c r="OL72" s="18"/>
      <c r="OM72" s="18"/>
      <c r="ON72" s="18"/>
      <c r="OO72" s="18"/>
      <c r="OP72" s="18"/>
      <c r="OQ72" s="18"/>
      <c r="OR72" s="18"/>
      <c r="OS72" s="18"/>
      <c r="OT72" s="18"/>
      <c r="OU72" s="18"/>
      <c r="OV72" s="18"/>
      <c r="OW72" s="18"/>
      <c r="OX72" s="18"/>
      <c r="OY72" s="18"/>
      <c r="OZ72" s="18"/>
      <c r="PA72" s="18"/>
      <c r="PB72" s="18"/>
      <c r="PC72" s="18"/>
      <c r="PD72" s="18"/>
      <c r="PE72" s="18"/>
      <c r="PF72" s="18"/>
      <c r="PG72" s="18"/>
      <c r="PH72" s="18"/>
      <c r="PI72" s="18"/>
      <c r="PJ72" s="18"/>
      <c r="PK72" s="18"/>
      <c r="PL72" s="18"/>
      <c r="PM72" s="18"/>
      <c r="PN72" s="18"/>
      <c r="PO72" s="18"/>
      <c r="PP72" s="18"/>
      <c r="PQ72" s="18"/>
      <c r="PR72" s="18"/>
      <c r="PS72" s="18"/>
      <c r="PT72" s="18"/>
      <c r="PU72" s="18"/>
      <c r="PV72" s="18"/>
      <c r="PW72" s="18"/>
      <c r="PX72" s="18"/>
      <c r="PY72" s="18"/>
      <c r="PZ72" s="18"/>
      <c r="QA72" s="18"/>
      <c r="QB72" s="18"/>
      <c r="QC72" s="18"/>
      <c r="QD72" s="18"/>
      <c r="QE72" s="18"/>
      <c r="QF72" s="18"/>
      <c r="QG72" s="18"/>
      <c r="QH72" s="18"/>
      <c r="QI72" s="18"/>
      <c r="QJ72" s="18"/>
      <c r="QK72" s="18"/>
      <c r="QL72" s="18"/>
      <c r="QM72" s="18"/>
      <c r="QN72" s="18"/>
      <c r="QO72" s="18"/>
      <c r="QP72" s="18"/>
      <c r="QQ72" s="18"/>
      <c r="QR72" s="18"/>
      <c r="QS72" s="18"/>
      <c r="QT72" s="18"/>
      <c r="QU72" s="18"/>
      <c r="QV72" s="18"/>
      <c r="QW72" s="18"/>
      <c r="QX72" s="18"/>
      <c r="QY72" s="18"/>
      <c r="QZ72" s="18"/>
      <c r="RA72" s="18"/>
      <c r="RB72" s="18"/>
      <c r="RC72" s="18"/>
      <c r="RD72" s="18"/>
      <c r="RE72" s="18"/>
      <c r="RF72" s="18"/>
      <c r="RG72" s="18"/>
      <c r="RH72" s="18"/>
      <c r="RI72" s="18"/>
      <c r="RJ72" s="18"/>
      <c r="RK72" s="18"/>
      <c r="RL72" s="18"/>
      <c r="RM72" s="18"/>
      <c r="RN72" s="18"/>
      <c r="RO72" s="18"/>
      <c r="RP72" s="18"/>
      <c r="RQ72" s="18"/>
      <c r="RR72" s="18"/>
      <c r="RS72" s="18"/>
      <c r="RT72" s="18"/>
      <c r="RU72" s="18"/>
      <c r="RV72" s="18"/>
      <c r="RW72" s="18"/>
      <c r="RX72" s="18"/>
      <c r="RY72" s="18"/>
      <c r="RZ72" s="18"/>
      <c r="SA72" s="18"/>
      <c r="SB72" s="18"/>
      <c r="SC72" s="18"/>
      <c r="SD72" s="18"/>
      <c r="SE72" s="18"/>
      <c r="SF72" s="18"/>
      <c r="SG72" s="18"/>
      <c r="SH72" s="18"/>
      <c r="SI72" s="18"/>
      <c r="SJ72" s="18"/>
      <c r="SK72" s="18"/>
      <c r="SL72" s="18"/>
      <c r="SM72" s="18"/>
      <c r="SN72" s="18"/>
      <c r="SO72" s="18"/>
      <c r="SP72" s="18"/>
      <c r="SQ72" s="18"/>
      <c r="SR72" s="18"/>
      <c r="SS72" s="18"/>
      <c r="ST72" s="18"/>
      <c r="SU72" s="18"/>
      <c r="SV72" s="18"/>
      <c r="SW72" s="18"/>
      <c r="SX72" s="18"/>
      <c r="SY72" s="18"/>
      <c r="SZ72" s="18"/>
      <c r="TA72" s="18"/>
      <c r="TB72" s="18"/>
      <c r="TC72" s="18"/>
      <c r="TD72" s="18"/>
      <c r="TE72" s="18"/>
      <c r="TF72" s="18"/>
      <c r="TG72" s="18"/>
      <c r="TH72" s="18"/>
      <c r="TI72" s="18"/>
      <c r="TJ72" s="18"/>
      <c r="TK72" s="18"/>
      <c r="TL72" s="18"/>
      <c r="TM72" s="18"/>
      <c r="TN72" s="18"/>
      <c r="TO72" s="18"/>
      <c r="TP72" s="18"/>
      <c r="TQ72" s="18"/>
      <c r="TR72" s="18"/>
      <c r="TS72" s="18"/>
      <c r="TT72" s="18"/>
      <c r="TU72" s="18"/>
      <c r="TV72" s="18"/>
      <c r="TW72" s="18"/>
      <c r="TX72" s="18"/>
      <c r="TY72" s="18"/>
      <c r="TZ72" s="18"/>
      <c r="UA72" s="18"/>
      <c r="UB72" s="18"/>
      <c r="UC72" s="18"/>
      <c r="UD72" s="18"/>
      <c r="UE72" s="18"/>
      <c r="UF72" s="18"/>
      <c r="UG72" s="18"/>
      <c r="UH72" s="18"/>
      <c r="UI72" s="18"/>
      <c r="UJ72" s="18"/>
      <c r="UK72" s="18"/>
      <c r="UL72" s="18"/>
      <c r="UM72" s="18"/>
      <c r="UN72" s="18"/>
      <c r="UO72" s="18"/>
      <c r="UP72" s="18"/>
      <c r="UQ72" s="18"/>
      <c r="UR72" s="18"/>
      <c r="US72" s="18"/>
      <c r="UT72" s="18"/>
      <c r="UU72" s="18"/>
      <c r="UV72" s="18"/>
      <c r="UW72" s="18"/>
      <c r="UX72" s="18"/>
      <c r="UY72" s="18"/>
      <c r="UZ72" s="18"/>
      <c r="VA72" s="18"/>
      <c r="VB72" s="18"/>
      <c r="VC72" s="18"/>
      <c r="VD72" s="18"/>
      <c r="VE72" s="18"/>
      <c r="VF72" s="18"/>
      <c r="VG72" s="18"/>
      <c r="VH72" s="18"/>
      <c r="VI72" s="18"/>
      <c r="VJ72" s="18"/>
      <c r="VK72" s="18"/>
      <c r="VL72" s="18"/>
      <c r="VM72" s="18"/>
      <c r="VN72" s="18"/>
      <c r="VO72" s="18"/>
      <c r="VP72" s="18"/>
      <c r="VQ72" s="18"/>
      <c r="VR72" s="18"/>
      <c r="VS72" s="18"/>
      <c r="VT72" s="18"/>
      <c r="VU72" s="18"/>
      <c r="VV72" s="18"/>
      <c r="VW72" s="18"/>
      <c r="VX72" s="18"/>
      <c r="VY72" s="18"/>
      <c r="VZ72" s="18"/>
      <c r="WA72" s="18"/>
      <c r="WB72" s="18"/>
      <c r="WC72" s="18"/>
      <c r="WD72" s="18"/>
      <c r="WE72" s="18"/>
      <c r="WF72" s="18"/>
      <c r="WG72" s="18"/>
      <c r="WH72" s="18"/>
      <c r="WI72" s="18"/>
      <c r="WJ72" s="18"/>
      <c r="WK72" s="18"/>
      <c r="WL72" s="18"/>
      <c r="WM72" s="18"/>
      <c r="WN72" s="18"/>
      <c r="WO72" s="18"/>
      <c r="WP72" s="18"/>
      <c r="WQ72" s="18"/>
      <c r="WR72" s="18"/>
      <c r="WS72" s="18"/>
      <c r="WT72" s="18"/>
      <c r="WU72" s="18"/>
      <c r="WV72" s="18"/>
      <c r="WW72" s="18"/>
      <c r="WX72" s="18"/>
      <c r="WY72" s="18"/>
      <c r="WZ72" s="18"/>
      <c r="XA72" s="18"/>
      <c r="XB72" s="18"/>
      <c r="XC72" s="18"/>
      <c r="XD72" s="18"/>
      <c r="XE72" s="18"/>
      <c r="XF72" s="18"/>
      <c r="XG72" s="18"/>
      <c r="XH72" s="18"/>
      <c r="XI72" s="18"/>
      <c r="XJ72" s="18"/>
      <c r="XK72" s="18"/>
      <c r="XL72" s="18"/>
      <c r="XM72" s="18"/>
      <c r="XN72" s="18"/>
      <c r="XO72" s="18"/>
      <c r="XP72" s="18"/>
      <c r="XQ72" s="18"/>
      <c r="XR72" s="18"/>
      <c r="XS72" s="18"/>
      <c r="XT72" s="18"/>
      <c r="XU72" s="18"/>
      <c r="XV72" s="18"/>
      <c r="XW72" s="18"/>
      <c r="XX72" s="18"/>
      <c r="XY72" s="18"/>
      <c r="XZ72" s="18"/>
      <c r="YA72" s="18"/>
      <c r="YB72" s="18"/>
      <c r="YC72" s="18"/>
      <c r="YD72" s="18"/>
      <c r="YE72" s="18"/>
      <c r="YF72" s="18"/>
      <c r="YG72" s="18"/>
      <c r="YH72" s="18"/>
      <c r="YI72" s="18"/>
      <c r="YJ72" s="18"/>
      <c r="YK72" s="18"/>
      <c r="YL72" s="18"/>
      <c r="YM72" s="18"/>
      <c r="YN72" s="18"/>
      <c r="YO72" s="18"/>
      <c r="YP72" s="18"/>
      <c r="YQ72" s="18"/>
      <c r="YR72" s="18"/>
      <c r="YS72" s="18"/>
      <c r="YT72" s="18"/>
      <c r="YU72" s="18"/>
      <c r="YV72" s="18"/>
      <c r="YW72" s="18"/>
      <c r="YX72" s="18"/>
      <c r="YY72" s="18"/>
      <c r="YZ72" s="18"/>
      <c r="ZA72" s="18"/>
      <c r="ZB72" s="18"/>
      <c r="ZC72" s="18"/>
      <c r="ZD72" s="18"/>
      <c r="ZE72" s="18"/>
      <c r="ZF72" s="18"/>
      <c r="ZG72" s="18"/>
      <c r="ZH72" s="18"/>
      <c r="ZI72" s="18"/>
      <c r="ZJ72" s="18"/>
      <c r="ZK72" s="18"/>
      <c r="ZL72" s="18"/>
      <c r="ZM72" s="18"/>
      <c r="ZN72" s="18"/>
      <c r="ZO72" s="18"/>
      <c r="ZP72" s="18"/>
      <c r="ZQ72" s="18"/>
      <c r="ZR72" s="18"/>
      <c r="ZS72" s="18"/>
      <c r="ZT72" s="18"/>
      <c r="ZU72" s="18"/>
      <c r="ZV72" s="18"/>
      <c r="ZW72" s="18"/>
      <c r="ZX72" s="18"/>
      <c r="ZY72" s="18"/>
      <c r="ZZ72" s="18"/>
      <c r="AAA72" s="18"/>
      <c r="AAB72" s="18"/>
      <c r="AAC72" s="18"/>
      <c r="AAD72" s="18"/>
      <c r="AAE72" s="18"/>
      <c r="AAF72" s="18"/>
      <c r="AAG72" s="18"/>
      <c r="AAH72" s="18"/>
      <c r="AAI72" s="18"/>
      <c r="AAJ72" s="18"/>
      <c r="AAK72" s="18"/>
      <c r="AAL72" s="18"/>
      <c r="AAM72" s="18"/>
      <c r="AAN72" s="18"/>
      <c r="AAO72" s="18"/>
      <c r="AAP72" s="18"/>
      <c r="AAQ72" s="18"/>
      <c r="AAR72" s="18"/>
      <c r="AAS72" s="18"/>
      <c r="AAT72" s="18"/>
      <c r="AAU72" s="18"/>
      <c r="AAV72" s="18"/>
      <c r="AAW72" s="18"/>
      <c r="AAX72" s="18"/>
      <c r="AAY72" s="18"/>
      <c r="AAZ72" s="18"/>
      <c r="ABA72" s="18"/>
      <c r="ABB72" s="18"/>
      <c r="ABC72" s="18"/>
      <c r="ABD72" s="18"/>
      <c r="ABE72" s="18"/>
      <c r="ABF72" s="18"/>
      <c r="ABG72" s="18"/>
      <c r="ABH72" s="18"/>
      <c r="ABI72" s="18"/>
      <c r="ABJ72" s="18"/>
      <c r="ABK72" s="18"/>
      <c r="ABL72" s="18"/>
      <c r="ABM72" s="18"/>
      <c r="ABN72" s="18"/>
      <c r="ABO72" s="18"/>
      <c r="ABP72" s="18"/>
      <c r="ABQ72" s="18"/>
      <c r="ABR72" s="18"/>
      <c r="ABS72" s="18"/>
      <c r="ABT72" s="18"/>
      <c r="ABU72" s="18"/>
      <c r="ABV72" s="18"/>
      <c r="ABW72" s="18"/>
      <c r="ABX72" s="18"/>
      <c r="ABY72" s="18"/>
      <c r="ABZ72" s="18"/>
      <c r="ACA72" s="18"/>
      <c r="ACB72" s="18"/>
      <c r="ACC72" s="18"/>
      <c r="ACD72" s="18"/>
      <c r="ACE72" s="18"/>
      <c r="ACF72" s="18"/>
      <c r="ACG72" s="18"/>
      <c r="ACH72" s="18"/>
      <c r="ACI72" s="18"/>
      <c r="ACJ72" s="18"/>
      <c r="ACK72" s="18"/>
      <c r="ACL72" s="18"/>
      <c r="ACM72" s="18"/>
      <c r="ACN72" s="18"/>
      <c r="ACO72" s="18"/>
      <c r="ACP72" s="18"/>
      <c r="ACQ72" s="18"/>
      <c r="ACR72" s="18"/>
      <c r="ACS72" s="18"/>
      <c r="ACT72" s="18"/>
      <c r="ACU72" s="18"/>
      <c r="ACV72" s="18"/>
      <c r="ACW72" s="18"/>
      <c r="ACX72" s="18"/>
      <c r="ACY72" s="18"/>
      <c r="ACZ72" s="18"/>
      <c r="ADA72" s="18"/>
      <c r="ADB72" s="18"/>
      <c r="ADC72" s="18"/>
      <c r="ADD72" s="18"/>
      <c r="ADE72" s="18"/>
      <c r="ADF72" s="18"/>
      <c r="ADG72" s="18"/>
      <c r="ADH72" s="18"/>
      <c r="ADI72" s="18"/>
      <c r="ADJ72" s="18"/>
      <c r="ADK72" s="18"/>
      <c r="ADL72" s="18"/>
      <c r="ADM72" s="18"/>
      <c r="ADN72" s="18"/>
      <c r="ADO72" s="18"/>
      <c r="ADP72" s="18"/>
      <c r="ADQ72" s="18"/>
      <c r="ADR72" s="18"/>
      <c r="ADS72" s="18"/>
      <c r="ADT72" s="18"/>
      <c r="ADU72" s="18"/>
      <c r="ADV72" s="18"/>
      <c r="ADW72" s="18"/>
      <c r="ADX72" s="18"/>
      <c r="ADY72" s="18"/>
      <c r="ADZ72" s="18"/>
      <c r="AEA72" s="18"/>
      <c r="AEB72" s="18"/>
      <c r="AEC72" s="18"/>
      <c r="AED72" s="18"/>
      <c r="AEE72" s="18"/>
      <c r="AEF72" s="18"/>
      <c r="AEG72" s="18"/>
      <c r="AEH72" s="18"/>
      <c r="AEI72" s="18"/>
      <c r="AEJ72" s="18"/>
      <c r="AEK72" s="18"/>
      <c r="AEL72" s="18"/>
      <c r="AEM72" s="18"/>
      <c r="AEN72" s="18"/>
      <c r="AEO72" s="18"/>
      <c r="AEP72" s="18"/>
      <c r="AEQ72" s="18"/>
      <c r="AER72" s="18"/>
      <c r="AES72" s="18"/>
      <c r="AET72" s="18"/>
      <c r="AEU72" s="18"/>
      <c r="AEV72" s="18"/>
      <c r="AEW72" s="18"/>
      <c r="AEX72" s="18"/>
      <c r="AEY72" s="18"/>
      <c r="AEZ72" s="18"/>
      <c r="AFA72" s="18"/>
      <c r="AFB72" s="18"/>
      <c r="AFC72" s="18"/>
      <c r="AFD72" s="18"/>
      <c r="AFE72" s="18"/>
      <c r="AFF72" s="18"/>
      <c r="AFG72" s="18"/>
      <c r="AFH72" s="18"/>
      <c r="AFI72" s="18"/>
      <c r="AFJ72" s="18"/>
      <c r="AFK72" s="18"/>
      <c r="AFL72" s="18"/>
      <c r="AFM72" s="18"/>
      <c r="AFN72" s="18"/>
      <c r="AFO72" s="18"/>
      <c r="AFP72" s="18"/>
      <c r="AFQ72" s="18"/>
      <c r="AFR72" s="18"/>
      <c r="AFS72" s="18"/>
      <c r="AFT72" s="18"/>
      <c r="AFU72" s="18"/>
      <c r="AFV72" s="18"/>
      <c r="AFW72" s="18"/>
      <c r="AFX72" s="18"/>
      <c r="AFY72" s="18"/>
      <c r="AFZ72" s="18"/>
      <c r="AGA72" s="18"/>
      <c r="AGB72" s="18"/>
      <c r="AGC72" s="18"/>
      <c r="AGD72" s="18"/>
      <c r="AGE72" s="18"/>
      <c r="AGF72" s="18"/>
      <c r="AGG72" s="18"/>
      <c r="AGH72" s="18"/>
      <c r="AGI72" s="18"/>
      <c r="AGJ72" s="18"/>
      <c r="AGK72" s="18"/>
      <c r="AGL72" s="18"/>
      <c r="AGM72" s="18"/>
      <c r="AGN72" s="18"/>
      <c r="AGO72" s="18"/>
      <c r="AGP72" s="18"/>
      <c r="AGQ72" s="18"/>
      <c r="AGR72" s="18"/>
      <c r="AGS72" s="18"/>
      <c r="AGT72" s="18"/>
      <c r="AGU72" s="18"/>
      <c r="AGV72" s="18"/>
      <c r="AGW72" s="18"/>
      <c r="AGX72" s="18"/>
      <c r="AGY72" s="18"/>
      <c r="AGZ72" s="18"/>
      <c r="AHA72" s="18"/>
      <c r="AHB72" s="18"/>
      <c r="AHC72" s="18"/>
      <c r="AHD72" s="18"/>
      <c r="AHE72" s="18"/>
      <c r="AHF72" s="18"/>
      <c r="AHG72" s="18"/>
      <c r="AHH72" s="18"/>
      <c r="AHI72" s="18"/>
      <c r="AHJ72" s="18"/>
      <c r="AHK72" s="18"/>
      <c r="AHL72" s="18"/>
      <c r="AHM72" s="18"/>
      <c r="AHN72" s="18"/>
      <c r="AHO72" s="18"/>
      <c r="AHP72" s="18"/>
      <c r="AHQ72" s="18"/>
      <c r="AHR72" s="18"/>
      <c r="AHS72" s="18"/>
      <c r="AHT72" s="18"/>
      <c r="AHU72" s="18"/>
      <c r="AHV72" s="18"/>
      <c r="AHW72" s="18"/>
      <c r="AHX72" s="18"/>
      <c r="AHY72" s="18"/>
      <c r="AHZ72" s="18"/>
      <c r="AIA72" s="18"/>
      <c r="AIB72" s="18"/>
      <c r="AIC72" s="18"/>
      <c r="AID72" s="18"/>
      <c r="AIE72" s="18"/>
      <c r="AIF72" s="18"/>
      <c r="AIG72" s="18"/>
      <c r="AIH72" s="18"/>
      <c r="AII72" s="18"/>
      <c r="AIJ72" s="18"/>
      <c r="AIK72" s="18"/>
      <c r="AIL72" s="18"/>
      <c r="AIM72" s="18"/>
      <c r="AIN72" s="18"/>
      <c r="AIO72" s="18"/>
      <c r="AIP72" s="18"/>
      <c r="AIQ72" s="18"/>
      <c r="AIR72" s="18"/>
      <c r="AIS72" s="18"/>
      <c r="AIT72" s="18"/>
      <c r="AIU72" s="18"/>
      <c r="AIV72" s="18"/>
      <c r="AIW72" s="18"/>
      <c r="AIX72" s="18"/>
      <c r="AIY72" s="18"/>
      <c r="AIZ72" s="18"/>
      <c r="AJA72" s="18"/>
      <c r="AJB72" s="18"/>
      <c r="AJC72" s="18"/>
      <c r="AJD72" s="18"/>
      <c r="AJE72" s="18"/>
      <c r="AJF72" s="18"/>
      <c r="AJG72" s="18"/>
      <c r="AJH72" s="18"/>
      <c r="AJI72" s="18"/>
      <c r="AJJ72" s="18"/>
      <c r="AJK72" s="18"/>
      <c r="AJL72" s="18"/>
      <c r="AJM72" s="18"/>
      <c r="AJN72" s="18"/>
      <c r="AJO72" s="18"/>
      <c r="AJP72" s="18"/>
      <c r="AJQ72" s="18"/>
      <c r="AJR72" s="18"/>
      <c r="AJS72" s="18"/>
      <c r="AJT72" s="18"/>
      <c r="AJU72" s="18"/>
      <c r="AJV72" s="18"/>
      <c r="AJW72" s="18"/>
      <c r="AJX72" s="18"/>
      <c r="AJY72" s="18"/>
      <c r="AJZ72" s="18"/>
      <c r="AKA72" s="18"/>
      <c r="AKB72" s="18"/>
      <c r="AKC72" s="18"/>
      <c r="AKD72" s="18"/>
      <c r="AKE72" s="18"/>
      <c r="AKF72" s="18"/>
      <c r="AKG72" s="18"/>
      <c r="AKH72" s="18"/>
      <c r="AKI72" s="18"/>
      <c r="AKJ72" s="18"/>
      <c r="AKK72" s="18"/>
      <c r="AKL72" s="18"/>
      <c r="AKM72" s="18"/>
      <c r="AKN72" s="18"/>
      <c r="AKO72" s="18"/>
      <c r="AKP72" s="18"/>
      <c r="AKQ72" s="18"/>
      <c r="AKR72" s="18"/>
      <c r="AKS72" s="18"/>
      <c r="AKT72" s="18"/>
      <c r="AKU72" s="18"/>
      <c r="AKV72" s="18"/>
      <c r="AKW72" s="18"/>
      <c r="AKX72" s="18"/>
      <c r="AKY72" s="18"/>
      <c r="AKZ72" s="18"/>
      <c r="ALA72" s="18"/>
      <c r="ALB72" s="18"/>
      <c r="ALC72" s="18"/>
      <c r="ALD72" s="18"/>
      <c r="ALE72" s="18"/>
      <c r="ALF72" s="18"/>
      <c r="ALG72" s="18"/>
      <c r="ALH72" s="18"/>
      <c r="ALI72" s="18"/>
      <c r="ALJ72" s="18"/>
      <c r="ALK72" s="18"/>
      <c r="ALL72" s="18"/>
      <c r="ALM72" s="18"/>
      <c r="ALN72" s="18"/>
      <c r="ALO72" s="18"/>
      <c r="ALP72" s="18"/>
      <c r="ALQ72" s="18"/>
      <c r="ALR72" s="18"/>
      <c r="ALS72" s="18"/>
      <c r="ALT72" s="18"/>
      <c r="ALU72" s="18"/>
      <c r="ALV72" s="18"/>
      <c r="ALW72" s="18"/>
      <c r="ALX72" s="18"/>
      <c r="ALY72" s="18"/>
      <c r="ALZ72" s="18"/>
      <c r="AMA72" s="18"/>
      <c r="AMB72" s="18"/>
      <c r="AMC72" s="18"/>
      <c r="AMD72" s="18"/>
      <c r="AME72" s="18"/>
      <c r="AMF72" s="18"/>
      <c r="AMG72" s="18"/>
      <c r="AMH72" s="18"/>
    </row>
    <row r="73" spans="1:1022" s="23" customFormat="1" x14ac:dyDescent="0.3">
      <c r="A73" s="33">
        <v>169</v>
      </c>
      <c r="B73" s="19"/>
      <c r="C73" s="19"/>
      <c r="D73" s="57" t="s">
        <v>343</v>
      </c>
      <c r="E73" s="34" t="s">
        <v>493</v>
      </c>
      <c r="F73" s="19"/>
      <c r="G73" s="19"/>
      <c r="H73" s="38" t="s">
        <v>281</v>
      </c>
      <c r="I73" s="31"/>
      <c r="J73" s="31"/>
      <c r="K73" s="31"/>
      <c r="L73" s="31"/>
      <c r="M73" s="32"/>
      <c r="N73" s="32"/>
      <c r="O73" s="18"/>
      <c r="P73" s="36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18"/>
      <c r="BK73" s="18"/>
      <c r="BL73" s="18"/>
      <c r="BM73" s="18"/>
      <c r="BN73" s="18"/>
      <c r="BO73" s="18"/>
      <c r="BP73" s="18"/>
      <c r="BQ73" s="18"/>
      <c r="BR73" s="18"/>
      <c r="BS73" s="18"/>
      <c r="BT73" s="18"/>
      <c r="BU73" s="18"/>
      <c r="BV73" s="18"/>
      <c r="BW73" s="18"/>
      <c r="BX73" s="18"/>
      <c r="BY73" s="18"/>
      <c r="BZ73" s="18"/>
      <c r="CA73" s="18"/>
      <c r="CB73" s="18"/>
      <c r="CC73" s="18"/>
      <c r="CD73" s="18"/>
      <c r="CE73" s="18"/>
      <c r="CF73" s="18"/>
      <c r="CG73" s="18"/>
      <c r="CH73" s="18"/>
      <c r="CI73" s="18"/>
      <c r="CJ73" s="18"/>
      <c r="CK73" s="18"/>
      <c r="CL73" s="18"/>
      <c r="CM73" s="18"/>
      <c r="CN73" s="18"/>
      <c r="CO73" s="18"/>
      <c r="CP73" s="18"/>
      <c r="CQ73" s="18"/>
      <c r="CR73" s="18"/>
      <c r="CS73" s="18"/>
      <c r="CT73" s="18"/>
      <c r="CU73" s="18"/>
      <c r="CV73" s="18"/>
      <c r="CW73" s="18"/>
      <c r="CX73" s="18"/>
      <c r="CY73" s="18"/>
      <c r="CZ73" s="18"/>
      <c r="DA73" s="18"/>
      <c r="DB73" s="18"/>
      <c r="DC73" s="18"/>
      <c r="DD73" s="18"/>
      <c r="DE73" s="18"/>
      <c r="DF73" s="18"/>
      <c r="DG73" s="18"/>
      <c r="DH73" s="18"/>
      <c r="DI73" s="18"/>
      <c r="DJ73" s="18"/>
      <c r="DK73" s="18"/>
      <c r="DL73" s="18"/>
      <c r="DM73" s="18"/>
      <c r="DN73" s="18"/>
      <c r="DO73" s="18"/>
      <c r="DP73" s="18"/>
      <c r="DQ73" s="18"/>
      <c r="DR73" s="18"/>
      <c r="DS73" s="18"/>
      <c r="DT73" s="18"/>
      <c r="DU73" s="18"/>
      <c r="DV73" s="18"/>
      <c r="DW73" s="18"/>
      <c r="DX73" s="18"/>
      <c r="DY73" s="18"/>
      <c r="DZ73" s="18"/>
      <c r="EA73" s="18"/>
      <c r="EB73" s="18"/>
      <c r="EC73" s="18"/>
      <c r="ED73" s="18"/>
      <c r="EE73" s="18"/>
      <c r="EF73" s="18"/>
      <c r="EG73" s="18"/>
      <c r="EH73" s="18"/>
      <c r="EI73" s="18"/>
      <c r="EJ73" s="18"/>
      <c r="EK73" s="18"/>
      <c r="EL73" s="18"/>
      <c r="EM73" s="18"/>
      <c r="EN73" s="18"/>
      <c r="EO73" s="18"/>
      <c r="EP73" s="18"/>
      <c r="EQ73" s="18"/>
      <c r="ER73" s="18"/>
      <c r="ES73" s="18"/>
      <c r="ET73" s="18"/>
      <c r="EU73" s="18"/>
      <c r="EV73" s="18"/>
      <c r="EW73" s="18"/>
      <c r="EX73" s="18"/>
      <c r="EY73" s="18"/>
      <c r="EZ73" s="18"/>
      <c r="FA73" s="18"/>
      <c r="FB73" s="18"/>
      <c r="FC73" s="18"/>
      <c r="FD73" s="18"/>
      <c r="FE73" s="18"/>
      <c r="FF73" s="18"/>
      <c r="FG73" s="18"/>
      <c r="FH73" s="18"/>
      <c r="FI73" s="18"/>
      <c r="FJ73" s="18"/>
      <c r="FK73" s="18"/>
      <c r="FL73" s="18"/>
      <c r="FM73" s="18"/>
      <c r="FN73" s="18"/>
      <c r="FO73" s="18"/>
      <c r="FP73" s="18"/>
      <c r="FQ73" s="18"/>
      <c r="FR73" s="18"/>
      <c r="FS73" s="18"/>
      <c r="FT73" s="18"/>
      <c r="FU73" s="18"/>
      <c r="FV73" s="18"/>
      <c r="FW73" s="18"/>
      <c r="FX73" s="18"/>
      <c r="FY73" s="18"/>
      <c r="FZ73" s="18"/>
      <c r="GA73" s="18"/>
      <c r="GB73" s="18"/>
      <c r="GC73" s="18"/>
      <c r="GD73" s="18"/>
      <c r="GE73" s="18"/>
      <c r="GF73" s="18"/>
      <c r="GG73" s="18"/>
      <c r="GH73" s="18"/>
      <c r="GI73" s="18"/>
      <c r="GJ73" s="18"/>
      <c r="GK73" s="18"/>
      <c r="GL73" s="18"/>
      <c r="GM73" s="18"/>
      <c r="GN73" s="18"/>
      <c r="GO73" s="18"/>
      <c r="GP73" s="18"/>
      <c r="GQ73" s="18"/>
      <c r="GR73" s="18"/>
      <c r="GS73" s="18"/>
      <c r="GT73" s="18"/>
      <c r="GU73" s="18"/>
      <c r="GV73" s="18"/>
      <c r="GW73" s="18"/>
      <c r="GX73" s="18"/>
      <c r="GY73" s="18"/>
      <c r="GZ73" s="18"/>
      <c r="HA73" s="18"/>
      <c r="HB73" s="18"/>
      <c r="HC73" s="18"/>
      <c r="HD73" s="18"/>
      <c r="HE73" s="18"/>
      <c r="HF73" s="18"/>
      <c r="HG73" s="18"/>
      <c r="HH73" s="18"/>
      <c r="HI73" s="18"/>
      <c r="HJ73" s="18"/>
      <c r="HK73" s="18"/>
      <c r="HL73" s="18"/>
      <c r="HM73" s="18"/>
      <c r="HN73" s="18"/>
      <c r="HO73" s="18"/>
      <c r="HP73" s="18"/>
      <c r="HQ73" s="18"/>
      <c r="HR73" s="18"/>
      <c r="HS73" s="18"/>
      <c r="HT73" s="18"/>
      <c r="HU73" s="18"/>
      <c r="HV73" s="18"/>
      <c r="HW73" s="18"/>
      <c r="HX73" s="18"/>
      <c r="HY73" s="18"/>
      <c r="HZ73" s="18"/>
      <c r="IA73" s="18"/>
      <c r="IB73" s="18"/>
      <c r="IC73" s="18"/>
      <c r="ID73" s="18"/>
      <c r="IE73" s="18"/>
      <c r="IF73" s="18"/>
      <c r="IG73" s="18"/>
      <c r="IH73" s="18"/>
      <c r="II73" s="18"/>
      <c r="IJ73" s="18"/>
      <c r="IK73" s="18"/>
      <c r="IL73" s="18"/>
      <c r="IM73" s="18"/>
      <c r="IN73" s="18"/>
      <c r="IO73" s="18"/>
      <c r="IP73" s="18"/>
      <c r="IQ73" s="18"/>
      <c r="IR73" s="18"/>
      <c r="IS73" s="18"/>
      <c r="IT73" s="18"/>
      <c r="IU73" s="18"/>
      <c r="IV73" s="18"/>
      <c r="IW73" s="18"/>
      <c r="IX73" s="18"/>
      <c r="IY73" s="18"/>
      <c r="IZ73" s="18"/>
      <c r="JA73" s="18"/>
      <c r="JB73" s="18"/>
      <c r="JC73" s="18"/>
      <c r="JD73" s="18"/>
      <c r="JE73" s="18"/>
      <c r="JF73" s="18"/>
      <c r="JG73" s="18"/>
      <c r="JH73" s="18"/>
      <c r="JI73" s="18"/>
      <c r="JJ73" s="18"/>
      <c r="JK73" s="18"/>
      <c r="JL73" s="18"/>
      <c r="JM73" s="18"/>
      <c r="JN73" s="18"/>
      <c r="JO73" s="18"/>
      <c r="JP73" s="18"/>
      <c r="JQ73" s="18"/>
      <c r="JR73" s="18"/>
      <c r="JS73" s="18"/>
      <c r="JT73" s="18"/>
      <c r="JU73" s="18"/>
      <c r="JV73" s="18"/>
      <c r="JW73" s="18"/>
      <c r="JX73" s="18"/>
      <c r="JY73" s="18"/>
      <c r="JZ73" s="18"/>
      <c r="KA73" s="18"/>
      <c r="KB73" s="18"/>
      <c r="KC73" s="18"/>
      <c r="KD73" s="18"/>
      <c r="KE73" s="18"/>
      <c r="KF73" s="18"/>
      <c r="KG73" s="18"/>
      <c r="KH73" s="18"/>
      <c r="KI73" s="18"/>
      <c r="KJ73" s="18"/>
      <c r="KK73" s="18"/>
      <c r="KL73" s="18"/>
      <c r="KM73" s="18"/>
      <c r="KN73" s="18"/>
      <c r="KO73" s="18"/>
      <c r="KP73" s="18"/>
      <c r="KQ73" s="18"/>
      <c r="KR73" s="18"/>
      <c r="KS73" s="18"/>
      <c r="KT73" s="18"/>
      <c r="KU73" s="18"/>
      <c r="KV73" s="18"/>
      <c r="KW73" s="18"/>
      <c r="KX73" s="18"/>
      <c r="KY73" s="18"/>
      <c r="KZ73" s="18"/>
      <c r="LA73" s="18"/>
      <c r="LB73" s="18"/>
      <c r="LC73" s="18"/>
      <c r="LD73" s="18"/>
      <c r="LE73" s="18"/>
      <c r="LF73" s="18"/>
      <c r="LG73" s="18"/>
      <c r="LH73" s="18"/>
      <c r="LI73" s="18"/>
      <c r="LJ73" s="18"/>
      <c r="LK73" s="18"/>
      <c r="LL73" s="18"/>
      <c r="LM73" s="18"/>
      <c r="LN73" s="18"/>
      <c r="LO73" s="18"/>
      <c r="LP73" s="18"/>
      <c r="LQ73" s="18"/>
      <c r="LR73" s="18"/>
      <c r="LS73" s="18"/>
      <c r="LT73" s="18"/>
      <c r="LU73" s="18"/>
      <c r="LV73" s="18"/>
      <c r="LW73" s="18"/>
      <c r="LX73" s="18"/>
      <c r="LY73" s="18"/>
      <c r="LZ73" s="18"/>
      <c r="MA73" s="18"/>
      <c r="MB73" s="18"/>
      <c r="MC73" s="18"/>
      <c r="MD73" s="18"/>
      <c r="ME73" s="18"/>
      <c r="MF73" s="18"/>
      <c r="MG73" s="18"/>
      <c r="MH73" s="18"/>
      <c r="MI73" s="18"/>
      <c r="MJ73" s="18"/>
      <c r="MK73" s="18"/>
      <c r="ML73" s="18"/>
      <c r="MM73" s="18"/>
      <c r="MN73" s="18"/>
      <c r="MO73" s="18"/>
      <c r="MP73" s="18"/>
      <c r="MQ73" s="18"/>
      <c r="MR73" s="18"/>
      <c r="MS73" s="18"/>
      <c r="MT73" s="18"/>
      <c r="MU73" s="18"/>
      <c r="MV73" s="18"/>
      <c r="MW73" s="18"/>
      <c r="MX73" s="18"/>
      <c r="MY73" s="18"/>
      <c r="MZ73" s="18"/>
      <c r="NA73" s="18"/>
      <c r="NB73" s="18"/>
      <c r="NC73" s="18"/>
      <c r="ND73" s="18"/>
      <c r="NE73" s="18"/>
      <c r="NF73" s="18"/>
      <c r="NG73" s="18"/>
      <c r="NH73" s="18"/>
      <c r="NI73" s="18"/>
      <c r="NJ73" s="18"/>
      <c r="NK73" s="18"/>
      <c r="NL73" s="18"/>
      <c r="NM73" s="18"/>
      <c r="NN73" s="18"/>
      <c r="NO73" s="18"/>
      <c r="NP73" s="18"/>
      <c r="NQ73" s="18"/>
      <c r="NR73" s="18"/>
      <c r="NS73" s="18"/>
      <c r="NT73" s="18"/>
      <c r="NU73" s="18"/>
      <c r="NV73" s="18"/>
      <c r="NW73" s="18"/>
      <c r="NX73" s="18"/>
      <c r="NY73" s="18"/>
      <c r="NZ73" s="18"/>
      <c r="OA73" s="18"/>
      <c r="OB73" s="18"/>
      <c r="OC73" s="18"/>
      <c r="OD73" s="18"/>
      <c r="OE73" s="18"/>
      <c r="OF73" s="18"/>
      <c r="OG73" s="18"/>
      <c r="OH73" s="18"/>
      <c r="OI73" s="18"/>
      <c r="OJ73" s="18"/>
      <c r="OK73" s="18"/>
      <c r="OL73" s="18"/>
      <c r="OM73" s="18"/>
      <c r="ON73" s="18"/>
      <c r="OO73" s="18"/>
      <c r="OP73" s="18"/>
      <c r="OQ73" s="18"/>
      <c r="OR73" s="18"/>
      <c r="OS73" s="18"/>
      <c r="OT73" s="18"/>
      <c r="OU73" s="18"/>
      <c r="OV73" s="18"/>
      <c r="OW73" s="18"/>
      <c r="OX73" s="18"/>
      <c r="OY73" s="18"/>
      <c r="OZ73" s="18"/>
      <c r="PA73" s="18"/>
      <c r="PB73" s="18"/>
      <c r="PC73" s="18"/>
      <c r="PD73" s="18"/>
      <c r="PE73" s="18"/>
      <c r="PF73" s="18"/>
      <c r="PG73" s="18"/>
      <c r="PH73" s="18"/>
      <c r="PI73" s="18"/>
      <c r="PJ73" s="18"/>
      <c r="PK73" s="18"/>
      <c r="PL73" s="18"/>
      <c r="PM73" s="18"/>
      <c r="PN73" s="18"/>
      <c r="PO73" s="18"/>
      <c r="PP73" s="18"/>
      <c r="PQ73" s="18"/>
      <c r="PR73" s="18"/>
      <c r="PS73" s="18"/>
      <c r="PT73" s="18"/>
      <c r="PU73" s="18"/>
      <c r="PV73" s="18"/>
      <c r="PW73" s="18"/>
      <c r="PX73" s="18"/>
      <c r="PY73" s="18"/>
      <c r="PZ73" s="18"/>
      <c r="QA73" s="18"/>
      <c r="QB73" s="18"/>
      <c r="QC73" s="18"/>
      <c r="QD73" s="18"/>
      <c r="QE73" s="18"/>
      <c r="QF73" s="18"/>
      <c r="QG73" s="18"/>
      <c r="QH73" s="18"/>
      <c r="QI73" s="18"/>
      <c r="QJ73" s="18"/>
      <c r="QK73" s="18"/>
      <c r="QL73" s="18"/>
      <c r="QM73" s="18"/>
      <c r="QN73" s="18"/>
      <c r="QO73" s="18"/>
      <c r="QP73" s="18"/>
      <c r="QQ73" s="18"/>
      <c r="QR73" s="18"/>
      <c r="QS73" s="18"/>
      <c r="QT73" s="18"/>
      <c r="QU73" s="18"/>
      <c r="QV73" s="18"/>
      <c r="QW73" s="18"/>
      <c r="QX73" s="18"/>
      <c r="QY73" s="18"/>
      <c r="QZ73" s="18"/>
      <c r="RA73" s="18"/>
      <c r="RB73" s="18"/>
      <c r="RC73" s="18"/>
      <c r="RD73" s="18"/>
      <c r="RE73" s="18"/>
      <c r="RF73" s="18"/>
      <c r="RG73" s="18"/>
      <c r="RH73" s="18"/>
      <c r="RI73" s="18"/>
      <c r="RJ73" s="18"/>
      <c r="RK73" s="18"/>
      <c r="RL73" s="18"/>
      <c r="RM73" s="18"/>
      <c r="RN73" s="18"/>
      <c r="RO73" s="18"/>
      <c r="RP73" s="18"/>
      <c r="RQ73" s="18"/>
      <c r="RR73" s="18"/>
      <c r="RS73" s="18"/>
      <c r="RT73" s="18"/>
      <c r="RU73" s="18"/>
      <c r="RV73" s="18"/>
      <c r="RW73" s="18"/>
      <c r="RX73" s="18"/>
      <c r="RY73" s="18"/>
      <c r="RZ73" s="18"/>
      <c r="SA73" s="18"/>
      <c r="SB73" s="18"/>
      <c r="SC73" s="18"/>
      <c r="SD73" s="18"/>
      <c r="SE73" s="18"/>
      <c r="SF73" s="18"/>
      <c r="SG73" s="18"/>
      <c r="SH73" s="18"/>
      <c r="SI73" s="18"/>
      <c r="SJ73" s="18"/>
      <c r="SK73" s="18"/>
      <c r="SL73" s="18"/>
      <c r="SM73" s="18"/>
      <c r="SN73" s="18"/>
      <c r="SO73" s="18"/>
      <c r="SP73" s="18"/>
      <c r="SQ73" s="18"/>
      <c r="SR73" s="18"/>
      <c r="SS73" s="18"/>
      <c r="ST73" s="18"/>
      <c r="SU73" s="18"/>
      <c r="SV73" s="18"/>
      <c r="SW73" s="18"/>
      <c r="SX73" s="18"/>
      <c r="SY73" s="18"/>
      <c r="SZ73" s="18"/>
      <c r="TA73" s="18"/>
      <c r="TB73" s="18"/>
      <c r="TC73" s="18"/>
      <c r="TD73" s="18"/>
      <c r="TE73" s="18"/>
      <c r="TF73" s="18"/>
      <c r="TG73" s="18"/>
      <c r="TH73" s="18"/>
      <c r="TI73" s="18"/>
      <c r="TJ73" s="18"/>
      <c r="TK73" s="18"/>
      <c r="TL73" s="18"/>
      <c r="TM73" s="18"/>
      <c r="TN73" s="18"/>
      <c r="TO73" s="18"/>
      <c r="TP73" s="18"/>
      <c r="TQ73" s="18"/>
      <c r="TR73" s="18"/>
      <c r="TS73" s="18"/>
      <c r="TT73" s="18"/>
      <c r="TU73" s="18"/>
      <c r="TV73" s="18"/>
      <c r="TW73" s="18"/>
      <c r="TX73" s="18"/>
      <c r="TY73" s="18"/>
      <c r="TZ73" s="18"/>
      <c r="UA73" s="18"/>
      <c r="UB73" s="18"/>
      <c r="UC73" s="18"/>
      <c r="UD73" s="18"/>
      <c r="UE73" s="18"/>
      <c r="UF73" s="18"/>
      <c r="UG73" s="18"/>
      <c r="UH73" s="18"/>
      <c r="UI73" s="18"/>
      <c r="UJ73" s="18"/>
      <c r="UK73" s="18"/>
      <c r="UL73" s="18"/>
      <c r="UM73" s="18"/>
      <c r="UN73" s="18"/>
      <c r="UO73" s="18"/>
      <c r="UP73" s="18"/>
      <c r="UQ73" s="18"/>
      <c r="UR73" s="18"/>
      <c r="US73" s="18"/>
      <c r="UT73" s="18"/>
      <c r="UU73" s="18"/>
      <c r="UV73" s="18"/>
      <c r="UW73" s="18"/>
      <c r="UX73" s="18"/>
      <c r="UY73" s="18"/>
      <c r="UZ73" s="18"/>
      <c r="VA73" s="18"/>
      <c r="VB73" s="18"/>
      <c r="VC73" s="18"/>
      <c r="VD73" s="18"/>
      <c r="VE73" s="18"/>
      <c r="VF73" s="18"/>
      <c r="VG73" s="18"/>
      <c r="VH73" s="18"/>
      <c r="VI73" s="18"/>
      <c r="VJ73" s="18"/>
      <c r="VK73" s="18"/>
      <c r="VL73" s="18"/>
      <c r="VM73" s="18"/>
      <c r="VN73" s="18"/>
      <c r="VO73" s="18"/>
      <c r="VP73" s="18"/>
      <c r="VQ73" s="18"/>
      <c r="VR73" s="18"/>
      <c r="VS73" s="18"/>
      <c r="VT73" s="18"/>
      <c r="VU73" s="18"/>
      <c r="VV73" s="18"/>
      <c r="VW73" s="18"/>
      <c r="VX73" s="18"/>
      <c r="VY73" s="18"/>
      <c r="VZ73" s="18"/>
      <c r="WA73" s="18"/>
      <c r="WB73" s="18"/>
      <c r="WC73" s="18"/>
      <c r="WD73" s="18"/>
      <c r="WE73" s="18"/>
      <c r="WF73" s="18"/>
      <c r="WG73" s="18"/>
      <c r="WH73" s="18"/>
      <c r="WI73" s="18"/>
      <c r="WJ73" s="18"/>
      <c r="WK73" s="18"/>
      <c r="WL73" s="18"/>
      <c r="WM73" s="18"/>
      <c r="WN73" s="18"/>
      <c r="WO73" s="18"/>
      <c r="WP73" s="18"/>
      <c r="WQ73" s="18"/>
      <c r="WR73" s="18"/>
      <c r="WS73" s="18"/>
      <c r="WT73" s="18"/>
      <c r="WU73" s="18"/>
      <c r="WV73" s="18"/>
      <c r="WW73" s="18"/>
      <c r="WX73" s="18"/>
      <c r="WY73" s="18"/>
      <c r="WZ73" s="18"/>
      <c r="XA73" s="18"/>
      <c r="XB73" s="18"/>
      <c r="XC73" s="18"/>
      <c r="XD73" s="18"/>
      <c r="XE73" s="18"/>
      <c r="XF73" s="18"/>
      <c r="XG73" s="18"/>
      <c r="XH73" s="18"/>
      <c r="XI73" s="18"/>
      <c r="XJ73" s="18"/>
      <c r="XK73" s="18"/>
      <c r="XL73" s="18"/>
      <c r="XM73" s="18"/>
      <c r="XN73" s="18"/>
      <c r="XO73" s="18"/>
      <c r="XP73" s="18"/>
      <c r="XQ73" s="18"/>
      <c r="XR73" s="18"/>
      <c r="XS73" s="18"/>
      <c r="XT73" s="18"/>
      <c r="XU73" s="18"/>
      <c r="XV73" s="18"/>
      <c r="XW73" s="18"/>
      <c r="XX73" s="18"/>
      <c r="XY73" s="18"/>
      <c r="XZ73" s="18"/>
      <c r="YA73" s="18"/>
      <c r="YB73" s="18"/>
      <c r="YC73" s="18"/>
      <c r="YD73" s="18"/>
      <c r="YE73" s="18"/>
      <c r="YF73" s="18"/>
      <c r="YG73" s="18"/>
      <c r="YH73" s="18"/>
      <c r="YI73" s="18"/>
      <c r="YJ73" s="18"/>
      <c r="YK73" s="18"/>
      <c r="YL73" s="18"/>
      <c r="YM73" s="18"/>
      <c r="YN73" s="18"/>
      <c r="YO73" s="18"/>
      <c r="YP73" s="18"/>
      <c r="YQ73" s="18"/>
      <c r="YR73" s="18"/>
      <c r="YS73" s="18"/>
      <c r="YT73" s="18"/>
      <c r="YU73" s="18"/>
      <c r="YV73" s="18"/>
      <c r="YW73" s="18"/>
      <c r="YX73" s="18"/>
      <c r="YY73" s="18"/>
      <c r="YZ73" s="18"/>
      <c r="ZA73" s="18"/>
      <c r="ZB73" s="18"/>
      <c r="ZC73" s="18"/>
      <c r="ZD73" s="18"/>
      <c r="ZE73" s="18"/>
      <c r="ZF73" s="18"/>
      <c r="ZG73" s="18"/>
      <c r="ZH73" s="18"/>
      <c r="ZI73" s="18"/>
      <c r="ZJ73" s="18"/>
      <c r="ZK73" s="18"/>
      <c r="ZL73" s="18"/>
      <c r="ZM73" s="18"/>
      <c r="ZN73" s="18"/>
      <c r="ZO73" s="18"/>
      <c r="ZP73" s="18"/>
      <c r="ZQ73" s="18"/>
      <c r="ZR73" s="18"/>
      <c r="ZS73" s="18"/>
      <c r="ZT73" s="18"/>
      <c r="ZU73" s="18"/>
      <c r="ZV73" s="18"/>
      <c r="ZW73" s="18"/>
      <c r="ZX73" s="18"/>
      <c r="ZY73" s="18"/>
      <c r="ZZ73" s="18"/>
      <c r="AAA73" s="18"/>
      <c r="AAB73" s="18"/>
      <c r="AAC73" s="18"/>
      <c r="AAD73" s="18"/>
      <c r="AAE73" s="18"/>
      <c r="AAF73" s="18"/>
      <c r="AAG73" s="18"/>
      <c r="AAH73" s="18"/>
      <c r="AAI73" s="18"/>
      <c r="AAJ73" s="18"/>
      <c r="AAK73" s="18"/>
      <c r="AAL73" s="18"/>
      <c r="AAM73" s="18"/>
      <c r="AAN73" s="18"/>
      <c r="AAO73" s="18"/>
      <c r="AAP73" s="18"/>
      <c r="AAQ73" s="18"/>
      <c r="AAR73" s="18"/>
      <c r="AAS73" s="18"/>
      <c r="AAT73" s="18"/>
      <c r="AAU73" s="18"/>
      <c r="AAV73" s="18"/>
      <c r="AAW73" s="18"/>
      <c r="AAX73" s="18"/>
      <c r="AAY73" s="18"/>
      <c r="AAZ73" s="18"/>
      <c r="ABA73" s="18"/>
      <c r="ABB73" s="18"/>
      <c r="ABC73" s="18"/>
      <c r="ABD73" s="18"/>
      <c r="ABE73" s="18"/>
      <c r="ABF73" s="18"/>
      <c r="ABG73" s="18"/>
      <c r="ABH73" s="18"/>
      <c r="ABI73" s="18"/>
      <c r="ABJ73" s="18"/>
      <c r="ABK73" s="18"/>
      <c r="ABL73" s="18"/>
      <c r="ABM73" s="18"/>
      <c r="ABN73" s="18"/>
      <c r="ABO73" s="18"/>
      <c r="ABP73" s="18"/>
      <c r="ABQ73" s="18"/>
      <c r="ABR73" s="18"/>
      <c r="ABS73" s="18"/>
      <c r="ABT73" s="18"/>
      <c r="ABU73" s="18"/>
      <c r="ABV73" s="18"/>
      <c r="ABW73" s="18"/>
      <c r="ABX73" s="18"/>
      <c r="ABY73" s="18"/>
      <c r="ABZ73" s="18"/>
      <c r="ACA73" s="18"/>
      <c r="ACB73" s="18"/>
      <c r="ACC73" s="18"/>
      <c r="ACD73" s="18"/>
      <c r="ACE73" s="18"/>
      <c r="ACF73" s="18"/>
      <c r="ACG73" s="18"/>
      <c r="ACH73" s="18"/>
      <c r="ACI73" s="18"/>
      <c r="ACJ73" s="18"/>
      <c r="ACK73" s="18"/>
      <c r="ACL73" s="18"/>
      <c r="ACM73" s="18"/>
      <c r="ACN73" s="18"/>
      <c r="ACO73" s="18"/>
      <c r="ACP73" s="18"/>
      <c r="ACQ73" s="18"/>
      <c r="ACR73" s="18"/>
      <c r="ACS73" s="18"/>
      <c r="ACT73" s="18"/>
      <c r="ACU73" s="18"/>
      <c r="ACV73" s="18"/>
      <c r="ACW73" s="18"/>
      <c r="ACX73" s="18"/>
      <c r="ACY73" s="18"/>
      <c r="ACZ73" s="18"/>
      <c r="ADA73" s="18"/>
      <c r="ADB73" s="18"/>
      <c r="ADC73" s="18"/>
      <c r="ADD73" s="18"/>
      <c r="ADE73" s="18"/>
      <c r="ADF73" s="18"/>
      <c r="ADG73" s="18"/>
      <c r="ADH73" s="18"/>
      <c r="ADI73" s="18"/>
      <c r="ADJ73" s="18"/>
      <c r="ADK73" s="18"/>
      <c r="ADL73" s="18"/>
      <c r="ADM73" s="18"/>
      <c r="ADN73" s="18"/>
      <c r="ADO73" s="18"/>
      <c r="ADP73" s="18"/>
      <c r="ADQ73" s="18"/>
      <c r="ADR73" s="18"/>
      <c r="ADS73" s="18"/>
      <c r="ADT73" s="18"/>
      <c r="ADU73" s="18"/>
      <c r="ADV73" s="18"/>
      <c r="ADW73" s="18"/>
      <c r="ADX73" s="18"/>
      <c r="ADY73" s="18"/>
      <c r="ADZ73" s="18"/>
      <c r="AEA73" s="18"/>
      <c r="AEB73" s="18"/>
      <c r="AEC73" s="18"/>
      <c r="AED73" s="18"/>
      <c r="AEE73" s="18"/>
      <c r="AEF73" s="18"/>
      <c r="AEG73" s="18"/>
      <c r="AEH73" s="18"/>
      <c r="AEI73" s="18"/>
      <c r="AEJ73" s="18"/>
      <c r="AEK73" s="18"/>
      <c r="AEL73" s="18"/>
      <c r="AEM73" s="18"/>
      <c r="AEN73" s="18"/>
      <c r="AEO73" s="18"/>
      <c r="AEP73" s="18"/>
      <c r="AEQ73" s="18"/>
      <c r="AER73" s="18"/>
      <c r="AES73" s="18"/>
      <c r="AET73" s="18"/>
      <c r="AEU73" s="18"/>
      <c r="AEV73" s="18"/>
      <c r="AEW73" s="18"/>
      <c r="AEX73" s="18"/>
      <c r="AEY73" s="18"/>
      <c r="AEZ73" s="18"/>
      <c r="AFA73" s="18"/>
      <c r="AFB73" s="18"/>
      <c r="AFC73" s="18"/>
      <c r="AFD73" s="18"/>
      <c r="AFE73" s="18"/>
      <c r="AFF73" s="18"/>
      <c r="AFG73" s="18"/>
      <c r="AFH73" s="18"/>
      <c r="AFI73" s="18"/>
      <c r="AFJ73" s="18"/>
      <c r="AFK73" s="18"/>
      <c r="AFL73" s="18"/>
      <c r="AFM73" s="18"/>
      <c r="AFN73" s="18"/>
      <c r="AFO73" s="18"/>
      <c r="AFP73" s="18"/>
      <c r="AFQ73" s="18"/>
      <c r="AFR73" s="18"/>
      <c r="AFS73" s="18"/>
      <c r="AFT73" s="18"/>
      <c r="AFU73" s="18"/>
      <c r="AFV73" s="18"/>
      <c r="AFW73" s="18"/>
      <c r="AFX73" s="18"/>
      <c r="AFY73" s="18"/>
      <c r="AFZ73" s="18"/>
      <c r="AGA73" s="18"/>
      <c r="AGB73" s="18"/>
      <c r="AGC73" s="18"/>
      <c r="AGD73" s="18"/>
      <c r="AGE73" s="18"/>
      <c r="AGF73" s="18"/>
      <c r="AGG73" s="18"/>
      <c r="AGH73" s="18"/>
      <c r="AGI73" s="18"/>
      <c r="AGJ73" s="18"/>
      <c r="AGK73" s="18"/>
      <c r="AGL73" s="18"/>
      <c r="AGM73" s="18"/>
      <c r="AGN73" s="18"/>
      <c r="AGO73" s="18"/>
      <c r="AGP73" s="18"/>
      <c r="AGQ73" s="18"/>
      <c r="AGR73" s="18"/>
      <c r="AGS73" s="18"/>
      <c r="AGT73" s="18"/>
      <c r="AGU73" s="18"/>
      <c r="AGV73" s="18"/>
      <c r="AGW73" s="18"/>
      <c r="AGX73" s="18"/>
      <c r="AGY73" s="18"/>
      <c r="AGZ73" s="18"/>
      <c r="AHA73" s="18"/>
      <c r="AHB73" s="18"/>
      <c r="AHC73" s="18"/>
      <c r="AHD73" s="18"/>
      <c r="AHE73" s="18"/>
      <c r="AHF73" s="18"/>
      <c r="AHG73" s="18"/>
      <c r="AHH73" s="18"/>
      <c r="AHI73" s="18"/>
      <c r="AHJ73" s="18"/>
      <c r="AHK73" s="18"/>
      <c r="AHL73" s="18"/>
      <c r="AHM73" s="18"/>
      <c r="AHN73" s="18"/>
      <c r="AHO73" s="18"/>
      <c r="AHP73" s="18"/>
      <c r="AHQ73" s="18"/>
      <c r="AHR73" s="18"/>
      <c r="AHS73" s="18"/>
      <c r="AHT73" s="18"/>
      <c r="AHU73" s="18"/>
      <c r="AHV73" s="18"/>
      <c r="AHW73" s="18"/>
      <c r="AHX73" s="18"/>
      <c r="AHY73" s="18"/>
      <c r="AHZ73" s="18"/>
      <c r="AIA73" s="18"/>
      <c r="AIB73" s="18"/>
      <c r="AIC73" s="18"/>
      <c r="AID73" s="18"/>
      <c r="AIE73" s="18"/>
      <c r="AIF73" s="18"/>
      <c r="AIG73" s="18"/>
      <c r="AIH73" s="18"/>
      <c r="AII73" s="18"/>
      <c r="AIJ73" s="18"/>
      <c r="AIK73" s="18"/>
      <c r="AIL73" s="18"/>
      <c r="AIM73" s="18"/>
      <c r="AIN73" s="18"/>
      <c r="AIO73" s="18"/>
      <c r="AIP73" s="18"/>
      <c r="AIQ73" s="18"/>
      <c r="AIR73" s="18"/>
      <c r="AIS73" s="18"/>
      <c r="AIT73" s="18"/>
      <c r="AIU73" s="18"/>
      <c r="AIV73" s="18"/>
      <c r="AIW73" s="18"/>
      <c r="AIX73" s="18"/>
      <c r="AIY73" s="18"/>
      <c r="AIZ73" s="18"/>
      <c r="AJA73" s="18"/>
      <c r="AJB73" s="18"/>
      <c r="AJC73" s="18"/>
      <c r="AJD73" s="18"/>
      <c r="AJE73" s="18"/>
      <c r="AJF73" s="18"/>
      <c r="AJG73" s="18"/>
      <c r="AJH73" s="18"/>
      <c r="AJI73" s="18"/>
      <c r="AJJ73" s="18"/>
      <c r="AJK73" s="18"/>
      <c r="AJL73" s="18"/>
      <c r="AJM73" s="18"/>
      <c r="AJN73" s="18"/>
      <c r="AJO73" s="18"/>
      <c r="AJP73" s="18"/>
      <c r="AJQ73" s="18"/>
      <c r="AJR73" s="18"/>
      <c r="AJS73" s="18"/>
      <c r="AJT73" s="18"/>
      <c r="AJU73" s="18"/>
      <c r="AJV73" s="18"/>
      <c r="AJW73" s="18"/>
      <c r="AJX73" s="18"/>
      <c r="AJY73" s="18"/>
      <c r="AJZ73" s="18"/>
      <c r="AKA73" s="18"/>
      <c r="AKB73" s="18"/>
      <c r="AKC73" s="18"/>
      <c r="AKD73" s="18"/>
      <c r="AKE73" s="18"/>
      <c r="AKF73" s="18"/>
      <c r="AKG73" s="18"/>
      <c r="AKH73" s="18"/>
      <c r="AKI73" s="18"/>
      <c r="AKJ73" s="18"/>
      <c r="AKK73" s="18"/>
      <c r="AKL73" s="18"/>
      <c r="AKM73" s="18"/>
      <c r="AKN73" s="18"/>
      <c r="AKO73" s="18"/>
      <c r="AKP73" s="18"/>
      <c r="AKQ73" s="18"/>
      <c r="AKR73" s="18"/>
      <c r="AKS73" s="18"/>
      <c r="AKT73" s="18"/>
      <c r="AKU73" s="18"/>
      <c r="AKV73" s="18"/>
      <c r="AKW73" s="18"/>
      <c r="AKX73" s="18"/>
      <c r="AKY73" s="18"/>
      <c r="AKZ73" s="18"/>
      <c r="ALA73" s="18"/>
      <c r="ALB73" s="18"/>
      <c r="ALC73" s="18"/>
      <c r="ALD73" s="18"/>
      <c r="ALE73" s="18"/>
      <c r="ALF73" s="18"/>
      <c r="ALG73" s="18"/>
      <c r="ALH73" s="18"/>
      <c r="ALI73" s="18"/>
      <c r="ALJ73" s="18"/>
      <c r="ALK73" s="18"/>
      <c r="ALL73" s="18"/>
      <c r="ALM73" s="18"/>
      <c r="ALN73" s="18"/>
      <c r="ALO73" s="18"/>
      <c r="ALP73" s="18"/>
      <c r="ALQ73" s="18"/>
      <c r="ALR73" s="18"/>
      <c r="ALS73" s="18"/>
      <c r="ALT73" s="18"/>
      <c r="ALU73" s="18"/>
      <c r="ALV73" s="18"/>
      <c r="ALW73" s="18"/>
      <c r="ALX73" s="18"/>
      <c r="ALY73" s="18"/>
      <c r="ALZ73" s="18"/>
      <c r="AMA73" s="18"/>
      <c r="AMB73" s="18"/>
      <c r="AMC73" s="18"/>
      <c r="AMD73" s="18"/>
      <c r="AME73" s="18"/>
      <c r="AMF73" s="18"/>
      <c r="AMG73" s="18"/>
      <c r="AMH73" s="18"/>
    </row>
    <row r="74" spans="1:1022" s="23" customFormat="1" x14ac:dyDescent="0.3">
      <c r="A74" s="33">
        <v>170</v>
      </c>
      <c r="B74" s="19"/>
      <c r="C74" s="19"/>
      <c r="D74" s="57" t="s">
        <v>344</v>
      </c>
      <c r="E74" s="34" t="s">
        <v>494</v>
      </c>
      <c r="F74" s="19"/>
      <c r="G74" s="19"/>
      <c r="H74" s="38" t="s">
        <v>281</v>
      </c>
      <c r="I74" s="31"/>
      <c r="J74" s="31"/>
      <c r="K74" s="31"/>
      <c r="L74" s="31"/>
      <c r="M74" s="32"/>
      <c r="N74" s="32"/>
      <c r="O74" s="18"/>
      <c r="P74" s="36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18"/>
      <c r="BK74" s="18"/>
      <c r="BL74" s="18"/>
      <c r="BM74" s="18"/>
      <c r="BN74" s="18"/>
      <c r="BO74" s="18"/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  <c r="CA74" s="18"/>
      <c r="CB74" s="18"/>
      <c r="CC74" s="18"/>
      <c r="CD74" s="18"/>
      <c r="CE74" s="18"/>
      <c r="CF74" s="18"/>
      <c r="CG74" s="18"/>
      <c r="CH74" s="18"/>
      <c r="CI74" s="18"/>
      <c r="CJ74" s="18"/>
      <c r="CK74" s="18"/>
      <c r="CL74" s="18"/>
      <c r="CM74" s="18"/>
      <c r="CN74" s="18"/>
      <c r="CO74" s="18"/>
      <c r="CP74" s="18"/>
      <c r="CQ74" s="18"/>
      <c r="CR74" s="18"/>
      <c r="CS74" s="18"/>
      <c r="CT74" s="18"/>
      <c r="CU74" s="18"/>
      <c r="CV74" s="18"/>
      <c r="CW74" s="18"/>
      <c r="CX74" s="18"/>
      <c r="CY74" s="18"/>
      <c r="CZ74" s="18"/>
      <c r="DA74" s="18"/>
      <c r="DB74" s="18"/>
      <c r="DC74" s="18"/>
      <c r="DD74" s="18"/>
      <c r="DE74" s="18"/>
      <c r="DF74" s="18"/>
      <c r="DG74" s="18"/>
      <c r="DH74" s="18"/>
      <c r="DI74" s="18"/>
      <c r="DJ74" s="18"/>
      <c r="DK74" s="18"/>
      <c r="DL74" s="18"/>
      <c r="DM74" s="18"/>
      <c r="DN74" s="18"/>
      <c r="DO74" s="18"/>
      <c r="DP74" s="18"/>
      <c r="DQ74" s="18"/>
      <c r="DR74" s="18"/>
      <c r="DS74" s="18"/>
      <c r="DT74" s="18"/>
      <c r="DU74" s="18"/>
      <c r="DV74" s="18"/>
      <c r="DW74" s="18"/>
      <c r="DX74" s="18"/>
      <c r="DY74" s="18"/>
      <c r="DZ74" s="18"/>
      <c r="EA74" s="18"/>
      <c r="EB74" s="18"/>
      <c r="EC74" s="18"/>
      <c r="ED74" s="18"/>
      <c r="EE74" s="18"/>
      <c r="EF74" s="18"/>
      <c r="EG74" s="18"/>
      <c r="EH74" s="18"/>
      <c r="EI74" s="18"/>
      <c r="EJ74" s="18"/>
      <c r="EK74" s="18"/>
      <c r="EL74" s="18"/>
      <c r="EM74" s="18"/>
      <c r="EN74" s="18"/>
      <c r="EO74" s="18"/>
      <c r="EP74" s="18"/>
      <c r="EQ74" s="18"/>
      <c r="ER74" s="18"/>
      <c r="ES74" s="18"/>
      <c r="ET74" s="18"/>
      <c r="EU74" s="18"/>
      <c r="EV74" s="18"/>
      <c r="EW74" s="18"/>
      <c r="EX74" s="18"/>
      <c r="EY74" s="18"/>
      <c r="EZ74" s="18"/>
      <c r="FA74" s="18"/>
      <c r="FB74" s="18"/>
      <c r="FC74" s="18"/>
      <c r="FD74" s="18"/>
      <c r="FE74" s="18"/>
      <c r="FF74" s="18"/>
      <c r="FG74" s="18"/>
      <c r="FH74" s="18"/>
      <c r="FI74" s="18"/>
      <c r="FJ74" s="18"/>
      <c r="FK74" s="18"/>
      <c r="FL74" s="18"/>
      <c r="FM74" s="18"/>
      <c r="FN74" s="18"/>
      <c r="FO74" s="18"/>
      <c r="FP74" s="18"/>
      <c r="FQ74" s="18"/>
      <c r="FR74" s="18"/>
      <c r="FS74" s="18"/>
      <c r="FT74" s="18"/>
      <c r="FU74" s="18"/>
      <c r="FV74" s="18"/>
      <c r="FW74" s="18"/>
      <c r="FX74" s="18"/>
      <c r="FY74" s="18"/>
      <c r="FZ74" s="18"/>
      <c r="GA74" s="18"/>
      <c r="GB74" s="18"/>
      <c r="GC74" s="18"/>
      <c r="GD74" s="18"/>
      <c r="GE74" s="18"/>
      <c r="GF74" s="18"/>
      <c r="GG74" s="18"/>
      <c r="GH74" s="18"/>
      <c r="GI74" s="18"/>
      <c r="GJ74" s="18"/>
      <c r="GK74" s="18"/>
      <c r="GL74" s="18"/>
      <c r="GM74" s="18"/>
      <c r="GN74" s="18"/>
      <c r="GO74" s="18"/>
      <c r="GP74" s="18"/>
      <c r="GQ74" s="18"/>
      <c r="GR74" s="18"/>
      <c r="GS74" s="18"/>
      <c r="GT74" s="18"/>
      <c r="GU74" s="18"/>
      <c r="GV74" s="18"/>
      <c r="GW74" s="18"/>
      <c r="GX74" s="18"/>
      <c r="GY74" s="18"/>
      <c r="GZ74" s="18"/>
      <c r="HA74" s="18"/>
      <c r="HB74" s="18"/>
      <c r="HC74" s="18"/>
      <c r="HD74" s="18"/>
      <c r="HE74" s="18"/>
      <c r="HF74" s="18"/>
      <c r="HG74" s="18"/>
      <c r="HH74" s="18"/>
      <c r="HI74" s="18"/>
      <c r="HJ74" s="18"/>
      <c r="HK74" s="18"/>
      <c r="HL74" s="18"/>
      <c r="HM74" s="18"/>
      <c r="HN74" s="18"/>
      <c r="HO74" s="18"/>
      <c r="HP74" s="18"/>
      <c r="HQ74" s="18"/>
      <c r="HR74" s="18"/>
      <c r="HS74" s="18"/>
      <c r="HT74" s="18"/>
      <c r="HU74" s="18"/>
      <c r="HV74" s="18"/>
      <c r="HW74" s="18"/>
      <c r="HX74" s="18"/>
      <c r="HY74" s="18"/>
      <c r="HZ74" s="18"/>
      <c r="IA74" s="18"/>
      <c r="IB74" s="18"/>
      <c r="IC74" s="18"/>
      <c r="ID74" s="18"/>
      <c r="IE74" s="18"/>
      <c r="IF74" s="18"/>
      <c r="IG74" s="18"/>
      <c r="IH74" s="18"/>
      <c r="II74" s="18"/>
      <c r="IJ74" s="18"/>
      <c r="IK74" s="18"/>
      <c r="IL74" s="18"/>
      <c r="IM74" s="18"/>
      <c r="IN74" s="18"/>
      <c r="IO74" s="18"/>
      <c r="IP74" s="18"/>
      <c r="IQ74" s="18"/>
      <c r="IR74" s="18"/>
      <c r="IS74" s="18"/>
      <c r="IT74" s="18"/>
      <c r="IU74" s="18"/>
      <c r="IV74" s="18"/>
      <c r="IW74" s="18"/>
      <c r="IX74" s="18"/>
      <c r="IY74" s="18"/>
      <c r="IZ74" s="18"/>
      <c r="JA74" s="18"/>
      <c r="JB74" s="18"/>
      <c r="JC74" s="18"/>
      <c r="JD74" s="18"/>
      <c r="JE74" s="18"/>
      <c r="JF74" s="18"/>
      <c r="JG74" s="18"/>
      <c r="JH74" s="18"/>
      <c r="JI74" s="18"/>
      <c r="JJ74" s="18"/>
      <c r="JK74" s="18"/>
      <c r="JL74" s="18"/>
      <c r="JM74" s="18"/>
      <c r="JN74" s="18"/>
      <c r="JO74" s="18"/>
      <c r="JP74" s="18"/>
      <c r="JQ74" s="18"/>
      <c r="JR74" s="18"/>
      <c r="JS74" s="18"/>
      <c r="JT74" s="18"/>
      <c r="JU74" s="18"/>
      <c r="JV74" s="18"/>
      <c r="JW74" s="18"/>
      <c r="JX74" s="18"/>
      <c r="JY74" s="18"/>
      <c r="JZ74" s="18"/>
      <c r="KA74" s="18"/>
      <c r="KB74" s="18"/>
      <c r="KC74" s="18"/>
      <c r="KD74" s="18"/>
      <c r="KE74" s="18"/>
      <c r="KF74" s="18"/>
      <c r="KG74" s="18"/>
      <c r="KH74" s="18"/>
      <c r="KI74" s="18"/>
      <c r="KJ74" s="18"/>
      <c r="KK74" s="18"/>
      <c r="KL74" s="18"/>
      <c r="KM74" s="18"/>
      <c r="KN74" s="18"/>
      <c r="KO74" s="18"/>
      <c r="KP74" s="18"/>
      <c r="KQ74" s="18"/>
      <c r="KR74" s="18"/>
      <c r="KS74" s="18"/>
      <c r="KT74" s="18"/>
      <c r="KU74" s="18"/>
      <c r="KV74" s="18"/>
      <c r="KW74" s="18"/>
      <c r="KX74" s="18"/>
      <c r="KY74" s="18"/>
      <c r="KZ74" s="18"/>
      <c r="LA74" s="18"/>
      <c r="LB74" s="18"/>
      <c r="LC74" s="18"/>
      <c r="LD74" s="18"/>
      <c r="LE74" s="18"/>
      <c r="LF74" s="18"/>
      <c r="LG74" s="18"/>
      <c r="LH74" s="18"/>
      <c r="LI74" s="18"/>
      <c r="LJ74" s="18"/>
      <c r="LK74" s="18"/>
      <c r="LL74" s="18"/>
      <c r="LM74" s="18"/>
      <c r="LN74" s="18"/>
      <c r="LO74" s="18"/>
      <c r="LP74" s="18"/>
      <c r="LQ74" s="18"/>
      <c r="LR74" s="18"/>
      <c r="LS74" s="18"/>
      <c r="LT74" s="18"/>
      <c r="LU74" s="18"/>
      <c r="LV74" s="18"/>
      <c r="LW74" s="18"/>
      <c r="LX74" s="18"/>
      <c r="LY74" s="18"/>
      <c r="LZ74" s="18"/>
      <c r="MA74" s="18"/>
      <c r="MB74" s="18"/>
      <c r="MC74" s="18"/>
      <c r="MD74" s="18"/>
      <c r="ME74" s="18"/>
      <c r="MF74" s="18"/>
      <c r="MG74" s="18"/>
      <c r="MH74" s="18"/>
      <c r="MI74" s="18"/>
      <c r="MJ74" s="18"/>
      <c r="MK74" s="18"/>
      <c r="ML74" s="18"/>
      <c r="MM74" s="18"/>
      <c r="MN74" s="18"/>
      <c r="MO74" s="18"/>
      <c r="MP74" s="18"/>
      <c r="MQ74" s="18"/>
      <c r="MR74" s="18"/>
      <c r="MS74" s="18"/>
      <c r="MT74" s="18"/>
      <c r="MU74" s="18"/>
      <c r="MV74" s="18"/>
      <c r="MW74" s="18"/>
      <c r="MX74" s="18"/>
      <c r="MY74" s="18"/>
      <c r="MZ74" s="18"/>
      <c r="NA74" s="18"/>
      <c r="NB74" s="18"/>
      <c r="NC74" s="18"/>
      <c r="ND74" s="18"/>
      <c r="NE74" s="18"/>
      <c r="NF74" s="18"/>
      <c r="NG74" s="18"/>
      <c r="NH74" s="18"/>
      <c r="NI74" s="18"/>
      <c r="NJ74" s="18"/>
      <c r="NK74" s="18"/>
      <c r="NL74" s="18"/>
      <c r="NM74" s="18"/>
      <c r="NN74" s="18"/>
      <c r="NO74" s="18"/>
      <c r="NP74" s="18"/>
      <c r="NQ74" s="18"/>
      <c r="NR74" s="18"/>
      <c r="NS74" s="18"/>
      <c r="NT74" s="18"/>
      <c r="NU74" s="18"/>
      <c r="NV74" s="18"/>
      <c r="NW74" s="18"/>
      <c r="NX74" s="18"/>
      <c r="NY74" s="18"/>
      <c r="NZ74" s="18"/>
      <c r="OA74" s="18"/>
      <c r="OB74" s="18"/>
      <c r="OC74" s="18"/>
      <c r="OD74" s="18"/>
      <c r="OE74" s="18"/>
      <c r="OF74" s="18"/>
      <c r="OG74" s="18"/>
      <c r="OH74" s="18"/>
      <c r="OI74" s="18"/>
      <c r="OJ74" s="18"/>
      <c r="OK74" s="18"/>
      <c r="OL74" s="18"/>
      <c r="OM74" s="18"/>
      <c r="ON74" s="18"/>
      <c r="OO74" s="18"/>
      <c r="OP74" s="18"/>
      <c r="OQ74" s="18"/>
      <c r="OR74" s="18"/>
      <c r="OS74" s="18"/>
      <c r="OT74" s="18"/>
      <c r="OU74" s="18"/>
      <c r="OV74" s="18"/>
      <c r="OW74" s="18"/>
      <c r="OX74" s="18"/>
      <c r="OY74" s="18"/>
      <c r="OZ74" s="18"/>
      <c r="PA74" s="18"/>
      <c r="PB74" s="18"/>
      <c r="PC74" s="18"/>
      <c r="PD74" s="18"/>
      <c r="PE74" s="18"/>
      <c r="PF74" s="18"/>
      <c r="PG74" s="18"/>
      <c r="PH74" s="18"/>
      <c r="PI74" s="18"/>
      <c r="PJ74" s="18"/>
      <c r="PK74" s="18"/>
      <c r="PL74" s="18"/>
      <c r="PM74" s="18"/>
      <c r="PN74" s="18"/>
      <c r="PO74" s="18"/>
      <c r="PP74" s="18"/>
      <c r="PQ74" s="18"/>
      <c r="PR74" s="18"/>
      <c r="PS74" s="18"/>
      <c r="PT74" s="18"/>
      <c r="PU74" s="18"/>
      <c r="PV74" s="18"/>
      <c r="PW74" s="18"/>
      <c r="PX74" s="18"/>
      <c r="PY74" s="18"/>
      <c r="PZ74" s="18"/>
      <c r="QA74" s="18"/>
      <c r="QB74" s="18"/>
      <c r="QC74" s="18"/>
      <c r="QD74" s="18"/>
      <c r="QE74" s="18"/>
      <c r="QF74" s="18"/>
      <c r="QG74" s="18"/>
      <c r="QH74" s="18"/>
      <c r="QI74" s="18"/>
      <c r="QJ74" s="18"/>
      <c r="QK74" s="18"/>
      <c r="QL74" s="18"/>
      <c r="QM74" s="18"/>
      <c r="QN74" s="18"/>
      <c r="QO74" s="18"/>
      <c r="QP74" s="18"/>
      <c r="QQ74" s="18"/>
      <c r="QR74" s="18"/>
      <c r="QS74" s="18"/>
      <c r="QT74" s="18"/>
      <c r="QU74" s="18"/>
      <c r="QV74" s="18"/>
      <c r="QW74" s="18"/>
      <c r="QX74" s="18"/>
      <c r="QY74" s="18"/>
      <c r="QZ74" s="18"/>
      <c r="RA74" s="18"/>
      <c r="RB74" s="18"/>
      <c r="RC74" s="18"/>
      <c r="RD74" s="18"/>
      <c r="RE74" s="18"/>
      <c r="RF74" s="18"/>
      <c r="RG74" s="18"/>
      <c r="RH74" s="18"/>
      <c r="RI74" s="18"/>
      <c r="RJ74" s="18"/>
      <c r="RK74" s="18"/>
      <c r="RL74" s="18"/>
      <c r="RM74" s="18"/>
      <c r="RN74" s="18"/>
      <c r="RO74" s="18"/>
      <c r="RP74" s="18"/>
      <c r="RQ74" s="18"/>
      <c r="RR74" s="18"/>
      <c r="RS74" s="18"/>
      <c r="RT74" s="18"/>
      <c r="RU74" s="18"/>
      <c r="RV74" s="18"/>
      <c r="RW74" s="18"/>
      <c r="RX74" s="18"/>
      <c r="RY74" s="18"/>
      <c r="RZ74" s="18"/>
      <c r="SA74" s="18"/>
      <c r="SB74" s="18"/>
      <c r="SC74" s="18"/>
      <c r="SD74" s="18"/>
      <c r="SE74" s="18"/>
      <c r="SF74" s="18"/>
      <c r="SG74" s="18"/>
      <c r="SH74" s="18"/>
      <c r="SI74" s="18"/>
      <c r="SJ74" s="18"/>
      <c r="SK74" s="18"/>
      <c r="SL74" s="18"/>
      <c r="SM74" s="18"/>
      <c r="SN74" s="18"/>
      <c r="SO74" s="18"/>
      <c r="SP74" s="18"/>
      <c r="SQ74" s="18"/>
      <c r="SR74" s="18"/>
      <c r="SS74" s="18"/>
      <c r="ST74" s="18"/>
      <c r="SU74" s="18"/>
      <c r="SV74" s="18"/>
      <c r="SW74" s="18"/>
      <c r="SX74" s="18"/>
      <c r="SY74" s="18"/>
      <c r="SZ74" s="18"/>
      <c r="TA74" s="18"/>
      <c r="TB74" s="18"/>
      <c r="TC74" s="18"/>
      <c r="TD74" s="18"/>
      <c r="TE74" s="18"/>
      <c r="TF74" s="18"/>
      <c r="TG74" s="18"/>
      <c r="TH74" s="18"/>
      <c r="TI74" s="18"/>
      <c r="TJ74" s="18"/>
      <c r="TK74" s="18"/>
      <c r="TL74" s="18"/>
      <c r="TM74" s="18"/>
      <c r="TN74" s="18"/>
      <c r="TO74" s="18"/>
      <c r="TP74" s="18"/>
      <c r="TQ74" s="18"/>
      <c r="TR74" s="18"/>
      <c r="TS74" s="18"/>
      <c r="TT74" s="18"/>
      <c r="TU74" s="18"/>
      <c r="TV74" s="18"/>
      <c r="TW74" s="18"/>
      <c r="TX74" s="18"/>
      <c r="TY74" s="18"/>
      <c r="TZ74" s="18"/>
      <c r="UA74" s="18"/>
      <c r="UB74" s="18"/>
      <c r="UC74" s="18"/>
      <c r="UD74" s="18"/>
      <c r="UE74" s="18"/>
      <c r="UF74" s="18"/>
      <c r="UG74" s="18"/>
      <c r="UH74" s="18"/>
      <c r="UI74" s="18"/>
      <c r="UJ74" s="18"/>
      <c r="UK74" s="18"/>
      <c r="UL74" s="18"/>
      <c r="UM74" s="18"/>
      <c r="UN74" s="18"/>
      <c r="UO74" s="18"/>
      <c r="UP74" s="18"/>
      <c r="UQ74" s="18"/>
      <c r="UR74" s="18"/>
      <c r="US74" s="18"/>
      <c r="UT74" s="18"/>
      <c r="UU74" s="18"/>
      <c r="UV74" s="18"/>
      <c r="UW74" s="18"/>
      <c r="UX74" s="18"/>
      <c r="UY74" s="18"/>
      <c r="UZ74" s="18"/>
      <c r="VA74" s="18"/>
      <c r="VB74" s="18"/>
      <c r="VC74" s="18"/>
      <c r="VD74" s="18"/>
      <c r="VE74" s="18"/>
      <c r="VF74" s="18"/>
      <c r="VG74" s="18"/>
      <c r="VH74" s="18"/>
      <c r="VI74" s="18"/>
      <c r="VJ74" s="18"/>
      <c r="VK74" s="18"/>
      <c r="VL74" s="18"/>
      <c r="VM74" s="18"/>
      <c r="VN74" s="18"/>
      <c r="VO74" s="18"/>
      <c r="VP74" s="18"/>
      <c r="VQ74" s="18"/>
      <c r="VR74" s="18"/>
      <c r="VS74" s="18"/>
      <c r="VT74" s="18"/>
      <c r="VU74" s="18"/>
      <c r="VV74" s="18"/>
      <c r="VW74" s="18"/>
      <c r="VX74" s="18"/>
      <c r="VY74" s="18"/>
      <c r="VZ74" s="18"/>
      <c r="WA74" s="18"/>
      <c r="WB74" s="18"/>
      <c r="WC74" s="18"/>
      <c r="WD74" s="18"/>
      <c r="WE74" s="18"/>
      <c r="WF74" s="18"/>
      <c r="WG74" s="18"/>
      <c r="WH74" s="18"/>
      <c r="WI74" s="18"/>
      <c r="WJ74" s="18"/>
      <c r="WK74" s="18"/>
      <c r="WL74" s="18"/>
      <c r="WM74" s="18"/>
      <c r="WN74" s="18"/>
      <c r="WO74" s="18"/>
      <c r="WP74" s="18"/>
      <c r="WQ74" s="18"/>
      <c r="WR74" s="18"/>
      <c r="WS74" s="18"/>
      <c r="WT74" s="18"/>
      <c r="WU74" s="18"/>
      <c r="WV74" s="18"/>
      <c r="WW74" s="18"/>
      <c r="WX74" s="18"/>
      <c r="WY74" s="18"/>
      <c r="WZ74" s="18"/>
      <c r="XA74" s="18"/>
      <c r="XB74" s="18"/>
      <c r="XC74" s="18"/>
      <c r="XD74" s="18"/>
      <c r="XE74" s="18"/>
      <c r="XF74" s="18"/>
      <c r="XG74" s="18"/>
      <c r="XH74" s="18"/>
      <c r="XI74" s="18"/>
      <c r="XJ74" s="18"/>
      <c r="XK74" s="18"/>
      <c r="XL74" s="18"/>
      <c r="XM74" s="18"/>
      <c r="XN74" s="18"/>
      <c r="XO74" s="18"/>
      <c r="XP74" s="18"/>
      <c r="XQ74" s="18"/>
      <c r="XR74" s="18"/>
      <c r="XS74" s="18"/>
      <c r="XT74" s="18"/>
      <c r="XU74" s="18"/>
      <c r="XV74" s="18"/>
      <c r="XW74" s="18"/>
      <c r="XX74" s="18"/>
      <c r="XY74" s="18"/>
      <c r="XZ74" s="18"/>
      <c r="YA74" s="18"/>
      <c r="YB74" s="18"/>
      <c r="YC74" s="18"/>
      <c r="YD74" s="18"/>
      <c r="YE74" s="18"/>
      <c r="YF74" s="18"/>
      <c r="YG74" s="18"/>
      <c r="YH74" s="18"/>
      <c r="YI74" s="18"/>
      <c r="YJ74" s="18"/>
      <c r="YK74" s="18"/>
      <c r="YL74" s="18"/>
      <c r="YM74" s="18"/>
      <c r="YN74" s="18"/>
      <c r="YO74" s="18"/>
      <c r="YP74" s="18"/>
      <c r="YQ74" s="18"/>
      <c r="YR74" s="18"/>
      <c r="YS74" s="18"/>
      <c r="YT74" s="18"/>
      <c r="YU74" s="18"/>
      <c r="YV74" s="18"/>
      <c r="YW74" s="18"/>
      <c r="YX74" s="18"/>
      <c r="YY74" s="18"/>
      <c r="YZ74" s="18"/>
      <c r="ZA74" s="18"/>
      <c r="ZB74" s="18"/>
      <c r="ZC74" s="18"/>
      <c r="ZD74" s="18"/>
      <c r="ZE74" s="18"/>
      <c r="ZF74" s="18"/>
      <c r="ZG74" s="18"/>
      <c r="ZH74" s="18"/>
      <c r="ZI74" s="18"/>
      <c r="ZJ74" s="18"/>
      <c r="ZK74" s="18"/>
      <c r="ZL74" s="18"/>
      <c r="ZM74" s="18"/>
      <c r="ZN74" s="18"/>
      <c r="ZO74" s="18"/>
      <c r="ZP74" s="18"/>
      <c r="ZQ74" s="18"/>
      <c r="ZR74" s="18"/>
      <c r="ZS74" s="18"/>
      <c r="ZT74" s="18"/>
      <c r="ZU74" s="18"/>
      <c r="ZV74" s="18"/>
      <c r="ZW74" s="18"/>
      <c r="ZX74" s="18"/>
      <c r="ZY74" s="18"/>
      <c r="ZZ74" s="18"/>
      <c r="AAA74" s="18"/>
      <c r="AAB74" s="18"/>
      <c r="AAC74" s="18"/>
      <c r="AAD74" s="18"/>
      <c r="AAE74" s="18"/>
      <c r="AAF74" s="18"/>
      <c r="AAG74" s="18"/>
      <c r="AAH74" s="18"/>
      <c r="AAI74" s="18"/>
      <c r="AAJ74" s="18"/>
      <c r="AAK74" s="18"/>
      <c r="AAL74" s="18"/>
      <c r="AAM74" s="18"/>
      <c r="AAN74" s="18"/>
      <c r="AAO74" s="18"/>
      <c r="AAP74" s="18"/>
      <c r="AAQ74" s="18"/>
      <c r="AAR74" s="18"/>
      <c r="AAS74" s="18"/>
      <c r="AAT74" s="18"/>
      <c r="AAU74" s="18"/>
      <c r="AAV74" s="18"/>
      <c r="AAW74" s="18"/>
      <c r="AAX74" s="18"/>
      <c r="AAY74" s="18"/>
      <c r="AAZ74" s="18"/>
      <c r="ABA74" s="18"/>
      <c r="ABB74" s="18"/>
      <c r="ABC74" s="18"/>
      <c r="ABD74" s="18"/>
      <c r="ABE74" s="18"/>
      <c r="ABF74" s="18"/>
      <c r="ABG74" s="18"/>
      <c r="ABH74" s="18"/>
      <c r="ABI74" s="18"/>
      <c r="ABJ74" s="18"/>
      <c r="ABK74" s="18"/>
      <c r="ABL74" s="18"/>
      <c r="ABM74" s="18"/>
      <c r="ABN74" s="18"/>
      <c r="ABO74" s="18"/>
      <c r="ABP74" s="18"/>
      <c r="ABQ74" s="18"/>
      <c r="ABR74" s="18"/>
      <c r="ABS74" s="18"/>
      <c r="ABT74" s="18"/>
      <c r="ABU74" s="18"/>
      <c r="ABV74" s="18"/>
      <c r="ABW74" s="18"/>
      <c r="ABX74" s="18"/>
      <c r="ABY74" s="18"/>
      <c r="ABZ74" s="18"/>
      <c r="ACA74" s="18"/>
      <c r="ACB74" s="18"/>
      <c r="ACC74" s="18"/>
      <c r="ACD74" s="18"/>
      <c r="ACE74" s="18"/>
      <c r="ACF74" s="18"/>
      <c r="ACG74" s="18"/>
      <c r="ACH74" s="18"/>
      <c r="ACI74" s="18"/>
      <c r="ACJ74" s="18"/>
      <c r="ACK74" s="18"/>
      <c r="ACL74" s="18"/>
      <c r="ACM74" s="18"/>
      <c r="ACN74" s="18"/>
      <c r="ACO74" s="18"/>
      <c r="ACP74" s="18"/>
      <c r="ACQ74" s="18"/>
      <c r="ACR74" s="18"/>
      <c r="ACS74" s="18"/>
      <c r="ACT74" s="18"/>
      <c r="ACU74" s="18"/>
      <c r="ACV74" s="18"/>
      <c r="ACW74" s="18"/>
      <c r="ACX74" s="18"/>
      <c r="ACY74" s="18"/>
      <c r="ACZ74" s="18"/>
      <c r="ADA74" s="18"/>
      <c r="ADB74" s="18"/>
      <c r="ADC74" s="18"/>
      <c r="ADD74" s="18"/>
      <c r="ADE74" s="18"/>
      <c r="ADF74" s="18"/>
      <c r="ADG74" s="18"/>
      <c r="ADH74" s="18"/>
      <c r="ADI74" s="18"/>
      <c r="ADJ74" s="18"/>
      <c r="ADK74" s="18"/>
      <c r="ADL74" s="18"/>
      <c r="ADM74" s="18"/>
      <c r="ADN74" s="18"/>
      <c r="ADO74" s="18"/>
      <c r="ADP74" s="18"/>
      <c r="ADQ74" s="18"/>
      <c r="ADR74" s="18"/>
      <c r="ADS74" s="18"/>
      <c r="ADT74" s="18"/>
      <c r="ADU74" s="18"/>
      <c r="ADV74" s="18"/>
      <c r="ADW74" s="18"/>
      <c r="ADX74" s="18"/>
      <c r="ADY74" s="18"/>
      <c r="ADZ74" s="18"/>
      <c r="AEA74" s="18"/>
      <c r="AEB74" s="18"/>
      <c r="AEC74" s="18"/>
      <c r="AED74" s="18"/>
      <c r="AEE74" s="18"/>
      <c r="AEF74" s="18"/>
      <c r="AEG74" s="18"/>
      <c r="AEH74" s="18"/>
      <c r="AEI74" s="18"/>
      <c r="AEJ74" s="18"/>
      <c r="AEK74" s="18"/>
      <c r="AEL74" s="18"/>
      <c r="AEM74" s="18"/>
      <c r="AEN74" s="18"/>
      <c r="AEO74" s="18"/>
      <c r="AEP74" s="18"/>
      <c r="AEQ74" s="18"/>
      <c r="AER74" s="18"/>
      <c r="AES74" s="18"/>
      <c r="AET74" s="18"/>
      <c r="AEU74" s="18"/>
      <c r="AEV74" s="18"/>
      <c r="AEW74" s="18"/>
      <c r="AEX74" s="18"/>
      <c r="AEY74" s="18"/>
      <c r="AEZ74" s="18"/>
      <c r="AFA74" s="18"/>
      <c r="AFB74" s="18"/>
      <c r="AFC74" s="18"/>
      <c r="AFD74" s="18"/>
      <c r="AFE74" s="18"/>
      <c r="AFF74" s="18"/>
      <c r="AFG74" s="18"/>
      <c r="AFH74" s="18"/>
      <c r="AFI74" s="18"/>
      <c r="AFJ74" s="18"/>
      <c r="AFK74" s="18"/>
      <c r="AFL74" s="18"/>
      <c r="AFM74" s="18"/>
      <c r="AFN74" s="18"/>
      <c r="AFO74" s="18"/>
      <c r="AFP74" s="18"/>
      <c r="AFQ74" s="18"/>
      <c r="AFR74" s="18"/>
      <c r="AFS74" s="18"/>
      <c r="AFT74" s="18"/>
      <c r="AFU74" s="18"/>
      <c r="AFV74" s="18"/>
      <c r="AFW74" s="18"/>
      <c r="AFX74" s="18"/>
      <c r="AFY74" s="18"/>
      <c r="AFZ74" s="18"/>
      <c r="AGA74" s="18"/>
      <c r="AGB74" s="18"/>
      <c r="AGC74" s="18"/>
      <c r="AGD74" s="18"/>
      <c r="AGE74" s="18"/>
      <c r="AGF74" s="18"/>
      <c r="AGG74" s="18"/>
      <c r="AGH74" s="18"/>
      <c r="AGI74" s="18"/>
      <c r="AGJ74" s="18"/>
      <c r="AGK74" s="18"/>
      <c r="AGL74" s="18"/>
      <c r="AGM74" s="18"/>
      <c r="AGN74" s="18"/>
      <c r="AGO74" s="18"/>
      <c r="AGP74" s="18"/>
      <c r="AGQ74" s="18"/>
      <c r="AGR74" s="18"/>
      <c r="AGS74" s="18"/>
      <c r="AGT74" s="18"/>
      <c r="AGU74" s="18"/>
      <c r="AGV74" s="18"/>
      <c r="AGW74" s="18"/>
      <c r="AGX74" s="18"/>
      <c r="AGY74" s="18"/>
      <c r="AGZ74" s="18"/>
      <c r="AHA74" s="18"/>
      <c r="AHB74" s="18"/>
      <c r="AHC74" s="18"/>
      <c r="AHD74" s="18"/>
      <c r="AHE74" s="18"/>
      <c r="AHF74" s="18"/>
      <c r="AHG74" s="18"/>
      <c r="AHH74" s="18"/>
      <c r="AHI74" s="18"/>
      <c r="AHJ74" s="18"/>
      <c r="AHK74" s="18"/>
      <c r="AHL74" s="18"/>
      <c r="AHM74" s="18"/>
      <c r="AHN74" s="18"/>
      <c r="AHO74" s="18"/>
      <c r="AHP74" s="18"/>
      <c r="AHQ74" s="18"/>
      <c r="AHR74" s="18"/>
      <c r="AHS74" s="18"/>
      <c r="AHT74" s="18"/>
      <c r="AHU74" s="18"/>
      <c r="AHV74" s="18"/>
      <c r="AHW74" s="18"/>
      <c r="AHX74" s="18"/>
      <c r="AHY74" s="18"/>
      <c r="AHZ74" s="18"/>
      <c r="AIA74" s="18"/>
      <c r="AIB74" s="18"/>
      <c r="AIC74" s="18"/>
      <c r="AID74" s="18"/>
      <c r="AIE74" s="18"/>
      <c r="AIF74" s="18"/>
      <c r="AIG74" s="18"/>
      <c r="AIH74" s="18"/>
      <c r="AII74" s="18"/>
      <c r="AIJ74" s="18"/>
      <c r="AIK74" s="18"/>
      <c r="AIL74" s="18"/>
      <c r="AIM74" s="18"/>
      <c r="AIN74" s="18"/>
      <c r="AIO74" s="18"/>
      <c r="AIP74" s="18"/>
      <c r="AIQ74" s="18"/>
      <c r="AIR74" s="18"/>
      <c r="AIS74" s="18"/>
      <c r="AIT74" s="18"/>
      <c r="AIU74" s="18"/>
      <c r="AIV74" s="18"/>
      <c r="AIW74" s="18"/>
      <c r="AIX74" s="18"/>
      <c r="AIY74" s="18"/>
      <c r="AIZ74" s="18"/>
      <c r="AJA74" s="18"/>
      <c r="AJB74" s="18"/>
      <c r="AJC74" s="18"/>
      <c r="AJD74" s="18"/>
      <c r="AJE74" s="18"/>
      <c r="AJF74" s="18"/>
      <c r="AJG74" s="18"/>
      <c r="AJH74" s="18"/>
      <c r="AJI74" s="18"/>
      <c r="AJJ74" s="18"/>
      <c r="AJK74" s="18"/>
      <c r="AJL74" s="18"/>
      <c r="AJM74" s="18"/>
      <c r="AJN74" s="18"/>
      <c r="AJO74" s="18"/>
      <c r="AJP74" s="18"/>
      <c r="AJQ74" s="18"/>
      <c r="AJR74" s="18"/>
      <c r="AJS74" s="18"/>
      <c r="AJT74" s="18"/>
      <c r="AJU74" s="18"/>
      <c r="AJV74" s="18"/>
      <c r="AJW74" s="18"/>
      <c r="AJX74" s="18"/>
      <c r="AJY74" s="18"/>
      <c r="AJZ74" s="18"/>
      <c r="AKA74" s="18"/>
      <c r="AKB74" s="18"/>
      <c r="AKC74" s="18"/>
      <c r="AKD74" s="18"/>
      <c r="AKE74" s="18"/>
      <c r="AKF74" s="18"/>
      <c r="AKG74" s="18"/>
      <c r="AKH74" s="18"/>
      <c r="AKI74" s="18"/>
      <c r="AKJ74" s="18"/>
      <c r="AKK74" s="18"/>
      <c r="AKL74" s="18"/>
      <c r="AKM74" s="18"/>
      <c r="AKN74" s="18"/>
      <c r="AKO74" s="18"/>
      <c r="AKP74" s="18"/>
      <c r="AKQ74" s="18"/>
      <c r="AKR74" s="18"/>
      <c r="AKS74" s="18"/>
      <c r="AKT74" s="18"/>
      <c r="AKU74" s="18"/>
      <c r="AKV74" s="18"/>
      <c r="AKW74" s="18"/>
      <c r="AKX74" s="18"/>
      <c r="AKY74" s="18"/>
      <c r="AKZ74" s="18"/>
      <c r="ALA74" s="18"/>
      <c r="ALB74" s="18"/>
      <c r="ALC74" s="18"/>
      <c r="ALD74" s="18"/>
      <c r="ALE74" s="18"/>
      <c r="ALF74" s="18"/>
      <c r="ALG74" s="18"/>
      <c r="ALH74" s="18"/>
      <c r="ALI74" s="18"/>
      <c r="ALJ74" s="18"/>
      <c r="ALK74" s="18"/>
      <c r="ALL74" s="18"/>
      <c r="ALM74" s="18"/>
      <c r="ALN74" s="18"/>
      <c r="ALO74" s="18"/>
      <c r="ALP74" s="18"/>
      <c r="ALQ74" s="18"/>
      <c r="ALR74" s="18"/>
      <c r="ALS74" s="18"/>
      <c r="ALT74" s="18"/>
      <c r="ALU74" s="18"/>
      <c r="ALV74" s="18"/>
      <c r="ALW74" s="18"/>
      <c r="ALX74" s="18"/>
      <c r="ALY74" s="18"/>
      <c r="ALZ74" s="18"/>
      <c r="AMA74" s="18"/>
      <c r="AMB74" s="18"/>
      <c r="AMC74" s="18"/>
      <c r="AMD74" s="18"/>
      <c r="AME74" s="18"/>
      <c r="AMF74" s="18"/>
      <c r="AMG74" s="18"/>
      <c r="AMH74" s="18"/>
    </row>
    <row r="75" spans="1:1022" s="23" customFormat="1" x14ac:dyDescent="0.3">
      <c r="A75" s="33">
        <v>171</v>
      </c>
      <c r="B75" s="19"/>
      <c r="C75" s="19"/>
      <c r="D75" s="44" t="s">
        <v>345</v>
      </c>
      <c r="E75" s="34" t="s">
        <v>495</v>
      </c>
      <c r="F75" s="43">
        <v>26</v>
      </c>
      <c r="G75" s="19"/>
      <c r="H75" s="38" t="s">
        <v>281</v>
      </c>
      <c r="I75" s="31"/>
      <c r="J75" s="31"/>
      <c r="K75" s="31"/>
      <c r="L75" s="31"/>
      <c r="M75" s="32"/>
      <c r="N75" s="32"/>
      <c r="O75" s="18"/>
      <c r="P75" s="36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  <c r="CM75" s="18"/>
      <c r="CN75" s="18"/>
      <c r="CO75" s="18"/>
      <c r="CP75" s="18"/>
      <c r="CQ75" s="18"/>
      <c r="CR75" s="18"/>
      <c r="CS75" s="18"/>
      <c r="CT75" s="18"/>
      <c r="CU75" s="18"/>
      <c r="CV75" s="18"/>
      <c r="CW75" s="18"/>
      <c r="CX75" s="18"/>
      <c r="CY75" s="18"/>
      <c r="CZ75" s="18"/>
      <c r="DA75" s="18"/>
      <c r="DB75" s="18"/>
      <c r="DC75" s="18"/>
      <c r="DD75" s="18"/>
      <c r="DE75" s="18"/>
      <c r="DF75" s="18"/>
      <c r="DG75" s="18"/>
      <c r="DH75" s="18"/>
      <c r="DI75" s="18"/>
      <c r="DJ75" s="18"/>
      <c r="DK75" s="18"/>
      <c r="DL75" s="18"/>
      <c r="DM75" s="18"/>
      <c r="DN75" s="18"/>
      <c r="DO75" s="18"/>
      <c r="DP75" s="18"/>
      <c r="DQ75" s="18"/>
      <c r="DR75" s="18"/>
      <c r="DS75" s="18"/>
      <c r="DT75" s="18"/>
      <c r="DU75" s="18"/>
      <c r="DV75" s="18"/>
      <c r="DW75" s="18"/>
      <c r="DX75" s="18"/>
      <c r="DY75" s="18"/>
      <c r="DZ75" s="18"/>
      <c r="EA75" s="18"/>
      <c r="EB75" s="18"/>
      <c r="EC75" s="18"/>
      <c r="ED75" s="18"/>
      <c r="EE75" s="18"/>
      <c r="EF75" s="18"/>
      <c r="EG75" s="18"/>
      <c r="EH75" s="18"/>
      <c r="EI75" s="18"/>
      <c r="EJ75" s="18"/>
      <c r="EK75" s="18"/>
      <c r="EL75" s="18"/>
      <c r="EM75" s="18"/>
      <c r="EN75" s="18"/>
      <c r="EO75" s="18"/>
      <c r="EP75" s="18"/>
      <c r="EQ75" s="18"/>
      <c r="ER75" s="18"/>
      <c r="ES75" s="18"/>
      <c r="ET75" s="18"/>
      <c r="EU75" s="18"/>
      <c r="EV75" s="18"/>
      <c r="EW75" s="18"/>
      <c r="EX75" s="18"/>
      <c r="EY75" s="18"/>
      <c r="EZ75" s="18"/>
      <c r="FA75" s="18"/>
      <c r="FB75" s="18"/>
      <c r="FC75" s="18"/>
      <c r="FD75" s="18"/>
      <c r="FE75" s="18"/>
      <c r="FF75" s="18"/>
      <c r="FG75" s="18"/>
      <c r="FH75" s="18"/>
      <c r="FI75" s="18"/>
      <c r="FJ75" s="18"/>
      <c r="FK75" s="18"/>
      <c r="FL75" s="18"/>
      <c r="FM75" s="18"/>
      <c r="FN75" s="18"/>
      <c r="FO75" s="18"/>
      <c r="FP75" s="18"/>
      <c r="FQ75" s="18"/>
      <c r="FR75" s="18"/>
      <c r="FS75" s="18"/>
      <c r="FT75" s="18"/>
      <c r="FU75" s="18"/>
      <c r="FV75" s="18"/>
      <c r="FW75" s="18"/>
      <c r="FX75" s="18"/>
      <c r="FY75" s="18"/>
      <c r="FZ75" s="18"/>
      <c r="GA75" s="18"/>
      <c r="GB75" s="18"/>
      <c r="GC75" s="18"/>
      <c r="GD75" s="18"/>
      <c r="GE75" s="18"/>
      <c r="GF75" s="18"/>
      <c r="GG75" s="18"/>
      <c r="GH75" s="18"/>
      <c r="GI75" s="18"/>
      <c r="GJ75" s="18"/>
      <c r="GK75" s="18"/>
      <c r="GL75" s="18"/>
      <c r="GM75" s="18"/>
      <c r="GN75" s="18"/>
      <c r="GO75" s="18"/>
      <c r="GP75" s="18"/>
      <c r="GQ75" s="18"/>
      <c r="GR75" s="18"/>
      <c r="GS75" s="18"/>
      <c r="GT75" s="18"/>
      <c r="GU75" s="18"/>
      <c r="GV75" s="18"/>
      <c r="GW75" s="18"/>
      <c r="GX75" s="18"/>
      <c r="GY75" s="18"/>
      <c r="GZ75" s="18"/>
      <c r="HA75" s="18"/>
      <c r="HB75" s="18"/>
      <c r="HC75" s="18"/>
      <c r="HD75" s="18"/>
      <c r="HE75" s="18"/>
      <c r="HF75" s="18"/>
      <c r="HG75" s="18"/>
      <c r="HH75" s="18"/>
      <c r="HI75" s="18"/>
      <c r="HJ75" s="18"/>
      <c r="HK75" s="18"/>
      <c r="HL75" s="18"/>
      <c r="HM75" s="18"/>
      <c r="HN75" s="18"/>
      <c r="HO75" s="18"/>
      <c r="HP75" s="18"/>
      <c r="HQ75" s="18"/>
      <c r="HR75" s="18"/>
      <c r="HS75" s="18"/>
      <c r="HT75" s="18"/>
      <c r="HU75" s="18"/>
      <c r="HV75" s="18"/>
      <c r="HW75" s="18"/>
      <c r="HX75" s="18"/>
      <c r="HY75" s="18"/>
      <c r="HZ75" s="18"/>
      <c r="IA75" s="18"/>
      <c r="IB75" s="18"/>
      <c r="IC75" s="18"/>
      <c r="ID75" s="18"/>
      <c r="IE75" s="18"/>
      <c r="IF75" s="18"/>
      <c r="IG75" s="18"/>
      <c r="IH75" s="18"/>
      <c r="II75" s="18"/>
      <c r="IJ75" s="18"/>
      <c r="IK75" s="18"/>
      <c r="IL75" s="18"/>
      <c r="IM75" s="18"/>
      <c r="IN75" s="18"/>
      <c r="IO75" s="18"/>
      <c r="IP75" s="18"/>
      <c r="IQ75" s="18"/>
      <c r="IR75" s="18"/>
      <c r="IS75" s="18"/>
      <c r="IT75" s="18"/>
      <c r="IU75" s="18"/>
      <c r="IV75" s="18"/>
      <c r="IW75" s="18"/>
      <c r="IX75" s="18"/>
      <c r="IY75" s="18"/>
      <c r="IZ75" s="18"/>
      <c r="JA75" s="18"/>
      <c r="JB75" s="18"/>
      <c r="JC75" s="18"/>
      <c r="JD75" s="18"/>
      <c r="JE75" s="18"/>
      <c r="JF75" s="18"/>
      <c r="JG75" s="18"/>
      <c r="JH75" s="18"/>
      <c r="JI75" s="18"/>
      <c r="JJ75" s="18"/>
      <c r="JK75" s="18"/>
      <c r="JL75" s="18"/>
      <c r="JM75" s="18"/>
      <c r="JN75" s="18"/>
      <c r="JO75" s="18"/>
      <c r="JP75" s="18"/>
      <c r="JQ75" s="18"/>
      <c r="JR75" s="18"/>
      <c r="JS75" s="18"/>
      <c r="JT75" s="18"/>
      <c r="JU75" s="18"/>
      <c r="JV75" s="18"/>
      <c r="JW75" s="18"/>
      <c r="JX75" s="18"/>
      <c r="JY75" s="18"/>
      <c r="JZ75" s="18"/>
      <c r="KA75" s="18"/>
      <c r="KB75" s="18"/>
      <c r="KC75" s="18"/>
      <c r="KD75" s="18"/>
      <c r="KE75" s="18"/>
      <c r="KF75" s="18"/>
      <c r="KG75" s="18"/>
      <c r="KH75" s="18"/>
      <c r="KI75" s="18"/>
      <c r="KJ75" s="18"/>
      <c r="KK75" s="18"/>
      <c r="KL75" s="18"/>
      <c r="KM75" s="18"/>
      <c r="KN75" s="18"/>
      <c r="KO75" s="18"/>
      <c r="KP75" s="18"/>
      <c r="KQ75" s="18"/>
      <c r="KR75" s="18"/>
      <c r="KS75" s="18"/>
      <c r="KT75" s="18"/>
      <c r="KU75" s="18"/>
      <c r="KV75" s="18"/>
      <c r="KW75" s="18"/>
      <c r="KX75" s="18"/>
      <c r="KY75" s="18"/>
      <c r="KZ75" s="18"/>
      <c r="LA75" s="18"/>
      <c r="LB75" s="18"/>
      <c r="LC75" s="18"/>
      <c r="LD75" s="18"/>
      <c r="LE75" s="18"/>
      <c r="LF75" s="18"/>
      <c r="LG75" s="18"/>
      <c r="LH75" s="18"/>
      <c r="LI75" s="18"/>
      <c r="LJ75" s="18"/>
      <c r="LK75" s="18"/>
      <c r="LL75" s="18"/>
      <c r="LM75" s="18"/>
      <c r="LN75" s="18"/>
      <c r="LO75" s="18"/>
      <c r="LP75" s="18"/>
      <c r="LQ75" s="18"/>
      <c r="LR75" s="18"/>
      <c r="LS75" s="18"/>
      <c r="LT75" s="18"/>
      <c r="LU75" s="18"/>
      <c r="LV75" s="18"/>
      <c r="LW75" s="18"/>
      <c r="LX75" s="18"/>
      <c r="LY75" s="18"/>
      <c r="LZ75" s="18"/>
      <c r="MA75" s="18"/>
      <c r="MB75" s="18"/>
      <c r="MC75" s="18"/>
      <c r="MD75" s="18"/>
      <c r="ME75" s="18"/>
      <c r="MF75" s="18"/>
      <c r="MG75" s="18"/>
      <c r="MH75" s="18"/>
      <c r="MI75" s="18"/>
      <c r="MJ75" s="18"/>
      <c r="MK75" s="18"/>
      <c r="ML75" s="18"/>
      <c r="MM75" s="18"/>
      <c r="MN75" s="18"/>
      <c r="MO75" s="18"/>
      <c r="MP75" s="18"/>
      <c r="MQ75" s="18"/>
      <c r="MR75" s="18"/>
      <c r="MS75" s="18"/>
      <c r="MT75" s="18"/>
      <c r="MU75" s="18"/>
      <c r="MV75" s="18"/>
      <c r="MW75" s="18"/>
      <c r="MX75" s="18"/>
      <c r="MY75" s="18"/>
      <c r="MZ75" s="18"/>
      <c r="NA75" s="18"/>
      <c r="NB75" s="18"/>
      <c r="NC75" s="18"/>
      <c r="ND75" s="18"/>
      <c r="NE75" s="18"/>
      <c r="NF75" s="18"/>
      <c r="NG75" s="18"/>
      <c r="NH75" s="18"/>
      <c r="NI75" s="18"/>
      <c r="NJ75" s="18"/>
      <c r="NK75" s="18"/>
      <c r="NL75" s="18"/>
      <c r="NM75" s="18"/>
      <c r="NN75" s="18"/>
      <c r="NO75" s="18"/>
      <c r="NP75" s="18"/>
      <c r="NQ75" s="18"/>
      <c r="NR75" s="18"/>
      <c r="NS75" s="18"/>
      <c r="NT75" s="18"/>
      <c r="NU75" s="18"/>
      <c r="NV75" s="18"/>
      <c r="NW75" s="18"/>
      <c r="NX75" s="18"/>
      <c r="NY75" s="18"/>
      <c r="NZ75" s="18"/>
      <c r="OA75" s="18"/>
      <c r="OB75" s="18"/>
      <c r="OC75" s="18"/>
      <c r="OD75" s="18"/>
      <c r="OE75" s="18"/>
      <c r="OF75" s="18"/>
      <c r="OG75" s="18"/>
      <c r="OH75" s="18"/>
      <c r="OI75" s="18"/>
      <c r="OJ75" s="18"/>
      <c r="OK75" s="18"/>
      <c r="OL75" s="18"/>
      <c r="OM75" s="18"/>
      <c r="ON75" s="18"/>
      <c r="OO75" s="18"/>
      <c r="OP75" s="18"/>
      <c r="OQ75" s="18"/>
      <c r="OR75" s="18"/>
      <c r="OS75" s="18"/>
      <c r="OT75" s="18"/>
      <c r="OU75" s="18"/>
      <c r="OV75" s="18"/>
      <c r="OW75" s="18"/>
      <c r="OX75" s="18"/>
      <c r="OY75" s="18"/>
      <c r="OZ75" s="18"/>
      <c r="PA75" s="18"/>
      <c r="PB75" s="18"/>
      <c r="PC75" s="18"/>
      <c r="PD75" s="18"/>
      <c r="PE75" s="18"/>
      <c r="PF75" s="18"/>
      <c r="PG75" s="18"/>
      <c r="PH75" s="18"/>
      <c r="PI75" s="18"/>
      <c r="PJ75" s="18"/>
      <c r="PK75" s="18"/>
      <c r="PL75" s="18"/>
      <c r="PM75" s="18"/>
      <c r="PN75" s="18"/>
      <c r="PO75" s="18"/>
      <c r="PP75" s="18"/>
      <c r="PQ75" s="18"/>
      <c r="PR75" s="18"/>
      <c r="PS75" s="18"/>
      <c r="PT75" s="18"/>
      <c r="PU75" s="18"/>
      <c r="PV75" s="18"/>
      <c r="PW75" s="18"/>
      <c r="PX75" s="18"/>
      <c r="PY75" s="18"/>
      <c r="PZ75" s="18"/>
      <c r="QA75" s="18"/>
      <c r="QB75" s="18"/>
      <c r="QC75" s="18"/>
      <c r="QD75" s="18"/>
      <c r="QE75" s="18"/>
      <c r="QF75" s="18"/>
      <c r="QG75" s="18"/>
      <c r="QH75" s="18"/>
      <c r="QI75" s="18"/>
      <c r="QJ75" s="18"/>
      <c r="QK75" s="18"/>
      <c r="QL75" s="18"/>
      <c r="QM75" s="18"/>
      <c r="QN75" s="18"/>
      <c r="QO75" s="18"/>
      <c r="QP75" s="18"/>
      <c r="QQ75" s="18"/>
      <c r="QR75" s="18"/>
      <c r="QS75" s="18"/>
      <c r="QT75" s="18"/>
      <c r="QU75" s="18"/>
      <c r="QV75" s="18"/>
      <c r="QW75" s="18"/>
      <c r="QX75" s="18"/>
      <c r="QY75" s="18"/>
      <c r="QZ75" s="18"/>
      <c r="RA75" s="18"/>
      <c r="RB75" s="18"/>
      <c r="RC75" s="18"/>
      <c r="RD75" s="18"/>
      <c r="RE75" s="18"/>
      <c r="RF75" s="18"/>
      <c r="RG75" s="18"/>
      <c r="RH75" s="18"/>
      <c r="RI75" s="18"/>
      <c r="RJ75" s="18"/>
      <c r="RK75" s="18"/>
      <c r="RL75" s="18"/>
      <c r="RM75" s="18"/>
      <c r="RN75" s="18"/>
      <c r="RO75" s="18"/>
      <c r="RP75" s="18"/>
      <c r="RQ75" s="18"/>
      <c r="RR75" s="18"/>
      <c r="RS75" s="18"/>
      <c r="RT75" s="18"/>
      <c r="RU75" s="18"/>
      <c r="RV75" s="18"/>
      <c r="RW75" s="18"/>
      <c r="RX75" s="18"/>
      <c r="RY75" s="18"/>
      <c r="RZ75" s="18"/>
      <c r="SA75" s="18"/>
      <c r="SB75" s="18"/>
      <c r="SC75" s="18"/>
      <c r="SD75" s="18"/>
      <c r="SE75" s="18"/>
      <c r="SF75" s="18"/>
      <c r="SG75" s="18"/>
      <c r="SH75" s="18"/>
      <c r="SI75" s="18"/>
      <c r="SJ75" s="18"/>
      <c r="SK75" s="18"/>
      <c r="SL75" s="18"/>
      <c r="SM75" s="18"/>
      <c r="SN75" s="18"/>
      <c r="SO75" s="18"/>
      <c r="SP75" s="18"/>
      <c r="SQ75" s="18"/>
      <c r="SR75" s="18"/>
      <c r="SS75" s="18"/>
      <c r="ST75" s="18"/>
      <c r="SU75" s="18"/>
      <c r="SV75" s="18"/>
      <c r="SW75" s="18"/>
      <c r="SX75" s="18"/>
      <c r="SY75" s="18"/>
      <c r="SZ75" s="18"/>
      <c r="TA75" s="18"/>
      <c r="TB75" s="18"/>
      <c r="TC75" s="18"/>
      <c r="TD75" s="18"/>
      <c r="TE75" s="18"/>
      <c r="TF75" s="18"/>
      <c r="TG75" s="18"/>
      <c r="TH75" s="18"/>
      <c r="TI75" s="18"/>
      <c r="TJ75" s="18"/>
      <c r="TK75" s="18"/>
      <c r="TL75" s="18"/>
      <c r="TM75" s="18"/>
      <c r="TN75" s="18"/>
      <c r="TO75" s="18"/>
      <c r="TP75" s="18"/>
      <c r="TQ75" s="18"/>
      <c r="TR75" s="18"/>
      <c r="TS75" s="18"/>
      <c r="TT75" s="18"/>
      <c r="TU75" s="18"/>
      <c r="TV75" s="18"/>
      <c r="TW75" s="18"/>
      <c r="TX75" s="18"/>
      <c r="TY75" s="18"/>
      <c r="TZ75" s="18"/>
      <c r="UA75" s="18"/>
      <c r="UB75" s="18"/>
      <c r="UC75" s="18"/>
      <c r="UD75" s="18"/>
      <c r="UE75" s="18"/>
      <c r="UF75" s="18"/>
      <c r="UG75" s="18"/>
      <c r="UH75" s="18"/>
      <c r="UI75" s="18"/>
      <c r="UJ75" s="18"/>
      <c r="UK75" s="18"/>
      <c r="UL75" s="18"/>
      <c r="UM75" s="18"/>
      <c r="UN75" s="18"/>
      <c r="UO75" s="18"/>
      <c r="UP75" s="18"/>
      <c r="UQ75" s="18"/>
      <c r="UR75" s="18"/>
      <c r="US75" s="18"/>
      <c r="UT75" s="18"/>
      <c r="UU75" s="18"/>
      <c r="UV75" s="18"/>
      <c r="UW75" s="18"/>
      <c r="UX75" s="18"/>
      <c r="UY75" s="18"/>
      <c r="UZ75" s="18"/>
      <c r="VA75" s="18"/>
      <c r="VB75" s="18"/>
      <c r="VC75" s="18"/>
      <c r="VD75" s="18"/>
      <c r="VE75" s="18"/>
      <c r="VF75" s="18"/>
      <c r="VG75" s="18"/>
      <c r="VH75" s="18"/>
      <c r="VI75" s="18"/>
      <c r="VJ75" s="18"/>
      <c r="VK75" s="18"/>
      <c r="VL75" s="18"/>
      <c r="VM75" s="18"/>
      <c r="VN75" s="18"/>
      <c r="VO75" s="18"/>
      <c r="VP75" s="18"/>
      <c r="VQ75" s="18"/>
      <c r="VR75" s="18"/>
      <c r="VS75" s="18"/>
      <c r="VT75" s="18"/>
      <c r="VU75" s="18"/>
      <c r="VV75" s="18"/>
      <c r="VW75" s="18"/>
      <c r="VX75" s="18"/>
      <c r="VY75" s="18"/>
      <c r="VZ75" s="18"/>
      <c r="WA75" s="18"/>
      <c r="WB75" s="18"/>
      <c r="WC75" s="18"/>
      <c r="WD75" s="18"/>
      <c r="WE75" s="18"/>
      <c r="WF75" s="18"/>
      <c r="WG75" s="18"/>
      <c r="WH75" s="18"/>
      <c r="WI75" s="18"/>
      <c r="WJ75" s="18"/>
      <c r="WK75" s="18"/>
      <c r="WL75" s="18"/>
      <c r="WM75" s="18"/>
      <c r="WN75" s="18"/>
      <c r="WO75" s="18"/>
      <c r="WP75" s="18"/>
      <c r="WQ75" s="18"/>
      <c r="WR75" s="18"/>
      <c r="WS75" s="18"/>
      <c r="WT75" s="18"/>
      <c r="WU75" s="18"/>
      <c r="WV75" s="18"/>
      <c r="WW75" s="18"/>
      <c r="WX75" s="18"/>
      <c r="WY75" s="18"/>
      <c r="WZ75" s="18"/>
      <c r="XA75" s="18"/>
      <c r="XB75" s="18"/>
      <c r="XC75" s="18"/>
      <c r="XD75" s="18"/>
      <c r="XE75" s="18"/>
      <c r="XF75" s="18"/>
      <c r="XG75" s="18"/>
      <c r="XH75" s="18"/>
      <c r="XI75" s="18"/>
      <c r="XJ75" s="18"/>
      <c r="XK75" s="18"/>
      <c r="XL75" s="18"/>
      <c r="XM75" s="18"/>
      <c r="XN75" s="18"/>
      <c r="XO75" s="18"/>
      <c r="XP75" s="18"/>
      <c r="XQ75" s="18"/>
      <c r="XR75" s="18"/>
      <c r="XS75" s="18"/>
      <c r="XT75" s="18"/>
      <c r="XU75" s="18"/>
      <c r="XV75" s="18"/>
      <c r="XW75" s="18"/>
      <c r="XX75" s="18"/>
      <c r="XY75" s="18"/>
      <c r="XZ75" s="18"/>
      <c r="YA75" s="18"/>
      <c r="YB75" s="18"/>
      <c r="YC75" s="18"/>
      <c r="YD75" s="18"/>
      <c r="YE75" s="18"/>
      <c r="YF75" s="18"/>
      <c r="YG75" s="18"/>
      <c r="YH75" s="18"/>
      <c r="YI75" s="18"/>
      <c r="YJ75" s="18"/>
      <c r="YK75" s="18"/>
      <c r="YL75" s="18"/>
      <c r="YM75" s="18"/>
      <c r="YN75" s="18"/>
      <c r="YO75" s="18"/>
      <c r="YP75" s="18"/>
      <c r="YQ75" s="18"/>
      <c r="YR75" s="18"/>
      <c r="YS75" s="18"/>
      <c r="YT75" s="18"/>
      <c r="YU75" s="18"/>
      <c r="YV75" s="18"/>
      <c r="YW75" s="18"/>
      <c r="YX75" s="18"/>
      <c r="YY75" s="18"/>
      <c r="YZ75" s="18"/>
      <c r="ZA75" s="18"/>
      <c r="ZB75" s="18"/>
      <c r="ZC75" s="18"/>
      <c r="ZD75" s="18"/>
      <c r="ZE75" s="18"/>
      <c r="ZF75" s="18"/>
      <c r="ZG75" s="18"/>
      <c r="ZH75" s="18"/>
      <c r="ZI75" s="18"/>
      <c r="ZJ75" s="18"/>
      <c r="ZK75" s="18"/>
      <c r="ZL75" s="18"/>
      <c r="ZM75" s="18"/>
      <c r="ZN75" s="18"/>
      <c r="ZO75" s="18"/>
      <c r="ZP75" s="18"/>
      <c r="ZQ75" s="18"/>
      <c r="ZR75" s="18"/>
      <c r="ZS75" s="18"/>
      <c r="ZT75" s="18"/>
      <c r="ZU75" s="18"/>
      <c r="ZV75" s="18"/>
      <c r="ZW75" s="18"/>
      <c r="ZX75" s="18"/>
      <c r="ZY75" s="18"/>
      <c r="ZZ75" s="18"/>
      <c r="AAA75" s="18"/>
      <c r="AAB75" s="18"/>
      <c r="AAC75" s="18"/>
      <c r="AAD75" s="18"/>
      <c r="AAE75" s="18"/>
      <c r="AAF75" s="18"/>
      <c r="AAG75" s="18"/>
      <c r="AAH75" s="18"/>
      <c r="AAI75" s="18"/>
      <c r="AAJ75" s="18"/>
      <c r="AAK75" s="18"/>
      <c r="AAL75" s="18"/>
      <c r="AAM75" s="18"/>
      <c r="AAN75" s="18"/>
      <c r="AAO75" s="18"/>
      <c r="AAP75" s="18"/>
      <c r="AAQ75" s="18"/>
      <c r="AAR75" s="18"/>
      <c r="AAS75" s="18"/>
      <c r="AAT75" s="18"/>
      <c r="AAU75" s="18"/>
      <c r="AAV75" s="18"/>
      <c r="AAW75" s="18"/>
      <c r="AAX75" s="18"/>
      <c r="AAY75" s="18"/>
      <c r="AAZ75" s="18"/>
      <c r="ABA75" s="18"/>
      <c r="ABB75" s="18"/>
      <c r="ABC75" s="18"/>
      <c r="ABD75" s="18"/>
      <c r="ABE75" s="18"/>
      <c r="ABF75" s="18"/>
      <c r="ABG75" s="18"/>
      <c r="ABH75" s="18"/>
      <c r="ABI75" s="18"/>
      <c r="ABJ75" s="18"/>
      <c r="ABK75" s="18"/>
      <c r="ABL75" s="18"/>
      <c r="ABM75" s="18"/>
      <c r="ABN75" s="18"/>
      <c r="ABO75" s="18"/>
      <c r="ABP75" s="18"/>
      <c r="ABQ75" s="18"/>
      <c r="ABR75" s="18"/>
      <c r="ABS75" s="18"/>
      <c r="ABT75" s="18"/>
      <c r="ABU75" s="18"/>
      <c r="ABV75" s="18"/>
      <c r="ABW75" s="18"/>
      <c r="ABX75" s="18"/>
      <c r="ABY75" s="18"/>
      <c r="ABZ75" s="18"/>
      <c r="ACA75" s="18"/>
      <c r="ACB75" s="18"/>
      <c r="ACC75" s="18"/>
      <c r="ACD75" s="18"/>
      <c r="ACE75" s="18"/>
      <c r="ACF75" s="18"/>
      <c r="ACG75" s="18"/>
      <c r="ACH75" s="18"/>
      <c r="ACI75" s="18"/>
      <c r="ACJ75" s="18"/>
      <c r="ACK75" s="18"/>
      <c r="ACL75" s="18"/>
      <c r="ACM75" s="18"/>
      <c r="ACN75" s="18"/>
      <c r="ACO75" s="18"/>
      <c r="ACP75" s="18"/>
      <c r="ACQ75" s="18"/>
      <c r="ACR75" s="18"/>
      <c r="ACS75" s="18"/>
      <c r="ACT75" s="18"/>
      <c r="ACU75" s="18"/>
      <c r="ACV75" s="18"/>
      <c r="ACW75" s="18"/>
      <c r="ACX75" s="18"/>
      <c r="ACY75" s="18"/>
      <c r="ACZ75" s="18"/>
      <c r="ADA75" s="18"/>
      <c r="ADB75" s="18"/>
      <c r="ADC75" s="18"/>
      <c r="ADD75" s="18"/>
      <c r="ADE75" s="18"/>
      <c r="ADF75" s="18"/>
      <c r="ADG75" s="18"/>
      <c r="ADH75" s="18"/>
      <c r="ADI75" s="18"/>
      <c r="ADJ75" s="18"/>
      <c r="ADK75" s="18"/>
      <c r="ADL75" s="18"/>
      <c r="ADM75" s="18"/>
      <c r="ADN75" s="18"/>
      <c r="ADO75" s="18"/>
      <c r="ADP75" s="18"/>
      <c r="ADQ75" s="18"/>
      <c r="ADR75" s="18"/>
      <c r="ADS75" s="18"/>
      <c r="ADT75" s="18"/>
      <c r="ADU75" s="18"/>
      <c r="ADV75" s="18"/>
      <c r="ADW75" s="18"/>
      <c r="ADX75" s="18"/>
      <c r="ADY75" s="18"/>
      <c r="ADZ75" s="18"/>
      <c r="AEA75" s="18"/>
      <c r="AEB75" s="18"/>
      <c r="AEC75" s="18"/>
      <c r="AED75" s="18"/>
      <c r="AEE75" s="18"/>
      <c r="AEF75" s="18"/>
      <c r="AEG75" s="18"/>
      <c r="AEH75" s="18"/>
      <c r="AEI75" s="18"/>
      <c r="AEJ75" s="18"/>
      <c r="AEK75" s="18"/>
      <c r="AEL75" s="18"/>
      <c r="AEM75" s="18"/>
      <c r="AEN75" s="18"/>
      <c r="AEO75" s="18"/>
      <c r="AEP75" s="18"/>
      <c r="AEQ75" s="18"/>
      <c r="AER75" s="18"/>
      <c r="AES75" s="18"/>
      <c r="AET75" s="18"/>
      <c r="AEU75" s="18"/>
      <c r="AEV75" s="18"/>
      <c r="AEW75" s="18"/>
      <c r="AEX75" s="18"/>
      <c r="AEY75" s="18"/>
      <c r="AEZ75" s="18"/>
      <c r="AFA75" s="18"/>
      <c r="AFB75" s="18"/>
      <c r="AFC75" s="18"/>
      <c r="AFD75" s="18"/>
      <c r="AFE75" s="18"/>
      <c r="AFF75" s="18"/>
      <c r="AFG75" s="18"/>
      <c r="AFH75" s="18"/>
      <c r="AFI75" s="18"/>
      <c r="AFJ75" s="18"/>
      <c r="AFK75" s="18"/>
      <c r="AFL75" s="18"/>
      <c r="AFM75" s="18"/>
      <c r="AFN75" s="18"/>
      <c r="AFO75" s="18"/>
      <c r="AFP75" s="18"/>
      <c r="AFQ75" s="18"/>
      <c r="AFR75" s="18"/>
      <c r="AFS75" s="18"/>
      <c r="AFT75" s="18"/>
      <c r="AFU75" s="18"/>
      <c r="AFV75" s="18"/>
      <c r="AFW75" s="18"/>
      <c r="AFX75" s="18"/>
      <c r="AFY75" s="18"/>
      <c r="AFZ75" s="18"/>
      <c r="AGA75" s="18"/>
      <c r="AGB75" s="18"/>
      <c r="AGC75" s="18"/>
      <c r="AGD75" s="18"/>
      <c r="AGE75" s="18"/>
      <c r="AGF75" s="18"/>
      <c r="AGG75" s="18"/>
      <c r="AGH75" s="18"/>
      <c r="AGI75" s="18"/>
      <c r="AGJ75" s="18"/>
      <c r="AGK75" s="18"/>
      <c r="AGL75" s="18"/>
      <c r="AGM75" s="18"/>
      <c r="AGN75" s="18"/>
      <c r="AGO75" s="18"/>
      <c r="AGP75" s="18"/>
      <c r="AGQ75" s="18"/>
      <c r="AGR75" s="18"/>
      <c r="AGS75" s="18"/>
      <c r="AGT75" s="18"/>
      <c r="AGU75" s="18"/>
      <c r="AGV75" s="18"/>
      <c r="AGW75" s="18"/>
      <c r="AGX75" s="18"/>
      <c r="AGY75" s="18"/>
      <c r="AGZ75" s="18"/>
      <c r="AHA75" s="18"/>
      <c r="AHB75" s="18"/>
      <c r="AHC75" s="18"/>
      <c r="AHD75" s="18"/>
      <c r="AHE75" s="18"/>
      <c r="AHF75" s="18"/>
      <c r="AHG75" s="18"/>
      <c r="AHH75" s="18"/>
      <c r="AHI75" s="18"/>
      <c r="AHJ75" s="18"/>
      <c r="AHK75" s="18"/>
      <c r="AHL75" s="18"/>
      <c r="AHM75" s="18"/>
      <c r="AHN75" s="18"/>
      <c r="AHO75" s="18"/>
      <c r="AHP75" s="18"/>
      <c r="AHQ75" s="18"/>
      <c r="AHR75" s="18"/>
      <c r="AHS75" s="18"/>
      <c r="AHT75" s="18"/>
      <c r="AHU75" s="18"/>
      <c r="AHV75" s="18"/>
      <c r="AHW75" s="18"/>
      <c r="AHX75" s="18"/>
      <c r="AHY75" s="18"/>
      <c r="AHZ75" s="18"/>
      <c r="AIA75" s="18"/>
      <c r="AIB75" s="18"/>
      <c r="AIC75" s="18"/>
      <c r="AID75" s="18"/>
      <c r="AIE75" s="18"/>
      <c r="AIF75" s="18"/>
      <c r="AIG75" s="18"/>
      <c r="AIH75" s="18"/>
      <c r="AII75" s="18"/>
      <c r="AIJ75" s="18"/>
      <c r="AIK75" s="18"/>
      <c r="AIL75" s="18"/>
      <c r="AIM75" s="18"/>
      <c r="AIN75" s="18"/>
      <c r="AIO75" s="18"/>
      <c r="AIP75" s="18"/>
      <c r="AIQ75" s="18"/>
      <c r="AIR75" s="18"/>
      <c r="AIS75" s="18"/>
      <c r="AIT75" s="18"/>
      <c r="AIU75" s="18"/>
      <c r="AIV75" s="18"/>
      <c r="AIW75" s="18"/>
      <c r="AIX75" s="18"/>
      <c r="AIY75" s="18"/>
      <c r="AIZ75" s="18"/>
      <c r="AJA75" s="18"/>
      <c r="AJB75" s="18"/>
      <c r="AJC75" s="18"/>
      <c r="AJD75" s="18"/>
      <c r="AJE75" s="18"/>
      <c r="AJF75" s="18"/>
      <c r="AJG75" s="18"/>
      <c r="AJH75" s="18"/>
      <c r="AJI75" s="18"/>
      <c r="AJJ75" s="18"/>
      <c r="AJK75" s="18"/>
      <c r="AJL75" s="18"/>
      <c r="AJM75" s="18"/>
      <c r="AJN75" s="18"/>
      <c r="AJO75" s="18"/>
      <c r="AJP75" s="18"/>
      <c r="AJQ75" s="18"/>
      <c r="AJR75" s="18"/>
      <c r="AJS75" s="18"/>
      <c r="AJT75" s="18"/>
      <c r="AJU75" s="18"/>
      <c r="AJV75" s="18"/>
      <c r="AJW75" s="18"/>
      <c r="AJX75" s="18"/>
      <c r="AJY75" s="18"/>
      <c r="AJZ75" s="18"/>
      <c r="AKA75" s="18"/>
      <c r="AKB75" s="18"/>
      <c r="AKC75" s="18"/>
      <c r="AKD75" s="18"/>
      <c r="AKE75" s="18"/>
      <c r="AKF75" s="18"/>
      <c r="AKG75" s="18"/>
      <c r="AKH75" s="18"/>
      <c r="AKI75" s="18"/>
      <c r="AKJ75" s="18"/>
      <c r="AKK75" s="18"/>
      <c r="AKL75" s="18"/>
      <c r="AKM75" s="18"/>
      <c r="AKN75" s="18"/>
      <c r="AKO75" s="18"/>
      <c r="AKP75" s="18"/>
      <c r="AKQ75" s="18"/>
      <c r="AKR75" s="18"/>
      <c r="AKS75" s="18"/>
      <c r="AKT75" s="18"/>
      <c r="AKU75" s="18"/>
      <c r="AKV75" s="18"/>
      <c r="AKW75" s="18"/>
      <c r="AKX75" s="18"/>
      <c r="AKY75" s="18"/>
      <c r="AKZ75" s="18"/>
      <c r="ALA75" s="18"/>
      <c r="ALB75" s="18"/>
      <c r="ALC75" s="18"/>
      <c r="ALD75" s="18"/>
      <c r="ALE75" s="18"/>
      <c r="ALF75" s="18"/>
      <c r="ALG75" s="18"/>
      <c r="ALH75" s="18"/>
      <c r="ALI75" s="18"/>
      <c r="ALJ75" s="18"/>
      <c r="ALK75" s="18"/>
      <c r="ALL75" s="18"/>
      <c r="ALM75" s="18"/>
      <c r="ALN75" s="18"/>
      <c r="ALO75" s="18"/>
      <c r="ALP75" s="18"/>
      <c r="ALQ75" s="18"/>
      <c r="ALR75" s="18"/>
      <c r="ALS75" s="18"/>
      <c r="ALT75" s="18"/>
      <c r="ALU75" s="18"/>
      <c r="ALV75" s="18"/>
      <c r="ALW75" s="18"/>
      <c r="ALX75" s="18"/>
      <c r="ALY75" s="18"/>
      <c r="ALZ75" s="18"/>
      <c r="AMA75" s="18"/>
      <c r="AMB75" s="18"/>
      <c r="AMC75" s="18"/>
      <c r="AMD75" s="18"/>
      <c r="AME75" s="18"/>
      <c r="AMF75" s="18"/>
      <c r="AMG75" s="18"/>
      <c r="AMH75" s="18"/>
    </row>
    <row r="76" spans="1:1022" s="23" customFormat="1" ht="30" customHeight="1" x14ac:dyDescent="0.3">
      <c r="A76" s="33">
        <v>172</v>
      </c>
      <c r="B76" s="19"/>
      <c r="C76" s="19"/>
      <c r="D76" s="45" t="s">
        <v>346</v>
      </c>
      <c r="E76" s="34" t="s">
        <v>496</v>
      </c>
      <c r="F76" s="46">
        <v>80</v>
      </c>
      <c r="G76" s="19"/>
      <c r="H76" s="18"/>
      <c r="I76" s="47"/>
      <c r="J76" s="31"/>
      <c r="K76" s="35" t="s">
        <v>281</v>
      </c>
      <c r="L76" s="31"/>
      <c r="M76" s="32"/>
      <c r="N76" s="32"/>
      <c r="O76" s="18"/>
      <c r="P76" s="36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18"/>
      <c r="BK76" s="18"/>
      <c r="BL76" s="18"/>
      <c r="BM76" s="18"/>
      <c r="BN76" s="18"/>
      <c r="BO76" s="18"/>
      <c r="BP76" s="18"/>
      <c r="BQ76" s="18"/>
      <c r="BR76" s="18"/>
      <c r="BS76" s="18"/>
      <c r="BT76" s="18"/>
      <c r="BU76" s="18"/>
      <c r="BV76" s="18"/>
      <c r="BW76" s="18"/>
      <c r="BX76" s="18"/>
      <c r="BY76" s="18"/>
      <c r="BZ76" s="18"/>
      <c r="CA76" s="18"/>
      <c r="CB76" s="18"/>
      <c r="CC76" s="18"/>
      <c r="CD76" s="18"/>
      <c r="CE76" s="18"/>
      <c r="CF76" s="18"/>
      <c r="CG76" s="18"/>
      <c r="CH76" s="18"/>
      <c r="CI76" s="18"/>
      <c r="CJ76" s="18"/>
      <c r="CK76" s="18"/>
      <c r="CL76" s="18"/>
      <c r="CM76" s="18"/>
      <c r="CN76" s="18"/>
      <c r="CO76" s="18"/>
      <c r="CP76" s="18"/>
      <c r="CQ76" s="18"/>
      <c r="CR76" s="18"/>
      <c r="CS76" s="18"/>
      <c r="CT76" s="18"/>
      <c r="CU76" s="18"/>
      <c r="CV76" s="18"/>
      <c r="CW76" s="18"/>
      <c r="CX76" s="18"/>
      <c r="CY76" s="18"/>
      <c r="CZ76" s="18"/>
      <c r="DA76" s="18"/>
      <c r="DB76" s="18"/>
      <c r="DC76" s="18"/>
      <c r="DD76" s="18"/>
      <c r="DE76" s="18"/>
      <c r="DF76" s="18"/>
      <c r="DG76" s="18"/>
      <c r="DH76" s="18"/>
      <c r="DI76" s="18"/>
      <c r="DJ76" s="18"/>
      <c r="DK76" s="18"/>
      <c r="DL76" s="18"/>
      <c r="DM76" s="18"/>
      <c r="DN76" s="18"/>
      <c r="DO76" s="18"/>
      <c r="DP76" s="18"/>
      <c r="DQ76" s="18"/>
      <c r="DR76" s="18"/>
      <c r="DS76" s="18"/>
      <c r="DT76" s="18"/>
      <c r="DU76" s="18"/>
      <c r="DV76" s="18"/>
      <c r="DW76" s="18"/>
      <c r="DX76" s="18"/>
      <c r="DY76" s="18"/>
      <c r="DZ76" s="18"/>
      <c r="EA76" s="18"/>
      <c r="EB76" s="18"/>
      <c r="EC76" s="18"/>
      <c r="ED76" s="18"/>
      <c r="EE76" s="18"/>
      <c r="EF76" s="18"/>
      <c r="EG76" s="18"/>
      <c r="EH76" s="18"/>
      <c r="EI76" s="18"/>
      <c r="EJ76" s="18"/>
      <c r="EK76" s="18"/>
      <c r="EL76" s="18"/>
      <c r="EM76" s="18"/>
      <c r="EN76" s="18"/>
      <c r="EO76" s="18"/>
      <c r="EP76" s="18"/>
      <c r="EQ76" s="18"/>
      <c r="ER76" s="18"/>
      <c r="ES76" s="18"/>
      <c r="ET76" s="18"/>
      <c r="EU76" s="18"/>
      <c r="EV76" s="18"/>
      <c r="EW76" s="18"/>
      <c r="EX76" s="18"/>
      <c r="EY76" s="18"/>
      <c r="EZ76" s="18"/>
      <c r="FA76" s="18"/>
      <c r="FB76" s="18"/>
      <c r="FC76" s="18"/>
      <c r="FD76" s="18"/>
      <c r="FE76" s="18"/>
      <c r="FF76" s="18"/>
      <c r="FG76" s="18"/>
      <c r="FH76" s="18"/>
      <c r="FI76" s="18"/>
      <c r="FJ76" s="18"/>
      <c r="FK76" s="18"/>
      <c r="FL76" s="18"/>
      <c r="FM76" s="18"/>
      <c r="FN76" s="18"/>
      <c r="FO76" s="18"/>
      <c r="FP76" s="18"/>
      <c r="FQ76" s="18"/>
      <c r="FR76" s="18"/>
      <c r="FS76" s="18"/>
      <c r="FT76" s="18"/>
      <c r="FU76" s="18"/>
      <c r="FV76" s="18"/>
      <c r="FW76" s="18"/>
      <c r="FX76" s="18"/>
      <c r="FY76" s="18"/>
      <c r="FZ76" s="18"/>
      <c r="GA76" s="18"/>
      <c r="GB76" s="18"/>
      <c r="GC76" s="18"/>
      <c r="GD76" s="18"/>
      <c r="GE76" s="18"/>
      <c r="GF76" s="18"/>
      <c r="GG76" s="18"/>
      <c r="GH76" s="18"/>
      <c r="GI76" s="18"/>
      <c r="GJ76" s="18"/>
      <c r="GK76" s="18"/>
      <c r="GL76" s="18"/>
      <c r="GM76" s="18"/>
      <c r="GN76" s="18"/>
      <c r="GO76" s="18"/>
      <c r="GP76" s="18"/>
      <c r="GQ76" s="18"/>
      <c r="GR76" s="18"/>
      <c r="GS76" s="18"/>
      <c r="GT76" s="18"/>
      <c r="GU76" s="18"/>
      <c r="GV76" s="18"/>
      <c r="GW76" s="18"/>
      <c r="GX76" s="18"/>
      <c r="GY76" s="18"/>
      <c r="GZ76" s="18"/>
      <c r="HA76" s="18"/>
      <c r="HB76" s="18"/>
      <c r="HC76" s="18"/>
      <c r="HD76" s="18"/>
      <c r="HE76" s="18"/>
      <c r="HF76" s="18"/>
      <c r="HG76" s="18"/>
      <c r="HH76" s="18"/>
      <c r="HI76" s="18"/>
      <c r="HJ76" s="18"/>
      <c r="HK76" s="18"/>
      <c r="HL76" s="18"/>
      <c r="HM76" s="18"/>
      <c r="HN76" s="18"/>
      <c r="HO76" s="18"/>
      <c r="HP76" s="18"/>
      <c r="HQ76" s="18"/>
      <c r="HR76" s="18"/>
      <c r="HS76" s="18"/>
      <c r="HT76" s="18"/>
      <c r="HU76" s="18"/>
      <c r="HV76" s="18"/>
      <c r="HW76" s="18"/>
      <c r="HX76" s="18"/>
      <c r="HY76" s="18"/>
      <c r="HZ76" s="18"/>
      <c r="IA76" s="18"/>
      <c r="IB76" s="18"/>
      <c r="IC76" s="18"/>
      <c r="ID76" s="18"/>
      <c r="IE76" s="18"/>
      <c r="IF76" s="18"/>
      <c r="IG76" s="18"/>
      <c r="IH76" s="18"/>
      <c r="II76" s="18"/>
      <c r="IJ76" s="18"/>
      <c r="IK76" s="18"/>
      <c r="IL76" s="18"/>
      <c r="IM76" s="18"/>
      <c r="IN76" s="18"/>
      <c r="IO76" s="18"/>
      <c r="IP76" s="18"/>
      <c r="IQ76" s="18"/>
      <c r="IR76" s="18"/>
      <c r="IS76" s="18"/>
      <c r="IT76" s="18"/>
      <c r="IU76" s="18"/>
      <c r="IV76" s="18"/>
      <c r="IW76" s="18"/>
      <c r="IX76" s="18"/>
      <c r="IY76" s="18"/>
      <c r="IZ76" s="18"/>
      <c r="JA76" s="18"/>
      <c r="JB76" s="18"/>
      <c r="JC76" s="18"/>
      <c r="JD76" s="18"/>
      <c r="JE76" s="18"/>
      <c r="JF76" s="18"/>
      <c r="JG76" s="18"/>
      <c r="JH76" s="18"/>
      <c r="JI76" s="18"/>
      <c r="JJ76" s="18"/>
      <c r="JK76" s="18"/>
      <c r="JL76" s="18"/>
      <c r="JM76" s="18"/>
      <c r="JN76" s="18"/>
      <c r="JO76" s="18"/>
      <c r="JP76" s="18"/>
      <c r="JQ76" s="18"/>
      <c r="JR76" s="18"/>
      <c r="JS76" s="18"/>
      <c r="JT76" s="18"/>
      <c r="JU76" s="18"/>
      <c r="JV76" s="18"/>
      <c r="JW76" s="18"/>
      <c r="JX76" s="18"/>
      <c r="JY76" s="18"/>
      <c r="JZ76" s="18"/>
      <c r="KA76" s="18"/>
      <c r="KB76" s="18"/>
      <c r="KC76" s="18"/>
      <c r="KD76" s="18"/>
      <c r="KE76" s="18"/>
      <c r="KF76" s="18"/>
      <c r="KG76" s="18"/>
      <c r="KH76" s="18"/>
      <c r="KI76" s="18"/>
      <c r="KJ76" s="18"/>
      <c r="KK76" s="18"/>
      <c r="KL76" s="18"/>
      <c r="KM76" s="18"/>
      <c r="KN76" s="18"/>
      <c r="KO76" s="18"/>
      <c r="KP76" s="18"/>
      <c r="KQ76" s="18"/>
      <c r="KR76" s="18"/>
      <c r="KS76" s="18"/>
      <c r="KT76" s="18"/>
      <c r="KU76" s="18"/>
      <c r="KV76" s="18"/>
      <c r="KW76" s="18"/>
      <c r="KX76" s="18"/>
      <c r="KY76" s="18"/>
      <c r="KZ76" s="18"/>
      <c r="LA76" s="18"/>
      <c r="LB76" s="18"/>
      <c r="LC76" s="18"/>
      <c r="LD76" s="18"/>
      <c r="LE76" s="18"/>
      <c r="LF76" s="18"/>
      <c r="LG76" s="18"/>
      <c r="LH76" s="18"/>
      <c r="LI76" s="18"/>
      <c r="LJ76" s="18"/>
      <c r="LK76" s="18"/>
      <c r="LL76" s="18"/>
      <c r="LM76" s="18"/>
      <c r="LN76" s="18"/>
      <c r="LO76" s="18"/>
      <c r="LP76" s="18"/>
      <c r="LQ76" s="18"/>
      <c r="LR76" s="18"/>
      <c r="LS76" s="18"/>
      <c r="LT76" s="18"/>
      <c r="LU76" s="18"/>
      <c r="LV76" s="18"/>
      <c r="LW76" s="18"/>
      <c r="LX76" s="18"/>
      <c r="LY76" s="18"/>
      <c r="LZ76" s="18"/>
      <c r="MA76" s="18"/>
      <c r="MB76" s="18"/>
      <c r="MC76" s="18"/>
      <c r="MD76" s="18"/>
      <c r="ME76" s="18"/>
      <c r="MF76" s="18"/>
      <c r="MG76" s="18"/>
      <c r="MH76" s="18"/>
      <c r="MI76" s="18"/>
      <c r="MJ76" s="18"/>
      <c r="MK76" s="18"/>
      <c r="ML76" s="18"/>
      <c r="MM76" s="18"/>
      <c r="MN76" s="18"/>
      <c r="MO76" s="18"/>
      <c r="MP76" s="18"/>
      <c r="MQ76" s="18"/>
      <c r="MR76" s="18"/>
      <c r="MS76" s="18"/>
      <c r="MT76" s="18"/>
      <c r="MU76" s="18"/>
      <c r="MV76" s="18"/>
      <c r="MW76" s="18"/>
      <c r="MX76" s="18"/>
      <c r="MY76" s="18"/>
      <c r="MZ76" s="18"/>
      <c r="NA76" s="18"/>
      <c r="NB76" s="18"/>
      <c r="NC76" s="18"/>
      <c r="ND76" s="18"/>
      <c r="NE76" s="18"/>
      <c r="NF76" s="18"/>
      <c r="NG76" s="18"/>
      <c r="NH76" s="18"/>
      <c r="NI76" s="18"/>
      <c r="NJ76" s="18"/>
      <c r="NK76" s="18"/>
      <c r="NL76" s="18"/>
      <c r="NM76" s="18"/>
      <c r="NN76" s="18"/>
      <c r="NO76" s="18"/>
      <c r="NP76" s="18"/>
      <c r="NQ76" s="18"/>
      <c r="NR76" s="18"/>
      <c r="NS76" s="18"/>
      <c r="NT76" s="18"/>
      <c r="NU76" s="18"/>
      <c r="NV76" s="18"/>
      <c r="NW76" s="18"/>
      <c r="NX76" s="18"/>
      <c r="NY76" s="18"/>
      <c r="NZ76" s="18"/>
      <c r="OA76" s="18"/>
      <c r="OB76" s="18"/>
      <c r="OC76" s="18"/>
      <c r="OD76" s="18"/>
      <c r="OE76" s="18"/>
      <c r="OF76" s="18"/>
      <c r="OG76" s="18"/>
      <c r="OH76" s="18"/>
      <c r="OI76" s="18"/>
      <c r="OJ76" s="18"/>
      <c r="OK76" s="18"/>
      <c r="OL76" s="18"/>
      <c r="OM76" s="18"/>
      <c r="ON76" s="18"/>
      <c r="OO76" s="18"/>
      <c r="OP76" s="18"/>
      <c r="OQ76" s="18"/>
      <c r="OR76" s="18"/>
      <c r="OS76" s="18"/>
      <c r="OT76" s="18"/>
      <c r="OU76" s="18"/>
      <c r="OV76" s="18"/>
      <c r="OW76" s="18"/>
      <c r="OX76" s="18"/>
      <c r="OY76" s="18"/>
      <c r="OZ76" s="18"/>
      <c r="PA76" s="18"/>
      <c r="PB76" s="18"/>
      <c r="PC76" s="18"/>
      <c r="PD76" s="18"/>
      <c r="PE76" s="18"/>
      <c r="PF76" s="18"/>
      <c r="PG76" s="18"/>
      <c r="PH76" s="18"/>
      <c r="PI76" s="18"/>
      <c r="PJ76" s="18"/>
      <c r="PK76" s="18"/>
      <c r="PL76" s="18"/>
      <c r="PM76" s="18"/>
      <c r="PN76" s="18"/>
      <c r="PO76" s="18"/>
      <c r="PP76" s="18"/>
      <c r="PQ76" s="18"/>
      <c r="PR76" s="18"/>
      <c r="PS76" s="18"/>
      <c r="PT76" s="18"/>
      <c r="PU76" s="18"/>
      <c r="PV76" s="18"/>
      <c r="PW76" s="18"/>
      <c r="PX76" s="18"/>
      <c r="PY76" s="18"/>
      <c r="PZ76" s="18"/>
      <c r="QA76" s="18"/>
      <c r="QB76" s="18"/>
      <c r="QC76" s="18"/>
      <c r="QD76" s="18"/>
      <c r="QE76" s="18"/>
      <c r="QF76" s="18"/>
      <c r="QG76" s="18"/>
      <c r="QH76" s="18"/>
      <c r="QI76" s="18"/>
      <c r="QJ76" s="18"/>
      <c r="QK76" s="18"/>
      <c r="QL76" s="18"/>
      <c r="QM76" s="18"/>
      <c r="QN76" s="18"/>
      <c r="QO76" s="18"/>
      <c r="QP76" s="18"/>
      <c r="QQ76" s="18"/>
      <c r="QR76" s="18"/>
      <c r="QS76" s="18"/>
      <c r="QT76" s="18"/>
      <c r="QU76" s="18"/>
      <c r="QV76" s="18"/>
      <c r="QW76" s="18"/>
      <c r="QX76" s="18"/>
      <c r="QY76" s="18"/>
      <c r="QZ76" s="18"/>
      <c r="RA76" s="18"/>
      <c r="RB76" s="18"/>
      <c r="RC76" s="18"/>
      <c r="RD76" s="18"/>
      <c r="RE76" s="18"/>
      <c r="RF76" s="18"/>
      <c r="RG76" s="18"/>
      <c r="RH76" s="18"/>
      <c r="RI76" s="18"/>
      <c r="RJ76" s="18"/>
      <c r="RK76" s="18"/>
      <c r="RL76" s="18"/>
      <c r="RM76" s="18"/>
      <c r="RN76" s="18"/>
      <c r="RO76" s="18"/>
      <c r="RP76" s="18"/>
      <c r="RQ76" s="18"/>
      <c r="RR76" s="18"/>
      <c r="RS76" s="18"/>
      <c r="RT76" s="18"/>
      <c r="RU76" s="18"/>
      <c r="RV76" s="18"/>
      <c r="RW76" s="18"/>
      <c r="RX76" s="18"/>
      <c r="RY76" s="18"/>
      <c r="RZ76" s="18"/>
      <c r="SA76" s="18"/>
      <c r="SB76" s="18"/>
      <c r="SC76" s="18"/>
      <c r="SD76" s="18"/>
      <c r="SE76" s="18"/>
      <c r="SF76" s="18"/>
      <c r="SG76" s="18"/>
      <c r="SH76" s="18"/>
      <c r="SI76" s="18"/>
      <c r="SJ76" s="18"/>
      <c r="SK76" s="18"/>
      <c r="SL76" s="18"/>
      <c r="SM76" s="18"/>
      <c r="SN76" s="18"/>
      <c r="SO76" s="18"/>
      <c r="SP76" s="18"/>
      <c r="SQ76" s="18"/>
      <c r="SR76" s="18"/>
      <c r="SS76" s="18"/>
      <c r="ST76" s="18"/>
      <c r="SU76" s="18"/>
      <c r="SV76" s="18"/>
      <c r="SW76" s="18"/>
      <c r="SX76" s="18"/>
      <c r="SY76" s="18"/>
      <c r="SZ76" s="18"/>
      <c r="TA76" s="18"/>
      <c r="TB76" s="18"/>
      <c r="TC76" s="18"/>
      <c r="TD76" s="18"/>
      <c r="TE76" s="18"/>
      <c r="TF76" s="18"/>
      <c r="TG76" s="18"/>
      <c r="TH76" s="18"/>
      <c r="TI76" s="18"/>
      <c r="TJ76" s="18"/>
      <c r="TK76" s="18"/>
      <c r="TL76" s="18"/>
      <c r="TM76" s="18"/>
      <c r="TN76" s="18"/>
      <c r="TO76" s="18"/>
      <c r="TP76" s="18"/>
      <c r="TQ76" s="18"/>
      <c r="TR76" s="18"/>
      <c r="TS76" s="18"/>
      <c r="TT76" s="18"/>
      <c r="TU76" s="18"/>
      <c r="TV76" s="18"/>
      <c r="TW76" s="18"/>
      <c r="TX76" s="18"/>
      <c r="TY76" s="18"/>
      <c r="TZ76" s="18"/>
      <c r="UA76" s="18"/>
      <c r="UB76" s="18"/>
      <c r="UC76" s="18"/>
      <c r="UD76" s="18"/>
      <c r="UE76" s="18"/>
      <c r="UF76" s="18"/>
      <c r="UG76" s="18"/>
      <c r="UH76" s="18"/>
      <c r="UI76" s="18"/>
      <c r="UJ76" s="18"/>
      <c r="UK76" s="18"/>
      <c r="UL76" s="18"/>
      <c r="UM76" s="18"/>
      <c r="UN76" s="18"/>
      <c r="UO76" s="18"/>
      <c r="UP76" s="18"/>
      <c r="UQ76" s="18"/>
      <c r="UR76" s="18"/>
      <c r="US76" s="18"/>
      <c r="UT76" s="18"/>
      <c r="UU76" s="18"/>
      <c r="UV76" s="18"/>
      <c r="UW76" s="18"/>
      <c r="UX76" s="18"/>
      <c r="UY76" s="18"/>
      <c r="UZ76" s="18"/>
      <c r="VA76" s="18"/>
      <c r="VB76" s="18"/>
      <c r="VC76" s="18"/>
      <c r="VD76" s="18"/>
      <c r="VE76" s="18"/>
      <c r="VF76" s="18"/>
      <c r="VG76" s="18"/>
      <c r="VH76" s="18"/>
      <c r="VI76" s="18"/>
      <c r="VJ76" s="18"/>
      <c r="VK76" s="18"/>
      <c r="VL76" s="18"/>
      <c r="VM76" s="18"/>
      <c r="VN76" s="18"/>
      <c r="VO76" s="18"/>
      <c r="VP76" s="18"/>
      <c r="VQ76" s="18"/>
      <c r="VR76" s="18"/>
      <c r="VS76" s="18"/>
      <c r="VT76" s="18"/>
      <c r="VU76" s="18"/>
      <c r="VV76" s="18"/>
      <c r="VW76" s="18"/>
      <c r="VX76" s="18"/>
      <c r="VY76" s="18"/>
      <c r="VZ76" s="18"/>
      <c r="WA76" s="18"/>
      <c r="WB76" s="18"/>
      <c r="WC76" s="18"/>
      <c r="WD76" s="18"/>
      <c r="WE76" s="18"/>
      <c r="WF76" s="18"/>
      <c r="WG76" s="18"/>
      <c r="WH76" s="18"/>
      <c r="WI76" s="18"/>
      <c r="WJ76" s="18"/>
      <c r="WK76" s="18"/>
      <c r="WL76" s="18"/>
      <c r="WM76" s="18"/>
      <c r="WN76" s="18"/>
      <c r="WO76" s="18"/>
      <c r="WP76" s="18"/>
      <c r="WQ76" s="18"/>
      <c r="WR76" s="18"/>
      <c r="WS76" s="18"/>
      <c r="WT76" s="18"/>
      <c r="WU76" s="18"/>
      <c r="WV76" s="18"/>
      <c r="WW76" s="18"/>
      <c r="WX76" s="18"/>
      <c r="WY76" s="18"/>
      <c r="WZ76" s="18"/>
      <c r="XA76" s="18"/>
      <c r="XB76" s="18"/>
      <c r="XC76" s="18"/>
      <c r="XD76" s="18"/>
      <c r="XE76" s="18"/>
      <c r="XF76" s="18"/>
      <c r="XG76" s="18"/>
      <c r="XH76" s="18"/>
      <c r="XI76" s="18"/>
      <c r="XJ76" s="18"/>
      <c r="XK76" s="18"/>
      <c r="XL76" s="18"/>
      <c r="XM76" s="18"/>
      <c r="XN76" s="18"/>
      <c r="XO76" s="18"/>
      <c r="XP76" s="18"/>
      <c r="XQ76" s="18"/>
      <c r="XR76" s="18"/>
      <c r="XS76" s="18"/>
      <c r="XT76" s="18"/>
      <c r="XU76" s="18"/>
      <c r="XV76" s="18"/>
      <c r="XW76" s="18"/>
      <c r="XX76" s="18"/>
      <c r="XY76" s="18"/>
      <c r="XZ76" s="18"/>
      <c r="YA76" s="18"/>
      <c r="YB76" s="18"/>
      <c r="YC76" s="18"/>
      <c r="YD76" s="18"/>
      <c r="YE76" s="18"/>
      <c r="YF76" s="18"/>
      <c r="YG76" s="18"/>
      <c r="YH76" s="18"/>
      <c r="YI76" s="18"/>
      <c r="YJ76" s="18"/>
      <c r="YK76" s="18"/>
      <c r="YL76" s="18"/>
      <c r="YM76" s="18"/>
      <c r="YN76" s="18"/>
      <c r="YO76" s="18"/>
      <c r="YP76" s="18"/>
      <c r="YQ76" s="18"/>
      <c r="YR76" s="18"/>
      <c r="YS76" s="18"/>
      <c r="YT76" s="18"/>
      <c r="YU76" s="18"/>
      <c r="YV76" s="18"/>
      <c r="YW76" s="18"/>
      <c r="YX76" s="18"/>
      <c r="YY76" s="18"/>
      <c r="YZ76" s="18"/>
      <c r="ZA76" s="18"/>
      <c r="ZB76" s="18"/>
      <c r="ZC76" s="18"/>
      <c r="ZD76" s="18"/>
      <c r="ZE76" s="18"/>
      <c r="ZF76" s="18"/>
      <c r="ZG76" s="18"/>
      <c r="ZH76" s="18"/>
      <c r="ZI76" s="18"/>
      <c r="ZJ76" s="18"/>
      <c r="ZK76" s="18"/>
      <c r="ZL76" s="18"/>
      <c r="ZM76" s="18"/>
      <c r="ZN76" s="18"/>
      <c r="ZO76" s="18"/>
      <c r="ZP76" s="18"/>
      <c r="ZQ76" s="18"/>
      <c r="ZR76" s="18"/>
      <c r="ZS76" s="18"/>
      <c r="ZT76" s="18"/>
      <c r="ZU76" s="18"/>
      <c r="ZV76" s="18"/>
      <c r="ZW76" s="18"/>
      <c r="ZX76" s="18"/>
      <c r="ZY76" s="18"/>
      <c r="ZZ76" s="18"/>
      <c r="AAA76" s="18"/>
      <c r="AAB76" s="18"/>
      <c r="AAC76" s="18"/>
      <c r="AAD76" s="18"/>
      <c r="AAE76" s="18"/>
      <c r="AAF76" s="18"/>
      <c r="AAG76" s="18"/>
      <c r="AAH76" s="18"/>
      <c r="AAI76" s="18"/>
      <c r="AAJ76" s="18"/>
      <c r="AAK76" s="18"/>
      <c r="AAL76" s="18"/>
      <c r="AAM76" s="18"/>
      <c r="AAN76" s="18"/>
      <c r="AAO76" s="18"/>
      <c r="AAP76" s="18"/>
      <c r="AAQ76" s="18"/>
      <c r="AAR76" s="18"/>
      <c r="AAS76" s="18"/>
      <c r="AAT76" s="18"/>
      <c r="AAU76" s="18"/>
      <c r="AAV76" s="18"/>
      <c r="AAW76" s="18"/>
      <c r="AAX76" s="18"/>
      <c r="AAY76" s="18"/>
      <c r="AAZ76" s="18"/>
      <c r="ABA76" s="18"/>
      <c r="ABB76" s="18"/>
      <c r="ABC76" s="18"/>
      <c r="ABD76" s="18"/>
      <c r="ABE76" s="18"/>
      <c r="ABF76" s="18"/>
      <c r="ABG76" s="18"/>
      <c r="ABH76" s="18"/>
      <c r="ABI76" s="18"/>
      <c r="ABJ76" s="18"/>
      <c r="ABK76" s="18"/>
      <c r="ABL76" s="18"/>
      <c r="ABM76" s="18"/>
      <c r="ABN76" s="18"/>
      <c r="ABO76" s="18"/>
      <c r="ABP76" s="18"/>
      <c r="ABQ76" s="18"/>
      <c r="ABR76" s="18"/>
      <c r="ABS76" s="18"/>
      <c r="ABT76" s="18"/>
      <c r="ABU76" s="18"/>
      <c r="ABV76" s="18"/>
      <c r="ABW76" s="18"/>
      <c r="ABX76" s="18"/>
      <c r="ABY76" s="18"/>
      <c r="ABZ76" s="18"/>
      <c r="ACA76" s="18"/>
      <c r="ACB76" s="18"/>
      <c r="ACC76" s="18"/>
      <c r="ACD76" s="18"/>
      <c r="ACE76" s="18"/>
      <c r="ACF76" s="18"/>
      <c r="ACG76" s="18"/>
      <c r="ACH76" s="18"/>
      <c r="ACI76" s="18"/>
      <c r="ACJ76" s="18"/>
      <c r="ACK76" s="18"/>
      <c r="ACL76" s="18"/>
      <c r="ACM76" s="18"/>
      <c r="ACN76" s="18"/>
      <c r="ACO76" s="18"/>
      <c r="ACP76" s="18"/>
      <c r="ACQ76" s="18"/>
      <c r="ACR76" s="18"/>
      <c r="ACS76" s="18"/>
      <c r="ACT76" s="18"/>
      <c r="ACU76" s="18"/>
      <c r="ACV76" s="18"/>
      <c r="ACW76" s="18"/>
      <c r="ACX76" s="18"/>
      <c r="ACY76" s="18"/>
      <c r="ACZ76" s="18"/>
      <c r="ADA76" s="18"/>
      <c r="ADB76" s="18"/>
      <c r="ADC76" s="18"/>
      <c r="ADD76" s="18"/>
      <c r="ADE76" s="18"/>
      <c r="ADF76" s="18"/>
      <c r="ADG76" s="18"/>
      <c r="ADH76" s="18"/>
      <c r="ADI76" s="18"/>
      <c r="ADJ76" s="18"/>
      <c r="ADK76" s="18"/>
      <c r="ADL76" s="18"/>
      <c r="ADM76" s="18"/>
      <c r="ADN76" s="18"/>
      <c r="ADO76" s="18"/>
      <c r="ADP76" s="18"/>
      <c r="ADQ76" s="18"/>
      <c r="ADR76" s="18"/>
      <c r="ADS76" s="18"/>
      <c r="ADT76" s="18"/>
      <c r="ADU76" s="18"/>
      <c r="ADV76" s="18"/>
      <c r="ADW76" s="18"/>
      <c r="ADX76" s="18"/>
      <c r="ADY76" s="18"/>
      <c r="ADZ76" s="18"/>
      <c r="AEA76" s="18"/>
      <c r="AEB76" s="18"/>
      <c r="AEC76" s="18"/>
      <c r="AED76" s="18"/>
      <c r="AEE76" s="18"/>
      <c r="AEF76" s="18"/>
      <c r="AEG76" s="18"/>
      <c r="AEH76" s="18"/>
      <c r="AEI76" s="18"/>
      <c r="AEJ76" s="18"/>
      <c r="AEK76" s="18"/>
      <c r="AEL76" s="18"/>
      <c r="AEM76" s="18"/>
      <c r="AEN76" s="18"/>
      <c r="AEO76" s="18"/>
      <c r="AEP76" s="18"/>
      <c r="AEQ76" s="18"/>
      <c r="AER76" s="18"/>
      <c r="AES76" s="18"/>
      <c r="AET76" s="18"/>
      <c r="AEU76" s="18"/>
      <c r="AEV76" s="18"/>
      <c r="AEW76" s="18"/>
      <c r="AEX76" s="18"/>
      <c r="AEY76" s="18"/>
      <c r="AEZ76" s="18"/>
      <c r="AFA76" s="18"/>
      <c r="AFB76" s="18"/>
      <c r="AFC76" s="18"/>
      <c r="AFD76" s="18"/>
      <c r="AFE76" s="18"/>
      <c r="AFF76" s="18"/>
      <c r="AFG76" s="18"/>
      <c r="AFH76" s="18"/>
      <c r="AFI76" s="18"/>
      <c r="AFJ76" s="18"/>
      <c r="AFK76" s="18"/>
      <c r="AFL76" s="18"/>
      <c r="AFM76" s="18"/>
      <c r="AFN76" s="18"/>
      <c r="AFO76" s="18"/>
      <c r="AFP76" s="18"/>
      <c r="AFQ76" s="18"/>
      <c r="AFR76" s="18"/>
      <c r="AFS76" s="18"/>
      <c r="AFT76" s="18"/>
      <c r="AFU76" s="18"/>
      <c r="AFV76" s="18"/>
      <c r="AFW76" s="18"/>
      <c r="AFX76" s="18"/>
      <c r="AFY76" s="18"/>
      <c r="AFZ76" s="18"/>
      <c r="AGA76" s="18"/>
      <c r="AGB76" s="18"/>
      <c r="AGC76" s="18"/>
      <c r="AGD76" s="18"/>
      <c r="AGE76" s="18"/>
      <c r="AGF76" s="18"/>
      <c r="AGG76" s="18"/>
      <c r="AGH76" s="18"/>
      <c r="AGI76" s="18"/>
      <c r="AGJ76" s="18"/>
      <c r="AGK76" s="18"/>
      <c r="AGL76" s="18"/>
      <c r="AGM76" s="18"/>
      <c r="AGN76" s="18"/>
      <c r="AGO76" s="18"/>
      <c r="AGP76" s="18"/>
      <c r="AGQ76" s="18"/>
      <c r="AGR76" s="18"/>
      <c r="AGS76" s="18"/>
      <c r="AGT76" s="18"/>
      <c r="AGU76" s="18"/>
      <c r="AGV76" s="18"/>
      <c r="AGW76" s="18"/>
      <c r="AGX76" s="18"/>
      <c r="AGY76" s="18"/>
      <c r="AGZ76" s="18"/>
      <c r="AHA76" s="18"/>
      <c r="AHB76" s="18"/>
      <c r="AHC76" s="18"/>
      <c r="AHD76" s="18"/>
      <c r="AHE76" s="18"/>
      <c r="AHF76" s="18"/>
      <c r="AHG76" s="18"/>
      <c r="AHH76" s="18"/>
      <c r="AHI76" s="18"/>
      <c r="AHJ76" s="18"/>
      <c r="AHK76" s="18"/>
      <c r="AHL76" s="18"/>
      <c r="AHM76" s="18"/>
      <c r="AHN76" s="18"/>
      <c r="AHO76" s="18"/>
      <c r="AHP76" s="18"/>
      <c r="AHQ76" s="18"/>
      <c r="AHR76" s="18"/>
      <c r="AHS76" s="18"/>
      <c r="AHT76" s="18"/>
      <c r="AHU76" s="18"/>
      <c r="AHV76" s="18"/>
      <c r="AHW76" s="18"/>
      <c r="AHX76" s="18"/>
      <c r="AHY76" s="18"/>
      <c r="AHZ76" s="18"/>
      <c r="AIA76" s="18"/>
      <c r="AIB76" s="18"/>
      <c r="AIC76" s="18"/>
      <c r="AID76" s="18"/>
      <c r="AIE76" s="18"/>
      <c r="AIF76" s="18"/>
      <c r="AIG76" s="18"/>
      <c r="AIH76" s="18"/>
      <c r="AII76" s="18"/>
      <c r="AIJ76" s="18"/>
      <c r="AIK76" s="18"/>
      <c r="AIL76" s="18"/>
      <c r="AIM76" s="18"/>
      <c r="AIN76" s="18"/>
      <c r="AIO76" s="18"/>
      <c r="AIP76" s="18"/>
      <c r="AIQ76" s="18"/>
      <c r="AIR76" s="18"/>
      <c r="AIS76" s="18"/>
      <c r="AIT76" s="18"/>
      <c r="AIU76" s="18"/>
      <c r="AIV76" s="18"/>
      <c r="AIW76" s="18"/>
      <c r="AIX76" s="18"/>
      <c r="AIY76" s="18"/>
      <c r="AIZ76" s="18"/>
      <c r="AJA76" s="18"/>
      <c r="AJB76" s="18"/>
      <c r="AJC76" s="18"/>
      <c r="AJD76" s="18"/>
      <c r="AJE76" s="18"/>
      <c r="AJF76" s="18"/>
      <c r="AJG76" s="18"/>
      <c r="AJH76" s="18"/>
      <c r="AJI76" s="18"/>
      <c r="AJJ76" s="18"/>
      <c r="AJK76" s="18"/>
      <c r="AJL76" s="18"/>
      <c r="AJM76" s="18"/>
      <c r="AJN76" s="18"/>
      <c r="AJO76" s="18"/>
      <c r="AJP76" s="18"/>
      <c r="AJQ76" s="18"/>
      <c r="AJR76" s="18"/>
      <c r="AJS76" s="18"/>
      <c r="AJT76" s="18"/>
      <c r="AJU76" s="18"/>
      <c r="AJV76" s="18"/>
      <c r="AJW76" s="18"/>
      <c r="AJX76" s="18"/>
      <c r="AJY76" s="18"/>
      <c r="AJZ76" s="18"/>
      <c r="AKA76" s="18"/>
      <c r="AKB76" s="18"/>
      <c r="AKC76" s="18"/>
      <c r="AKD76" s="18"/>
      <c r="AKE76" s="18"/>
      <c r="AKF76" s="18"/>
      <c r="AKG76" s="18"/>
      <c r="AKH76" s="18"/>
      <c r="AKI76" s="18"/>
      <c r="AKJ76" s="18"/>
      <c r="AKK76" s="18"/>
      <c r="AKL76" s="18"/>
      <c r="AKM76" s="18"/>
      <c r="AKN76" s="18"/>
      <c r="AKO76" s="18"/>
      <c r="AKP76" s="18"/>
      <c r="AKQ76" s="18"/>
      <c r="AKR76" s="18"/>
      <c r="AKS76" s="18"/>
      <c r="AKT76" s="18"/>
      <c r="AKU76" s="18"/>
      <c r="AKV76" s="18"/>
      <c r="AKW76" s="18"/>
      <c r="AKX76" s="18"/>
      <c r="AKY76" s="18"/>
      <c r="AKZ76" s="18"/>
      <c r="ALA76" s="18"/>
      <c r="ALB76" s="18"/>
      <c r="ALC76" s="18"/>
      <c r="ALD76" s="18"/>
      <c r="ALE76" s="18"/>
      <c r="ALF76" s="18"/>
      <c r="ALG76" s="18"/>
      <c r="ALH76" s="18"/>
      <c r="ALI76" s="18"/>
      <c r="ALJ76" s="18"/>
      <c r="ALK76" s="18"/>
      <c r="ALL76" s="18"/>
      <c r="ALM76" s="18"/>
      <c r="ALN76" s="18"/>
      <c r="ALO76" s="18"/>
      <c r="ALP76" s="18"/>
      <c r="ALQ76" s="18"/>
      <c r="ALR76" s="18"/>
      <c r="ALS76" s="18"/>
      <c r="ALT76" s="18"/>
      <c r="ALU76" s="18"/>
      <c r="ALV76" s="18"/>
      <c r="ALW76" s="18"/>
      <c r="ALX76" s="18"/>
      <c r="ALY76" s="18"/>
      <c r="ALZ76" s="18"/>
      <c r="AMA76" s="18"/>
      <c r="AMB76" s="18"/>
      <c r="AMC76" s="18"/>
      <c r="AMD76" s="18"/>
      <c r="AME76" s="18"/>
      <c r="AMF76" s="18"/>
      <c r="AMG76" s="18"/>
      <c r="AMH76" s="18"/>
    </row>
    <row r="77" spans="1:1022" s="23" customFormat="1" x14ac:dyDescent="0.3">
      <c r="A77" s="33">
        <v>173</v>
      </c>
      <c r="B77" s="19"/>
      <c r="C77" s="19"/>
      <c r="D77" s="34" t="s">
        <v>347</v>
      </c>
      <c r="E77" s="34" t="s">
        <v>497</v>
      </c>
      <c r="F77" s="43">
        <v>135</v>
      </c>
      <c r="G77" s="19"/>
      <c r="H77" s="38" t="s">
        <v>281</v>
      </c>
      <c r="I77" s="31"/>
      <c r="J77" s="31"/>
      <c r="K77" s="31"/>
      <c r="L77" s="31"/>
      <c r="M77" s="32"/>
      <c r="N77" s="32"/>
      <c r="O77" s="18"/>
      <c r="P77" s="36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  <c r="CM77" s="18"/>
      <c r="CN77" s="18"/>
      <c r="CO77" s="18"/>
      <c r="CP77" s="18"/>
      <c r="CQ77" s="18"/>
      <c r="CR77" s="18"/>
      <c r="CS77" s="18"/>
      <c r="CT77" s="18"/>
      <c r="CU77" s="18"/>
      <c r="CV77" s="18"/>
      <c r="CW77" s="18"/>
      <c r="CX77" s="18"/>
      <c r="CY77" s="18"/>
      <c r="CZ77" s="18"/>
      <c r="DA77" s="18"/>
      <c r="DB77" s="18"/>
      <c r="DC77" s="18"/>
      <c r="DD77" s="18"/>
      <c r="DE77" s="18"/>
      <c r="DF77" s="18"/>
      <c r="DG77" s="18"/>
      <c r="DH77" s="18"/>
      <c r="DI77" s="18"/>
      <c r="DJ77" s="18"/>
      <c r="DK77" s="18"/>
      <c r="DL77" s="18"/>
      <c r="DM77" s="18"/>
      <c r="DN77" s="18"/>
      <c r="DO77" s="18"/>
      <c r="DP77" s="18"/>
      <c r="DQ77" s="18"/>
      <c r="DR77" s="18"/>
      <c r="DS77" s="18"/>
      <c r="DT77" s="18"/>
      <c r="DU77" s="18"/>
      <c r="DV77" s="18"/>
      <c r="DW77" s="18"/>
      <c r="DX77" s="18"/>
      <c r="DY77" s="18"/>
      <c r="DZ77" s="18"/>
      <c r="EA77" s="18"/>
      <c r="EB77" s="18"/>
      <c r="EC77" s="18"/>
      <c r="ED77" s="18"/>
      <c r="EE77" s="18"/>
      <c r="EF77" s="18"/>
      <c r="EG77" s="18"/>
      <c r="EH77" s="18"/>
      <c r="EI77" s="18"/>
      <c r="EJ77" s="18"/>
      <c r="EK77" s="18"/>
      <c r="EL77" s="18"/>
      <c r="EM77" s="18"/>
      <c r="EN77" s="18"/>
      <c r="EO77" s="18"/>
      <c r="EP77" s="18"/>
      <c r="EQ77" s="18"/>
      <c r="ER77" s="18"/>
      <c r="ES77" s="18"/>
      <c r="ET77" s="18"/>
      <c r="EU77" s="18"/>
      <c r="EV77" s="18"/>
      <c r="EW77" s="18"/>
      <c r="EX77" s="18"/>
      <c r="EY77" s="18"/>
      <c r="EZ77" s="18"/>
      <c r="FA77" s="18"/>
      <c r="FB77" s="18"/>
      <c r="FC77" s="18"/>
      <c r="FD77" s="18"/>
      <c r="FE77" s="18"/>
      <c r="FF77" s="18"/>
      <c r="FG77" s="18"/>
      <c r="FH77" s="18"/>
      <c r="FI77" s="18"/>
      <c r="FJ77" s="18"/>
      <c r="FK77" s="18"/>
      <c r="FL77" s="18"/>
      <c r="FM77" s="18"/>
      <c r="FN77" s="18"/>
      <c r="FO77" s="18"/>
      <c r="FP77" s="18"/>
      <c r="FQ77" s="18"/>
      <c r="FR77" s="18"/>
      <c r="FS77" s="18"/>
      <c r="FT77" s="18"/>
      <c r="FU77" s="18"/>
      <c r="FV77" s="18"/>
      <c r="FW77" s="18"/>
      <c r="FX77" s="18"/>
      <c r="FY77" s="18"/>
      <c r="FZ77" s="18"/>
      <c r="GA77" s="18"/>
      <c r="GB77" s="18"/>
      <c r="GC77" s="18"/>
      <c r="GD77" s="18"/>
      <c r="GE77" s="18"/>
      <c r="GF77" s="18"/>
      <c r="GG77" s="18"/>
      <c r="GH77" s="18"/>
      <c r="GI77" s="18"/>
      <c r="GJ77" s="18"/>
      <c r="GK77" s="18"/>
      <c r="GL77" s="18"/>
      <c r="GM77" s="18"/>
      <c r="GN77" s="18"/>
      <c r="GO77" s="18"/>
      <c r="GP77" s="18"/>
      <c r="GQ77" s="18"/>
      <c r="GR77" s="18"/>
      <c r="GS77" s="18"/>
      <c r="GT77" s="18"/>
      <c r="GU77" s="18"/>
      <c r="GV77" s="18"/>
      <c r="GW77" s="18"/>
      <c r="GX77" s="18"/>
      <c r="GY77" s="18"/>
      <c r="GZ77" s="18"/>
      <c r="HA77" s="18"/>
      <c r="HB77" s="18"/>
      <c r="HC77" s="18"/>
      <c r="HD77" s="18"/>
      <c r="HE77" s="18"/>
      <c r="HF77" s="18"/>
      <c r="HG77" s="18"/>
      <c r="HH77" s="18"/>
      <c r="HI77" s="18"/>
      <c r="HJ77" s="18"/>
      <c r="HK77" s="18"/>
      <c r="HL77" s="18"/>
      <c r="HM77" s="18"/>
      <c r="HN77" s="18"/>
      <c r="HO77" s="18"/>
      <c r="HP77" s="18"/>
      <c r="HQ77" s="18"/>
      <c r="HR77" s="18"/>
      <c r="HS77" s="18"/>
      <c r="HT77" s="18"/>
      <c r="HU77" s="18"/>
      <c r="HV77" s="18"/>
      <c r="HW77" s="18"/>
      <c r="HX77" s="18"/>
      <c r="HY77" s="18"/>
      <c r="HZ77" s="18"/>
      <c r="IA77" s="18"/>
      <c r="IB77" s="18"/>
      <c r="IC77" s="18"/>
      <c r="ID77" s="18"/>
      <c r="IE77" s="18"/>
      <c r="IF77" s="18"/>
      <c r="IG77" s="18"/>
      <c r="IH77" s="18"/>
      <c r="II77" s="18"/>
      <c r="IJ77" s="18"/>
      <c r="IK77" s="18"/>
      <c r="IL77" s="18"/>
      <c r="IM77" s="18"/>
      <c r="IN77" s="18"/>
      <c r="IO77" s="18"/>
      <c r="IP77" s="18"/>
      <c r="IQ77" s="18"/>
      <c r="IR77" s="18"/>
      <c r="IS77" s="18"/>
      <c r="IT77" s="18"/>
      <c r="IU77" s="18"/>
      <c r="IV77" s="18"/>
      <c r="IW77" s="18"/>
      <c r="IX77" s="18"/>
      <c r="IY77" s="18"/>
      <c r="IZ77" s="18"/>
      <c r="JA77" s="18"/>
      <c r="JB77" s="18"/>
      <c r="JC77" s="18"/>
      <c r="JD77" s="18"/>
      <c r="JE77" s="18"/>
      <c r="JF77" s="18"/>
      <c r="JG77" s="18"/>
      <c r="JH77" s="18"/>
      <c r="JI77" s="18"/>
      <c r="JJ77" s="18"/>
      <c r="JK77" s="18"/>
      <c r="JL77" s="18"/>
      <c r="JM77" s="18"/>
      <c r="JN77" s="18"/>
      <c r="JO77" s="18"/>
      <c r="JP77" s="18"/>
      <c r="JQ77" s="18"/>
      <c r="JR77" s="18"/>
      <c r="JS77" s="18"/>
      <c r="JT77" s="18"/>
      <c r="JU77" s="18"/>
      <c r="JV77" s="18"/>
      <c r="JW77" s="18"/>
      <c r="JX77" s="18"/>
      <c r="JY77" s="18"/>
      <c r="JZ77" s="18"/>
      <c r="KA77" s="18"/>
      <c r="KB77" s="18"/>
      <c r="KC77" s="18"/>
      <c r="KD77" s="18"/>
      <c r="KE77" s="18"/>
      <c r="KF77" s="18"/>
      <c r="KG77" s="18"/>
      <c r="KH77" s="18"/>
      <c r="KI77" s="18"/>
      <c r="KJ77" s="18"/>
      <c r="KK77" s="18"/>
      <c r="KL77" s="18"/>
      <c r="KM77" s="18"/>
      <c r="KN77" s="18"/>
      <c r="KO77" s="18"/>
      <c r="KP77" s="18"/>
      <c r="KQ77" s="18"/>
      <c r="KR77" s="18"/>
      <c r="KS77" s="18"/>
      <c r="KT77" s="18"/>
      <c r="KU77" s="18"/>
      <c r="KV77" s="18"/>
      <c r="KW77" s="18"/>
      <c r="KX77" s="18"/>
      <c r="KY77" s="18"/>
      <c r="KZ77" s="18"/>
      <c r="LA77" s="18"/>
      <c r="LB77" s="18"/>
      <c r="LC77" s="18"/>
      <c r="LD77" s="18"/>
      <c r="LE77" s="18"/>
      <c r="LF77" s="18"/>
      <c r="LG77" s="18"/>
      <c r="LH77" s="18"/>
      <c r="LI77" s="18"/>
      <c r="LJ77" s="18"/>
      <c r="LK77" s="18"/>
      <c r="LL77" s="18"/>
      <c r="LM77" s="18"/>
      <c r="LN77" s="18"/>
      <c r="LO77" s="18"/>
      <c r="LP77" s="18"/>
      <c r="LQ77" s="18"/>
      <c r="LR77" s="18"/>
      <c r="LS77" s="18"/>
      <c r="LT77" s="18"/>
      <c r="LU77" s="18"/>
      <c r="LV77" s="18"/>
      <c r="LW77" s="18"/>
      <c r="LX77" s="18"/>
      <c r="LY77" s="18"/>
      <c r="LZ77" s="18"/>
      <c r="MA77" s="18"/>
      <c r="MB77" s="18"/>
      <c r="MC77" s="18"/>
      <c r="MD77" s="18"/>
      <c r="ME77" s="18"/>
      <c r="MF77" s="18"/>
      <c r="MG77" s="18"/>
      <c r="MH77" s="18"/>
      <c r="MI77" s="18"/>
      <c r="MJ77" s="18"/>
      <c r="MK77" s="18"/>
      <c r="ML77" s="18"/>
      <c r="MM77" s="18"/>
      <c r="MN77" s="18"/>
      <c r="MO77" s="18"/>
      <c r="MP77" s="18"/>
      <c r="MQ77" s="18"/>
      <c r="MR77" s="18"/>
      <c r="MS77" s="18"/>
      <c r="MT77" s="18"/>
      <c r="MU77" s="18"/>
      <c r="MV77" s="18"/>
      <c r="MW77" s="18"/>
      <c r="MX77" s="18"/>
      <c r="MY77" s="18"/>
      <c r="MZ77" s="18"/>
      <c r="NA77" s="18"/>
      <c r="NB77" s="18"/>
      <c r="NC77" s="18"/>
      <c r="ND77" s="18"/>
      <c r="NE77" s="18"/>
      <c r="NF77" s="18"/>
      <c r="NG77" s="18"/>
      <c r="NH77" s="18"/>
      <c r="NI77" s="18"/>
      <c r="NJ77" s="18"/>
      <c r="NK77" s="18"/>
      <c r="NL77" s="18"/>
      <c r="NM77" s="18"/>
      <c r="NN77" s="18"/>
      <c r="NO77" s="18"/>
      <c r="NP77" s="18"/>
      <c r="NQ77" s="18"/>
      <c r="NR77" s="18"/>
      <c r="NS77" s="18"/>
      <c r="NT77" s="18"/>
      <c r="NU77" s="18"/>
      <c r="NV77" s="18"/>
      <c r="NW77" s="18"/>
      <c r="NX77" s="18"/>
      <c r="NY77" s="18"/>
      <c r="NZ77" s="18"/>
      <c r="OA77" s="18"/>
      <c r="OB77" s="18"/>
      <c r="OC77" s="18"/>
      <c r="OD77" s="18"/>
      <c r="OE77" s="18"/>
      <c r="OF77" s="18"/>
      <c r="OG77" s="18"/>
      <c r="OH77" s="18"/>
      <c r="OI77" s="18"/>
      <c r="OJ77" s="18"/>
      <c r="OK77" s="18"/>
      <c r="OL77" s="18"/>
      <c r="OM77" s="18"/>
      <c r="ON77" s="18"/>
      <c r="OO77" s="18"/>
      <c r="OP77" s="18"/>
      <c r="OQ77" s="18"/>
      <c r="OR77" s="18"/>
      <c r="OS77" s="18"/>
      <c r="OT77" s="18"/>
      <c r="OU77" s="18"/>
      <c r="OV77" s="18"/>
      <c r="OW77" s="18"/>
      <c r="OX77" s="18"/>
      <c r="OY77" s="18"/>
      <c r="OZ77" s="18"/>
      <c r="PA77" s="18"/>
      <c r="PB77" s="18"/>
      <c r="PC77" s="18"/>
      <c r="PD77" s="18"/>
      <c r="PE77" s="18"/>
      <c r="PF77" s="18"/>
      <c r="PG77" s="18"/>
      <c r="PH77" s="18"/>
      <c r="PI77" s="18"/>
      <c r="PJ77" s="18"/>
      <c r="PK77" s="18"/>
      <c r="PL77" s="18"/>
      <c r="PM77" s="18"/>
      <c r="PN77" s="18"/>
      <c r="PO77" s="18"/>
      <c r="PP77" s="18"/>
      <c r="PQ77" s="18"/>
      <c r="PR77" s="18"/>
      <c r="PS77" s="18"/>
      <c r="PT77" s="18"/>
      <c r="PU77" s="18"/>
      <c r="PV77" s="18"/>
      <c r="PW77" s="18"/>
      <c r="PX77" s="18"/>
      <c r="PY77" s="18"/>
      <c r="PZ77" s="18"/>
      <c r="QA77" s="18"/>
      <c r="QB77" s="18"/>
      <c r="QC77" s="18"/>
      <c r="QD77" s="18"/>
      <c r="QE77" s="18"/>
      <c r="QF77" s="18"/>
      <c r="QG77" s="18"/>
      <c r="QH77" s="18"/>
      <c r="QI77" s="18"/>
      <c r="QJ77" s="18"/>
      <c r="QK77" s="18"/>
      <c r="QL77" s="18"/>
      <c r="QM77" s="18"/>
      <c r="QN77" s="18"/>
      <c r="QO77" s="18"/>
      <c r="QP77" s="18"/>
      <c r="QQ77" s="18"/>
      <c r="QR77" s="18"/>
      <c r="QS77" s="18"/>
      <c r="QT77" s="18"/>
      <c r="QU77" s="18"/>
      <c r="QV77" s="18"/>
      <c r="QW77" s="18"/>
      <c r="QX77" s="18"/>
      <c r="QY77" s="18"/>
      <c r="QZ77" s="18"/>
      <c r="RA77" s="18"/>
      <c r="RB77" s="18"/>
      <c r="RC77" s="18"/>
      <c r="RD77" s="18"/>
      <c r="RE77" s="18"/>
      <c r="RF77" s="18"/>
      <c r="RG77" s="18"/>
      <c r="RH77" s="18"/>
      <c r="RI77" s="18"/>
      <c r="RJ77" s="18"/>
      <c r="RK77" s="18"/>
      <c r="RL77" s="18"/>
      <c r="RM77" s="18"/>
      <c r="RN77" s="18"/>
      <c r="RO77" s="18"/>
      <c r="RP77" s="18"/>
      <c r="RQ77" s="18"/>
      <c r="RR77" s="18"/>
      <c r="RS77" s="18"/>
      <c r="RT77" s="18"/>
      <c r="RU77" s="18"/>
      <c r="RV77" s="18"/>
      <c r="RW77" s="18"/>
      <c r="RX77" s="18"/>
      <c r="RY77" s="18"/>
      <c r="RZ77" s="18"/>
      <c r="SA77" s="18"/>
      <c r="SB77" s="18"/>
      <c r="SC77" s="18"/>
      <c r="SD77" s="18"/>
      <c r="SE77" s="18"/>
      <c r="SF77" s="18"/>
      <c r="SG77" s="18"/>
      <c r="SH77" s="18"/>
      <c r="SI77" s="18"/>
      <c r="SJ77" s="18"/>
      <c r="SK77" s="18"/>
      <c r="SL77" s="18"/>
      <c r="SM77" s="18"/>
      <c r="SN77" s="18"/>
      <c r="SO77" s="18"/>
      <c r="SP77" s="18"/>
      <c r="SQ77" s="18"/>
      <c r="SR77" s="18"/>
      <c r="SS77" s="18"/>
      <c r="ST77" s="18"/>
      <c r="SU77" s="18"/>
      <c r="SV77" s="18"/>
      <c r="SW77" s="18"/>
      <c r="SX77" s="18"/>
      <c r="SY77" s="18"/>
      <c r="SZ77" s="18"/>
      <c r="TA77" s="18"/>
      <c r="TB77" s="18"/>
      <c r="TC77" s="18"/>
      <c r="TD77" s="18"/>
      <c r="TE77" s="18"/>
      <c r="TF77" s="18"/>
      <c r="TG77" s="18"/>
      <c r="TH77" s="18"/>
      <c r="TI77" s="18"/>
      <c r="TJ77" s="18"/>
      <c r="TK77" s="18"/>
      <c r="TL77" s="18"/>
      <c r="TM77" s="18"/>
      <c r="TN77" s="18"/>
      <c r="TO77" s="18"/>
      <c r="TP77" s="18"/>
      <c r="TQ77" s="18"/>
      <c r="TR77" s="18"/>
      <c r="TS77" s="18"/>
      <c r="TT77" s="18"/>
      <c r="TU77" s="18"/>
      <c r="TV77" s="18"/>
      <c r="TW77" s="18"/>
      <c r="TX77" s="18"/>
      <c r="TY77" s="18"/>
      <c r="TZ77" s="18"/>
      <c r="UA77" s="18"/>
      <c r="UB77" s="18"/>
      <c r="UC77" s="18"/>
      <c r="UD77" s="18"/>
      <c r="UE77" s="18"/>
      <c r="UF77" s="18"/>
      <c r="UG77" s="18"/>
      <c r="UH77" s="18"/>
      <c r="UI77" s="18"/>
      <c r="UJ77" s="18"/>
      <c r="UK77" s="18"/>
      <c r="UL77" s="18"/>
      <c r="UM77" s="18"/>
      <c r="UN77" s="18"/>
      <c r="UO77" s="18"/>
      <c r="UP77" s="18"/>
      <c r="UQ77" s="18"/>
      <c r="UR77" s="18"/>
      <c r="US77" s="18"/>
      <c r="UT77" s="18"/>
      <c r="UU77" s="18"/>
      <c r="UV77" s="18"/>
      <c r="UW77" s="18"/>
      <c r="UX77" s="18"/>
      <c r="UY77" s="18"/>
      <c r="UZ77" s="18"/>
      <c r="VA77" s="18"/>
      <c r="VB77" s="18"/>
      <c r="VC77" s="18"/>
      <c r="VD77" s="18"/>
      <c r="VE77" s="18"/>
      <c r="VF77" s="18"/>
      <c r="VG77" s="18"/>
      <c r="VH77" s="18"/>
      <c r="VI77" s="18"/>
      <c r="VJ77" s="18"/>
      <c r="VK77" s="18"/>
      <c r="VL77" s="18"/>
      <c r="VM77" s="18"/>
      <c r="VN77" s="18"/>
      <c r="VO77" s="18"/>
      <c r="VP77" s="18"/>
      <c r="VQ77" s="18"/>
      <c r="VR77" s="18"/>
      <c r="VS77" s="18"/>
      <c r="VT77" s="18"/>
      <c r="VU77" s="18"/>
      <c r="VV77" s="18"/>
      <c r="VW77" s="18"/>
      <c r="VX77" s="18"/>
      <c r="VY77" s="18"/>
      <c r="VZ77" s="18"/>
      <c r="WA77" s="18"/>
      <c r="WB77" s="18"/>
      <c r="WC77" s="18"/>
      <c r="WD77" s="18"/>
      <c r="WE77" s="18"/>
      <c r="WF77" s="18"/>
      <c r="WG77" s="18"/>
      <c r="WH77" s="18"/>
      <c r="WI77" s="18"/>
      <c r="WJ77" s="18"/>
      <c r="WK77" s="18"/>
      <c r="WL77" s="18"/>
      <c r="WM77" s="18"/>
      <c r="WN77" s="18"/>
      <c r="WO77" s="18"/>
      <c r="WP77" s="18"/>
      <c r="WQ77" s="18"/>
      <c r="WR77" s="18"/>
      <c r="WS77" s="18"/>
      <c r="WT77" s="18"/>
      <c r="WU77" s="18"/>
      <c r="WV77" s="18"/>
      <c r="WW77" s="18"/>
      <c r="WX77" s="18"/>
      <c r="WY77" s="18"/>
      <c r="WZ77" s="18"/>
      <c r="XA77" s="18"/>
      <c r="XB77" s="18"/>
      <c r="XC77" s="18"/>
      <c r="XD77" s="18"/>
      <c r="XE77" s="18"/>
      <c r="XF77" s="18"/>
      <c r="XG77" s="18"/>
      <c r="XH77" s="18"/>
      <c r="XI77" s="18"/>
      <c r="XJ77" s="18"/>
      <c r="XK77" s="18"/>
      <c r="XL77" s="18"/>
      <c r="XM77" s="18"/>
      <c r="XN77" s="18"/>
      <c r="XO77" s="18"/>
      <c r="XP77" s="18"/>
      <c r="XQ77" s="18"/>
      <c r="XR77" s="18"/>
      <c r="XS77" s="18"/>
      <c r="XT77" s="18"/>
      <c r="XU77" s="18"/>
      <c r="XV77" s="18"/>
      <c r="XW77" s="18"/>
      <c r="XX77" s="18"/>
      <c r="XY77" s="18"/>
      <c r="XZ77" s="18"/>
      <c r="YA77" s="18"/>
      <c r="YB77" s="18"/>
      <c r="YC77" s="18"/>
      <c r="YD77" s="18"/>
      <c r="YE77" s="18"/>
      <c r="YF77" s="18"/>
      <c r="YG77" s="18"/>
      <c r="YH77" s="18"/>
      <c r="YI77" s="18"/>
      <c r="YJ77" s="18"/>
      <c r="YK77" s="18"/>
      <c r="YL77" s="18"/>
      <c r="YM77" s="18"/>
      <c r="YN77" s="18"/>
      <c r="YO77" s="18"/>
      <c r="YP77" s="18"/>
      <c r="YQ77" s="18"/>
      <c r="YR77" s="18"/>
      <c r="YS77" s="18"/>
      <c r="YT77" s="18"/>
      <c r="YU77" s="18"/>
      <c r="YV77" s="18"/>
      <c r="YW77" s="18"/>
      <c r="YX77" s="18"/>
      <c r="YY77" s="18"/>
      <c r="YZ77" s="18"/>
      <c r="ZA77" s="18"/>
      <c r="ZB77" s="18"/>
      <c r="ZC77" s="18"/>
      <c r="ZD77" s="18"/>
      <c r="ZE77" s="18"/>
      <c r="ZF77" s="18"/>
      <c r="ZG77" s="18"/>
      <c r="ZH77" s="18"/>
      <c r="ZI77" s="18"/>
      <c r="ZJ77" s="18"/>
      <c r="ZK77" s="18"/>
      <c r="ZL77" s="18"/>
      <c r="ZM77" s="18"/>
      <c r="ZN77" s="18"/>
      <c r="ZO77" s="18"/>
      <c r="ZP77" s="18"/>
      <c r="ZQ77" s="18"/>
      <c r="ZR77" s="18"/>
      <c r="ZS77" s="18"/>
      <c r="ZT77" s="18"/>
      <c r="ZU77" s="18"/>
      <c r="ZV77" s="18"/>
      <c r="ZW77" s="18"/>
      <c r="ZX77" s="18"/>
      <c r="ZY77" s="18"/>
      <c r="ZZ77" s="18"/>
      <c r="AAA77" s="18"/>
      <c r="AAB77" s="18"/>
      <c r="AAC77" s="18"/>
      <c r="AAD77" s="18"/>
      <c r="AAE77" s="18"/>
      <c r="AAF77" s="18"/>
      <c r="AAG77" s="18"/>
      <c r="AAH77" s="18"/>
      <c r="AAI77" s="18"/>
      <c r="AAJ77" s="18"/>
      <c r="AAK77" s="18"/>
      <c r="AAL77" s="18"/>
      <c r="AAM77" s="18"/>
      <c r="AAN77" s="18"/>
      <c r="AAO77" s="18"/>
      <c r="AAP77" s="18"/>
      <c r="AAQ77" s="18"/>
      <c r="AAR77" s="18"/>
      <c r="AAS77" s="18"/>
      <c r="AAT77" s="18"/>
      <c r="AAU77" s="18"/>
      <c r="AAV77" s="18"/>
      <c r="AAW77" s="18"/>
      <c r="AAX77" s="18"/>
      <c r="AAY77" s="18"/>
      <c r="AAZ77" s="18"/>
      <c r="ABA77" s="18"/>
      <c r="ABB77" s="18"/>
      <c r="ABC77" s="18"/>
      <c r="ABD77" s="18"/>
      <c r="ABE77" s="18"/>
      <c r="ABF77" s="18"/>
      <c r="ABG77" s="18"/>
      <c r="ABH77" s="18"/>
      <c r="ABI77" s="18"/>
      <c r="ABJ77" s="18"/>
      <c r="ABK77" s="18"/>
      <c r="ABL77" s="18"/>
      <c r="ABM77" s="18"/>
      <c r="ABN77" s="18"/>
      <c r="ABO77" s="18"/>
      <c r="ABP77" s="18"/>
      <c r="ABQ77" s="18"/>
      <c r="ABR77" s="18"/>
      <c r="ABS77" s="18"/>
      <c r="ABT77" s="18"/>
      <c r="ABU77" s="18"/>
      <c r="ABV77" s="18"/>
      <c r="ABW77" s="18"/>
      <c r="ABX77" s="18"/>
      <c r="ABY77" s="18"/>
      <c r="ABZ77" s="18"/>
      <c r="ACA77" s="18"/>
      <c r="ACB77" s="18"/>
      <c r="ACC77" s="18"/>
      <c r="ACD77" s="18"/>
      <c r="ACE77" s="18"/>
      <c r="ACF77" s="18"/>
      <c r="ACG77" s="18"/>
      <c r="ACH77" s="18"/>
      <c r="ACI77" s="18"/>
      <c r="ACJ77" s="18"/>
      <c r="ACK77" s="18"/>
      <c r="ACL77" s="18"/>
      <c r="ACM77" s="18"/>
      <c r="ACN77" s="18"/>
      <c r="ACO77" s="18"/>
      <c r="ACP77" s="18"/>
      <c r="ACQ77" s="18"/>
      <c r="ACR77" s="18"/>
      <c r="ACS77" s="18"/>
      <c r="ACT77" s="18"/>
      <c r="ACU77" s="18"/>
      <c r="ACV77" s="18"/>
      <c r="ACW77" s="18"/>
      <c r="ACX77" s="18"/>
      <c r="ACY77" s="18"/>
      <c r="ACZ77" s="18"/>
      <c r="ADA77" s="18"/>
      <c r="ADB77" s="18"/>
      <c r="ADC77" s="18"/>
      <c r="ADD77" s="18"/>
      <c r="ADE77" s="18"/>
      <c r="ADF77" s="18"/>
      <c r="ADG77" s="18"/>
      <c r="ADH77" s="18"/>
      <c r="ADI77" s="18"/>
      <c r="ADJ77" s="18"/>
      <c r="ADK77" s="18"/>
      <c r="ADL77" s="18"/>
      <c r="ADM77" s="18"/>
      <c r="ADN77" s="18"/>
      <c r="ADO77" s="18"/>
      <c r="ADP77" s="18"/>
      <c r="ADQ77" s="18"/>
      <c r="ADR77" s="18"/>
      <c r="ADS77" s="18"/>
      <c r="ADT77" s="18"/>
      <c r="ADU77" s="18"/>
      <c r="ADV77" s="18"/>
      <c r="ADW77" s="18"/>
      <c r="ADX77" s="18"/>
      <c r="ADY77" s="18"/>
      <c r="ADZ77" s="18"/>
      <c r="AEA77" s="18"/>
      <c r="AEB77" s="18"/>
      <c r="AEC77" s="18"/>
      <c r="AED77" s="18"/>
      <c r="AEE77" s="18"/>
      <c r="AEF77" s="18"/>
      <c r="AEG77" s="18"/>
      <c r="AEH77" s="18"/>
      <c r="AEI77" s="18"/>
      <c r="AEJ77" s="18"/>
      <c r="AEK77" s="18"/>
      <c r="AEL77" s="18"/>
      <c r="AEM77" s="18"/>
      <c r="AEN77" s="18"/>
      <c r="AEO77" s="18"/>
      <c r="AEP77" s="18"/>
      <c r="AEQ77" s="18"/>
      <c r="AER77" s="18"/>
      <c r="AES77" s="18"/>
      <c r="AET77" s="18"/>
      <c r="AEU77" s="18"/>
      <c r="AEV77" s="18"/>
      <c r="AEW77" s="18"/>
      <c r="AEX77" s="18"/>
      <c r="AEY77" s="18"/>
      <c r="AEZ77" s="18"/>
      <c r="AFA77" s="18"/>
      <c r="AFB77" s="18"/>
      <c r="AFC77" s="18"/>
      <c r="AFD77" s="18"/>
      <c r="AFE77" s="18"/>
      <c r="AFF77" s="18"/>
      <c r="AFG77" s="18"/>
      <c r="AFH77" s="18"/>
      <c r="AFI77" s="18"/>
      <c r="AFJ77" s="18"/>
      <c r="AFK77" s="18"/>
      <c r="AFL77" s="18"/>
      <c r="AFM77" s="18"/>
      <c r="AFN77" s="18"/>
      <c r="AFO77" s="18"/>
      <c r="AFP77" s="18"/>
      <c r="AFQ77" s="18"/>
      <c r="AFR77" s="18"/>
      <c r="AFS77" s="18"/>
      <c r="AFT77" s="18"/>
      <c r="AFU77" s="18"/>
      <c r="AFV77" s="18"/>
      <c r="AFW77" s="18"/>
      <c r="AFX77" s="18"/>
      <c r="AFY77" s="18"/>
      <c r="AFZ77" s="18"/>
      <c r="AGA77" s="18"/>
      <c r="AGB77" s="18"/>
      <c r="AGC77" s="18"/>
      <c r="AGD77" s="18"/>
      <c r="AGE77" s="18"/>
      <c r="AGF77" s="18"/>
      <c r="AGG77" s="18"/>
      <c r="AGH77" s="18"/>
      <c r="AGI77" s="18"/>
      <c r="AGJ77" s="18"/>
      <c r="AGK77" s="18"/>
      <c r="AGL77" s="18"/>
      <c r="AGM77" s="18"/>
      <c r="AGN77" s="18"/>
      <c r="AGO77" s="18"/>
      <c r="AGP77" s="18"/>
      <c r="AGQ77" s="18"/>
      <c r="AGR77" s="18"/>
      <c r="AGS77" s="18"/>
      <c r="AGT77" s="18"/>
      <c r="AGU77" s="18"/>
      <c r="AGV77" s="18"/>
      <c r="AGW77" s="18"/>
      <c r="AGX77" s="18"/>
      <c r="AGY77" s="18"/>
      <c r="AGZ77" s="18"/>
      <c r="AHA77" s="18"/>
      <c r="AHB77" s="18"/>
      <c r="AHC77" s="18"/>
      <c r="AHD77" s="18"/>
      <c r="AHE77" s="18"/>
      <c r="AHF77" s="18"/>
      <c r="AHG77" s="18"/>
      <c r="AHH77" s="18"/>
      <c r="AHI77" s="18"/>
      <c r="AHJ77" s="18"/>
      <c r="AHK77" s="18"/>
      <c r="AHL77" s="18"/>
      <c r="AHM77" s="18"/>
      <c r="AHN77" s="18"/>
      <c r="AHO77" s="18"/>
      <c r="AHP77" s="18"/>
      <c r="AHQ77" s="18"/>
      <c r="AHR77" s="18"/>
      <c r="AHS77" s="18"/>
      <c r="AHT77" s="18"/>
      <c r="AHU77" s="18"/>
      <c r="AHV77" s="18"/>
      <c r="AHW77" s="18"/>
      <c r="AHX77" s="18"/>
      <c r="AHY77" s="18"/>
      <c r="AHZ77" s="18"/>
      <c r="AIA77" s="18"/>
      <c r="AIB77" s="18"/>
      <c r="AIC77" s="18"/>
      <c r="AID77" s="18"/>
      <c r="AIE77" s="18"/>
      <c r="AIF77" s="18"/>
      <c r="AIG77" s="18"/>
      <c r="AIH77" s="18"/>
      <c r="AII77" s="18"/>
      <c r="AIJ77" s="18"/>
      <c r="AIK77" s="18"/>
      <c r="AIL77" s="18"/>
      <c r="AIM77" s="18"/>
      <c r="AIN77" s="18"/>
      <c r="AIO77" s="18"/>
      <c r="AIP77" s="18"/>
      <c r="AIQ77" s="18"/>
      <c r="AIR77" s="18"/>
      <c r="AIS77" s="18"/>
      <c r="AIT77" s="18"/>
      <c r="AIU77" s="18"/>
      <c r="AIV77" s="18"/>
      <c r="AIW77" s="18"/>
      <c r="AIX77" s="18"/>
      <c r="AIY77" s="18"/>
      <c r="AIZ77" s="18"/>
      <c r="AJA77" s="18"/>
      <c r="AJB77" s="18"/>
      <c r="AJC77" s="18"/>
      <c r="AJD77" s="18"/>
      <c r="AJE77" s="18"/>
      <c r="AJF77" s="18"/>
      <c r="AJG77" s="18"/>
      <c r="AJH77" s="18"/>
      <c r="AJI77" s="18"/>
      <c r="AJJ77" s="18"/>
      <c r="AJK77" s="18"/>
      <c r="AJL77" s="18"/>
      <c r="AJM77" s="18"/>
      <c r="AJN77" s="18"/>
      <c r="AJO77" s="18"/>
      <c r="AJP77" s="18"/>
      <c r="AJQ77" s="18"/>
      <c r="AJR77" s="18"/>
      <c r="AJS77" s="18"/>
      <c r="AJT77" s="18"/>
      <c r="AJU77" s="18"/>
      <c r="AJV77" s="18"/>
      <c r="AJW77" s="18"/>
      <c r="AJX77" s="18"/>
      <c r="AJY77" s="18"/>
      <c r="AJZ77" s="18"/>
      <c r="AKA77" s="18"/>
      <c r="AKB77" s="18"/>
      <c r="AKC77" s="18"/>
      <c r="AKD77" s="18"/>
      <c r="AKE77" s="18"/>
      <c r="AKF77" s="18"/>
      <c r="AKG77" s="18"/>
      <c r="AKH77" s="18"/>
      <c r="AKI77" s="18"/>
      <c r="AKJ77" s="18"/>
      <c r="AKK77" s="18"/>
      <c r="AKL77" s="18"/>
      <c r="AKM77" s="18"/>
      <c r="AKN77" s="18"/>
      <c r="AKO77" s="18"/>
      <c r="AKP77" s="18"/>
      <c r="AKQ77" s="18"/>
      <c r="AKR77" s="18"/>
      <c r="AKS77" s="18"/>
      <c r="AKT77" s="18"/>
      <c r="AKU77" s="18"/>
      <c r="AKV77" s="18"/>
      <c r="AKW77" s="18"/>
      <c r="AKX77" s="18"/>
      <c r="AKY77" s="18"/>
      <c r="AKZ77" s="18"/>
      <c r="ALA77" s="18"/>
      <c r="ALB77" s="18"/>
      <c r="ALC77" s="18"/>
      <c r="ALD77" s="18"/>
      <c r="ALE77" s="18"/>
      <c r="ALF77" s="18"/>
      <c r="ALG77" s="18"/>
      <c r="ALH77" s="18"/>
      <c r="ALI77" s="18"/>
      <c r="ALJ77" s="18"/>
      <c r="ALK77" s="18"/>
      <c r="ALL77" s="18"/>
      <c r="ALM77" s="18"/>
      <c r="ALN77" s="18"/>
      <c r="ALO77" s="18"/>
      <c r="ALP77" s="18"/>
      <c r="ALQ77" s="18"/>
      <c r="ALR77" s="18"/>
      <c r="ALS77" s="18"/>
      <c r="ALT77" s="18"/>
      <c r="ALU77" s="18"/>
      <c r="ALV77" s="18"/>
      <c r="ALW77" s="18"/>
      <c r="ALX77" s="18"/>
      <c r="ALY77" s="18"/>
      <c r="ALZ77" s="18"/>
      <c r="AMA77" s="18"/>
      <c r="AMB77" s="18"/>
      <c r="AMC77" s="18"/>
      <c r="AMD77" s="18"/>
      <c r="AME77" s="18"/>
      <c r="AMF77" s="18"/>
      <c r="AMG77" s="18"/>
      <c r="AMH77" s="18"/>
    </row>
    <row r="78" spans="1:1022" s="23" customFormat="1" x14ac:dyDescent="0.3">
      <c r="A78" s="33">
        <v>174</v>
      </c>
      <c r="B78" s="19"/>
      <c r="C78" s="19"/>
      <c r="D78" s="34" t="s">
        <v>347</v>
      </c>
      <c r="E78" s="34" t="s">
        <v>497</v>
      </c>
      <c r="F78" s="43">
        <v>135</v>
      </c>
      <c r="G78" s="19"/>
      <c r="H78" s="48" t="s">
        <v>281</v>
      </c>
      <c r="I78" s="31"/>
      <c r="J78" s="31"/>
      <c r="K78" s="31"/>
      <c r="L78" s="31"/>
      <c r="M78" s="32"/>
      <c r="N78" s="32"/>
      <c r="O78" s="18"/>
      <c r="P78" s="36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18"/>
      <c r="CI78" s="18"/>
      <c r="CJ78" s="18"/>
      <c r="CK78" s="18"/>
      <c r="CL78" s="18"/>
      <c r="CM78" s="18"/>
      <c r="CN78" s="18"/>
      <c r="CO78" s="18"/>
      <c r="CP78" s="18"/>
      <c r="CQ78" s="18"/>
      <c r="CR78" s="18"/>
      <c r="CS78" s="18"/>
      <c r="CT78" s="18"/>
      <c r="CU78" s="18"/>
      <c r="CV78" s="18"/>
      <c r="CW78" s="18"/>
      <c r="CX78" s="18"/>
      <c r="CY78" s="18"/>
      <c r="CZ78" s="18"/>
      <c r="DA78" s="18"/>
      <c r="DB78" s="18"/>
      <c r="DC78" s="18"/>
      <c r="DD78" s="18"/>
      <c r="DE78" s="18"/>
      <c r="DF78" s="18"/>
      <c r="DG78" s="18"/>
      <c r="DH78" s="18"/>
      <c r="DI78" s="18"/>
      <c r="DJ78" s="18"/>
      <c r="DK78" s="18"/>
      <c r="DL78" s="18"/>
      <c r="DM78" s="18"/>
      <c r="DN78" s="18"/>
      <c r="DO78" s="18"/>
      <c r="DP78" s="18"/>
      <c r="DQ78" s="18"/>
      <c r="DR78" s="18"/>
      <c r="DS78" s="18"/>
      <c r="DT78" s="18"/>
      <c r="DU78" s="18"/>
      <c r="DV78" s="18"/>
      <c r="DW78" s="18"/>
      <c r="DX78" s="18"/>
      <c r="DY78" s="18"/>
      <c r="DZ78" s="18"/>
      <c r="EA78" s="18"/>
      <c r="EB78" s="18"/>
      <c r="EC78" s="18"/>
      <c r="ED78" s="18"/>
      <c r="EE78" s="18"/>
      <c r="EF78" s="18"/>
      <c r="EG78" s="18"/>
      <c r="EH78" s="18"/>
      <c r="EI78" s="18"/>
      <c r="EJ78" s="18"/>
      <c r="EK78" s="18"/>
      <c r="EL78" s="18"/>
      <c r="EM78" s="18"/>
      <c r="EN78" s="18"/>
      <c r="EO78" s="18"/>
      <c r="EP78" s="18"/>
      <c r="EQ78" s="18"/>
      <c r="ER78" s="18"/>
      <c r="ES78" s="18"/>
      <c r="ET78" s="18"/>
      <c r="EU78" s="18"/>
      <c r="EV78" s="18"/>
      <c r="EW78" s="18"/>
      <c r="EX78" s="18"/>
      <c r="EY78" s="18"/>
      <c r="EZ78" s="18"/>
      <c r="FA78" s="18"/>
      <c r="FB78" s="18"/>
      <c r="FC78" s="18"/>
      <c r="FD78" s="18"/>
      <c r="FE78" s="18"/>
      <c r="FF78" s="18"/>
      <c r="FG78" s="18"/>
      <c r="FH78" s="18"/>
      <c r="FI78" s="18"/>
      <c r="FJ78" s="18"/>
      <c r="FK78" s="18"/>
      <c r="FL78" s="18"/>
      <c r="FM78" s="18"/>
      <c r="FN78" s="18"/>
      <c r="FO78" s="18"/>
      <c r="FP78" s="18"/>
      <c r="FQ78" s="18"/>
      <c r="FR78" s="18"/>
      <c r="FS78" s="18"/>
      <c r="FT78" s="18"/>
      <c r="FU78" s="18"/>
      <c r="FV78" s="18"/>
      <c r="FW78" s="18"/>
      <c r="FX78" s="18"/>
      <c r="FY78" s="18"/>
      <c r="FZ78" s="18"/>
      <c r="GA78" s="18"/>
      <c r="GB78" s="18"/>
      <c r="GC78" s="18"/>
      <c r="GD78" s="18"/>
      <c r="GE78" s="18"/>
      <c r="GF78" s="18"/>
      <c r="GG78" s="18"/>
      <c r="GH78" s="18"/>
      <c r="GI78" s="18"/>
      <c r="GJ78" s="18"/>
      <c r="GK78" s="18"/>
      <c r="GL78" s="18"/>
      <c r="GM78" s="18"/>
      <c r="GN78" s="18"/>
      <c r="GO78" s="18"/>
      <c r="GP78" s="18"/>
      <c r="GQ78" s="18"/>
      <c r="GR78" s="18"/>
      <c r="GS78" s="18"/>
      <c r="GT78" s="18"/>
      <c r="GU78" s="18"/>
      <c r="GV78" s="18"/>
      <c r="GW78" s="18"/>
      <c r="GX78" s="18"/>
      <c r="GY78" s="18"/>
      <c r="GZ78" s="18"/>
      <c r="HA78" s="18"/>
      <c r="HB78" s="18"/>
      <c r="HC78" s="18"/>
      <c r="HD78" s="18"/>
      <c r="HE78" s="18"/>
      <c r="HF78" s="18"/>
      <c r="HG78" s="18"/>
      <c r="HH78" s="18"/>
      <c r="HI78" s="18"/>
      <c r="HJ78" s="18"/>
      <c r="HK78" s="18"/>
      <c r="HL78" s="18"/>
      <c r="HM78" s="18"/>
      <c r="HN78" s="18"/>
      <c r="HO78" s="18"/>
      <c r="HP78" s="18"/>
      <c r="HQ78" s="18"/>
      <c r="HR78" s="18"/>
      <c r="HS78" s="18"/>
      <c r="HT78" s="18"/>
      <c r="HU78" s="18"/>
      <c r="HV78" s="18"/>
      <c r="HW78" s="18"/>
      <c r="HX78" s="18"/>
      <c r="HY78" s="18"/>
      <c r="HZ78" s="18"/>
      <c r="IA78" s="18"/>
      <c r="IB78" s="18"/>
      <c r="IC78" s="18"/>
      <c r="ID78" s="18"/>
      <c r="IE78" s="18"/>
      <c r="IF78" s="18"/>
      <c r="IG78" s="18"/>
      <c r="IH78" s="18"/>
      <c r="II78" s="18"/>
      <c r="IJ78" s="18"/>
      <c r="IK78" s="18"/>
      <c r="IL78" s="18"/>
      <c r="IM78" s="18"/>
      <c r="IN78" s="18"/>
      <c r="IO78" s="18"/>
      <c r="IP78" s="18"/>
      <c r="IQ78" s="18"/>
      <c r="IR78" s="18"/>
      <c r="IS78" s="18"/>
      <c r="IT78" s="18"/>
      <c r="IU78" s="18"/>
      <c r="IV78" s="18"/>
      <c r="IW78" s="18"/>
      <c r="IX78" s="18"/>
      <c r="IY78" s="18"/>
      <c r="IZ78" s="18"/>
      <c r="JA78" s="18"/>
      <c r="JB78" s="18"/>
      <c r="JC78" s="18"/>
      <c r="JD78" s="18"/>
      <c r="JE78" s="18"/>
      <c r="JF78" s="18"/>
      <c r="JG78" s="18"/>
      <c r="JH78" s="18"/>
      <c r="JI78" s="18"/>
      <c r="JJ78" s="18"/>
      <c r="JK78" s="18"/>
      <c r="JL78" s="18"/>
      <c r="JM78" s="18"/>
      <c r="JN78" s="18"/>
      <c r="JO78" s="18"/>
      <c r="JP78" s="18"/>
      <c r="JQ78" s="18"/>
      <c r="JR78" s="18"/>
      <c r="JS78" s="18"/>
      <c r="JT78" s="18"/>
      <c r="JU78" s="18"/>
      <c r="JV78" s="18"/>
      <c r="JW78" s="18"/>
      <c r="JX78" s="18"/>
      <c r="JY78" s="18"/>
      <c r="JZ78" s="18"/>
      <c r="KA78" s="18"/>
      <c r="KB78" s="18"/>
      <c r="KC78" s="18"/>
      <c r="KD78" s="18"/>
      <c r="KE78" s="18"/>
      <c r="KF78" s="18"/>
      <c r="KG78" s="18"/>
      <c r="KH78" s="18"/>
      <c r="KI78" s="18"/>
      <c r="KJ78" s="18"/>
      <c r="KK78" s="18"/>
      <c r="KL78" s="18"/>
      <c r="KM78" s="18"/>
      <c r="KN78" s="18"/>
      <c r="KO78" s="18"/>
      <c r="KP78" s="18"/>
      <c r="KQ78" s="18"/>
      <c r="KR78" s="18"/>
      <c r="KS78" s="18"/>
      <c r="KT78" s="18"/>
      <c r="KU78" s="18"/>
      <c r="KV78" s="18"/>
      <c r="KW78" s="18"/>
      <c r="KX78" s="18"/>
      <c r="KY78" s="18"/>
      <c r="KZ78" s="18"/>
      <c r="LA78" s="18"/>
      <c r="LB78" s="18"/>
      <c r="LC78" s="18"/>
      <c r="LD78" s="18"/>
      <c r="LE78" s="18"/>
      <c r="LF78" s="18"/>
      <c r="LG78" s="18"/>
      <c r="LH78" s="18"/>
      <c r="LI78" s="18"/>
      <c r="LJ78" s="18"/>
      <c r="LK78" s="18"/>
      <c r="LL78" s="18"/>
      <c r="LM78" s="18"/>
      <c r="LN78" s="18"/>
      <c r="LO78" s="18"/>
      <c r="LP78" s="18"/>
      <c r="LQ78" s="18"/>
      <c r="LR78" s="18"/>
      <c r="LS78" s="18"/>
      <c r="LT78" s="18"/>
      <c r="LU78" s="18"/>
      <c r="LV78" s="18"/>
      <c r="LW78" s="18"/>
      <c r="LX78" s="18"/>
      <c r="LY78" s="18"/>
      <c r="LZ78" s="18"/>
      <c r="MA78" s="18"/>
      <c r="MB78" s="18"/>
      <c r="MC78" s="18"/>
      <c r="MD78" s="18"/>
      <c r="ME78" s="18"/>
      <c r="MF78" s="18"/>
      <c r="MG78" s="18"/>
      <c r="MH78" s="18"/>
      <c r="MI78" s="18"/>
      <c r="MJ78" s="18"/>
      <c r="MK78" s="18"/>
      <c r="ML78" s="18"/>
      <c r="MM78" s="18"/>
      <c r="MN78" s="18"/>
      <c r="MO78" s="18"/>
      <c r="MP78" s="18"/>
      <c r="MQ78" s="18"/>
      <c r="MR78" s="18"/>
      <c r="MS78" s="18"/>
      <c r="MT78" s="18"/>
      <c r="MU78" s="18"/>
      <c r="MV78" s="18"/>
      <c r="MW78" s="18"/>
      <c r="MX78" s="18"/>
      <c r="MY78" s="18"/>
      <c r="MZ78" s="18"/>
      <c r="NA78" s="18"/>
      <c r="NB78" s="18"/>
      <c r="NC78" s="18"/>
      <c r="ND78" s="18"/>
      <c r="NE78" s="18"/>
      <c r="NF78" s="18"/>
      <c r="NG78" s="18"/>
      <c r="NH78" s="18"/>
      <c r="NI78" s="18"/>
      <c r="NJ78" s="18"/>
      <c r="NK78" s="18"/>
      <c r="NL78" s="18"/>
      <c r="NM78" s="18"/>
      <c r="NN78" s="18"/>
      <c r="NO78" s="18"/>
      <c r="NP78" s="18"/>
      <c r="NQ78" s="18"/>
      <c r="NR78" s="18"/>
      <c r="NS78" s="18"/>
      <c r="NT78" s="18"/>
      <c r="NU78" s="18"/>
      <c r="NV78" s="18"/>
      <c r="NW78" s="18"/>
      <c r="NX78" s="18"/>
      <c r="NY78" s="18"/>
      <c r="NZ78" s="18"/>
      <c r="OA78" s="18"/>
      <c r="OB78" s="18"/>
      <c r="OC78" s="18"/>
      <c r="OD78" s="18"/>
      <c r="OE78" s="18"/>
      <c r="OF78" s="18"/>
      <c r="OG78" s="18"/>
      <c r="OH78" s="18"/>
      <c r="OI78" s="18"/>
      <c r="OJ78" s="18"/>
      <c r="OK78" s="18"/>
      <c r="OL78" s="18"/>
      <c r="OM78" s="18"/>
      <c r="ON78" s="18"/>
      <c r="OO78" s="18"/>
      <c r="OP78" s="18"/>
      <c r="OQ78" s="18"/>
      <c r="OR78" s="18"/>
      <c r="OS78" s="18"/>
      <c r="OT78" s="18"/>
      <c r="OU78" s="18"/>
      <c r="OV78" s="18"/>
      <c r="OW78" s="18"/>
      <c r="OX78" s="18"/>
      <c r="OY78" s="18"/>
      <c r="OZ78" s="18"/>
      <c r="PA78" s="18"/>
      <c r="PB78" s="18"/>
      <c r="PC78" s="18"/>
      <c r="PD78" s="18"/>
      <c r="PE78" s="18"/>
      <c r="PF78" s="18"/>
      <c r="PG78" s="18"/>
      <c r="PH78" s="18"/>
      <c r="PI78" s="18"/>
      <c r="PJ78" s="18"/>
      <c r="PK78" s="18"/>
      <c r="PL78" s="18"/>
      <c r="PM78" s="18"/>
      <c r="PN78" s="18"/>
      <c r="PO78" s="18"/>
      <c r="PP78" s="18"/>
      <c r="PQ78" s="18"/>
      <c r="PR78" s="18"/>
      <c r="PS78" s="18"/>
      <c r="PT78" s="18"/>
      <c r="PU78" s="18"/>
      <c r="PV78" s="18"/>
      <c r="PW78" s="18"/>
      <c r="PX78" s="18"/>
      <c r="PY78" s="18"/>
      <c r="PZ78" s="18"/>
      <c r="QA78" s="18"/>
      <c r="QB78" s="18"/>
      <c r="QC78" s="18"/>
      <c r="QD78" s="18"/>
      <c r="QE78" s="18"/>
      <c r="QF78" s="18"/>
      <c r="QG78" s="18"/>
      <c r="QH78" s="18"/>
      <c r="QI78" s="18"/>
      <c r="QJ78" s="18"/>
      <c r="QK78" s="18"/>
      <c r="QL78" s="18"/>
      <c r="QM78" s="18"/>
      <c r="QN78" s="18"/>
      <c r="QO78" s="18"/>
      <c r="QP78" s="18"/>
      <c r="QQ78" s="18"/>
      <c r="QR78" s="18"/>
      <c r="QS78" s="18"/>
      <c r="QT78" s="18"/>
      <c r="QU78" s="18"/>
      <c r="QV78" s="18"/>
      <c r="QW78" s="18"/>
      <c r="QX78" s="18"/>
      <c r="QY78" s="18"/>
      <c r="QZ78" s="18"/>
      <c r="RA78" s="18"/>
      <c r="RB78" s="18"/>
      <c r="RC78" s="18"/>
      <c r="RD78" s="18"/>
      <c r="RE78" s="18"/>
      <c r="RF78" s="18"/>
      <c r="RG78" s="18"/>
      <c r="RH78" s="18"/>
      <c r="RI78" s="18"/>
      <c r="RJ78" s="18"/>
      <c r="RK78" s="18"/>
      <c r="RL78" s="18"/>
      <c r="RM78" s="18"/>
      <c r="RN78" s="18"/>
      <c r="RO78" s="18"/>
      <c r="RP78" s="18"/>
      <c r="RQ78" s="18"/>
      <c r="RR78" s="18"/>
      <c r="RS78" s="18"/>
      <c r="RT78" s="18"/>
      <c r="RU78" s="18"/>
      <c r="RV78" s="18"/>
      <c r="RW78" s="18"/>
      <c r="RX78" s="18"/>
      <c r="RY78" s="18"/>
      <c r="RZ78" s="18"/>
      <c r="SA78" s="18"/>
      <c r="SB78" s="18"/>
      <c r="SC78" s="18"/>
      <c r="SD78" s="18"/>
      <c r="SE78" s="18"/>
      <c r="SF78" s="18"/>
      <c r="SG78" s="18"/>
      <c r="SH78" s="18"/>
      <c r="SI78" s="18"/>
      <c r="SJ78" s="18"/>
      <c r="SK78" s="18"/>
      <c r="SL78" s="18"/>
      <c r="SM78" s="18"/>
      <c r="SN78" s="18"/>
      <c r="SO78" s="18"/>
      <c r="SP78" s="18"/>
      <c r="SQ78" s="18"/>
      <c r="SR78" s="18"/>
      <c r="SS78" s="18"/>
      <c r="ST78" s="18"/>
      <c r="SU78" s="18"/>
      <c r="SV78" s="18"/>
      <c r="SW78" s="18"/>
      <c r="SX78" s="18"/>
      <c r="SY78" s="18"/>
      <c r="SZ78" s="18"/>
      <c r="TA78" s="18"/>
      <c r="TB78" s="18"/>
      <c r="TC78" s="18"/>
      <c r="TD78" s="18"/>
      <c r="TE78" s="18"/>
      <c r="TF78" s="18"/>
      <c r="TG78" s="18"/>
      <c r="TH78" s="18"/>
      <c r="TI78" s="18"/>
      <c r="TJ78" s="18"/>
      <c r="TK78" s="18"/>
      <c r="TL78" s="18"/>
      <c r="TM78" s="18"/>
      <c r="TN78" s="18"/>
      <c r="TO78" s="18"/>
      <c r="TP78" s="18"/>
      <c r="TQ78" s="18"/>
      <c r="TR78" s="18"/>
      <c r="TS78" s="18"/>
      <c r="TT78" s="18"/>
      <c r="TU78" s="18"/>
      <c r="TV78" s="18"/>
      <c r="TW78" s="18"/>
      <c r="TX78" s="18"/>
      <c r="TY78" s="18"/>
      <c r="TZ78" s="18"/>
      <c r="UA78" s="18"/>
      <c r="UB78" s="18"/>
      <c r="UC78" s="18"/>
      <c r="UD78" s="18"/>
      <c r="UE78" s="18"/>
      <c r="UF78" s="18"/>
      <c r="UG78" s="18"/>
      <c r="UH78" s="18"/>
      <c r="UI78" s="18"/>
      <c r="UJ78" s="18"/>
      <c r="UK78" s="18"/>
      <c r="UL78" s="18"/>
      <c r="UM78" s="18"/>
      <c r="UN78" s="18"/>
      <c r="UO78" s="18"/>
      <c r="UP78" s="18"/>
      <c r="UQ78" s="18"/>
      <c r="UR78" s="18"/>
      <c r="US78" s="18"/>
      <c r="UT78" s="18"/>
      <c r="UU78" s="18"/>
      <c r="UV78" s="18"/>
      <c r="UW78" s="18"/>
      <c r="UX78" s="18"/>
      <c r="UY78" s="18"/>
      <c r="UZ78" s="18"/>
      <c r="VA78" s="18"/>
      <c r="VB78" s="18"/>
      <c r="VC78" s="18"/>
      <c r="VD78" s="18"/>
      <c r="VE78" s="18"/>
      <c r="VF78" s="18"/>
      <c r="VG78" s="18"/>
      <c r="VH78" s="18"/>
      <c r="VI78" s="18"/>
      <c r="VJ78" s="18"/>
      <c r="VK78" s="18"/>
      <c r="VL78" s="18"/>
      <c r="VM78" s="18"/>
      <c r="VN78" s="18"/>
      <c r="VO78" s="18"/>
      <c r="VP78" s="18"/>
      <c r="VQ78" s="18"/>
      <c r="VR78" s="18"/>
      <c r="VS78" s="18"/>
      <c r="VT78" s="18"/>
      <c r="VU78" s="18"/>
      <c r="VV78" s="18"/>
      <c r="VW78" s="18"/>
      <c r="VX78" s="18"/>
      <c r="VY78" s="18"/>
      <c r="VZ78" s="18"/>
      <c r="WA78" s="18"/>
      <c r="WB78" s="18"/>
      <c r="WC78" s="18"/>
      <c r="WD78" s="18"/>
      <c r="WE78" s="18"/>
      <c r="WF78" s="18"/>
      <c r="WG78" s="18"/>
      <c r="WH78" s="18"/>
      <c r="WI78" s="18"/>
      <c r="WJ78" s="18"/>
      <c r="WK78" s="18"/>
      <c r="WL78" s="18"/>
      <c r="WM78" s="18"/>
      <c r="WN78" s="18"/>
      <c r="WO78" s="18"/>
      <c r="WP78" s="18"/>
      <c r="WQ78" s="18"/>
      <c r="WR78" s="18"/>
      <c r="WS78" s="18"/>
      <c r="WT78" s="18"/>
      <c r="WU78" s="18"/>
      <c r="WV78" s="18"/>
      <c r="WW78" s="18"/>
      <c r="WX78" s="18"/>
      <c r="WY78" s="18"/>
      <c r="WZ78" s="18"/>
      <c r="XA78" s="18"/>
      <c r="XB78" s="18"/>
      <c r="XC78" s="18"/>
      <c r="XD78" s="18"/>
      <c r="XE78" s="18"/>
      <c r="XF78" s="18"/>
      <c r="XG78" s="18"/>
      <c r="XH78" s="18"/>
      <c r="XI78" s="18"/>
      <c r="XJ78" s="18"/>
      <c r="XK78" s="18"/>
      <c r="XL78" s="18"/>
      <c r="XM78" s="18"/>
      <c r="XN78" s="18"/>
      <c r="XO78" s="18"/>
      <c r="XP78" s="18"/>
      <c r="XQ78" s="18"/>
      <c r="XR78" s="18"/>
      <c r="XS78" s="18"/>
      <c r="XT78" s="18"/>
      <c r="XU78" s="18"/>
      <c r="XV78" s="18"/>
      <c r="XW78" s="18"/>
      <c r="XX78" s="18"/>
      <c r="XY78" s="18"/>
      <c r="XZ78" s="18"/>
      <c r="YA78" s="18"/>
      <c r="YB78" s="18"/>
      <c r="YC78" s="18"/>
      <c r="YD78" s="18"/>
      <c r="YE78" s="18"/>
      <c r="YF78" s="18"/>
      <c r="YG78" s="18"/>
      <c r="YH78" s="18"/>
      <c r="YI78" s="18"/>
      <c r="YJ78" s="18"/>
      <c r="YK78" s="18"/>
      <c r="YL78" s="18"/>
      <c r="YM78" s="18"/>
      <c r="YN78" s="18"/>
      <c r="YO78" s="18"/>
      <c r="YP78" s="18"/>
      <c r="YQ78" s="18"/>
      <c r="YR78" s="18"/>
      <c r="YS78" s="18"/>
      <c r="YT78" s="18"/>
      <c r="YU78" s="18"/>
      <c r="YV78" s="18"/>
      <c r="YW78" s="18"/>
      <c r="YX78" s="18"/>
      <c r="YY78" s="18"/>
      <c r="YZ78" s="18"/>
      <c r="ZA78" s="18"/>
      <c r="ZB78" s="18"/>
      <c r="ZC78" s="18"/>
      <c r="ZD78" s="18"/>
      <c r="ZE78" s="18"/>
      <c r="ZF78" s="18"/>
      <c r="ZG78" s="18"/>
      <c r="ZH78" s="18"/>
      <c r="ZI78" s="18"/>
      <c r="ZJ78" s="18"/>
      <c r="ZK78" s="18"/>
      <c r="ZL78" s="18"/>
      <c r="ZM78" s="18"/>
      <c r="ZN78" s="18"/>
      <c r="ZO78" s="18"/>
      <c r="ZP78" s="18"/>
      <c r="ZQ78" s="18"/>
      <c r="ZR78" s="18"/>
      <c r="ZS78" s="18"/>
      <c r="ZT78" s="18"/>
      <c r="ZU78" s="18"/>
      <c r="ZV78" s="18"/>
      <c r="ZW78" s="18"/>
      <c r="ZX78" s="18"/>
      <c r="ZY78" s="18"/>
      <c r="ZZ78" s="18"/>
      <c r="AAA78" s="18"/>
      <c r="AAB78" s="18"/>
      <c r="AAC78" s="18"/>
      <c r="AAD78" s="18"/>
      <c r="AAE78" s="18"/>
      <c r="AAF78" s="18"/>
      <c r="AAG78" s="18"/>
      <c r="AAH78" s="18"/>
      <c r="AAI78" s="18"/>
      <c r="AAJ78" s="18"/>
      <c r="AAK78" s="18"/>
      <c r="AAL78" s="18"/>
      <c r="AAM78" s="18"/>
      <c r="AAN78" s="18"/>
      <c r="AAO78" s="18"/>
      <c r="AAP78" s="18"/>
      <c r="AAQ78" s="18"/>
      <c r="AAR78" s="18"/>
      <c r="AAS78" s="18"/>
      <c r="AAT78" s="18"/>
      <c r="AAU78" s="18"/>
      <c r="AAV78" s="18"/>
      <c r="AAW78" s="18"/>
      <c r="AAX78" s="18"/>
      <c r="AAY78" s="18"/>
      <c r="AAZ78" s="18"/>
      <c r="ABA78" s="18"/>
      <c r="ABB78" s="18"/>
      <c r="ABC78" s="18"/>
      <c r="ABD78" s="18"/>
      <c r="ABE78" s="18"/>
      <c r="ABF78" s="18"/>
      <c r="ABG78" s="18"/>
      <c r="ABH78" s="18"/>
      <c r="ABI78" s="18"/>
      <c r="ABJ78" s="18"/>
      <c r="ABK78" s="18"/>
      <c r="ABL78" s="18"/>
      <c r="ABM78" s="18"/>
      <c r="ABN78" s="18"/>
      <c r="ABO78" s="18"/>
      <c r="ABP78" s="18"/>
      <c r="ABQ78" s="18"/>
      <c r="ABR78" s="18"/>
      <c r="ABS78" s="18"/>
      <c r="ABT78" s="18"/>
      <c r="ABU78" s="18"/>
      <c r="ABV78" s="18"/>
      <c r="ABW78" s="18"/>
      <c r="ABX78" s="18"/>
      <c r="ABY78" s="18"/>
      <c r="ABZ78" s="18"/>
      <c r="ACA78" s="18"/>
      <c r="ACB78" s="18"/>
      <c r="ACC78" s="18"/>
      <c r="ACD78" s="18"/>
      <c r="ACE78" s="18"/>
      <c r="ACF78" s="18"/>
      <c r="ACG78" s="18"/>
      <c r="ACH78" s="18"/>
      <c r="ACI78" s="18"/>
      <c r="ACJ78" s="18"/>
      <c r="ACK78" s="18"/>
      <c r="ACL78" s="18"/>
      <c r="ACM78" s="18"/>
      <c r="ACN78" s="18"/>
      <c r="ACO78" s="18"/>
      <c r="ACP78" s="18"/>
      <c r="ACQ78" s="18"/>
      <c r="ACR78" s="18"/>
      <c r="ACS78" s="18"/>
      <c r="ACT78" s="18"/>
      <c r="ACU78" s="18"/>
      <c r="ACV78" s="18"/>
      <c r="ACW78" s="18"/>
      <c r="ACX78" s="18"/>
      <c r="ACY78" s="18"/>
      <c r="ACZ78" s="18"/>
      <c r="ADA78" s="18"/>
      <c r="ADB78" s="18"/>
      <c r="ADC78" s="18"/>
      <c r="ADD78" s="18"/>
      <c r="ADE78" s="18"/>
      <c r="ADF78" s="18"/>
      <c r="ADG78" s="18"/>
      <c r="ADH78" s="18"/>
      <c r="ADI78" s="18"/>
      <c r="ADJ78" s="18"/>
      <c r="ADK78" s="18"/>
      <c r="ADL78" s="18"/>
      <c r="ADM78" s="18"/>
      <c r="ADN78" s="18"/>
      <c r="ADO78" s="18"/>
      <c r="ADP78" s="18"/>
      <c r="ADQ78" s="18"/>
      <c r="ADR78" s="18"/>
      <c r="ADS78" s="18"/>
      <c r="ADT78" s="18"/>
      <c r="ADU78" s="18"/>
      <c r="ADV78" s="18"/>
      <c r="ADW78" s="18"/>
      <c r="ADX78" s="18"/>
      <c r="ADY78" s="18"/>
      <c r="ADZ78" s="18"/>
      <c r="AEA78" s="18"/>
      <c r="AEB78" s="18"/>
      <c r="AEC78" s="18"/>
      <c r="AED78" s="18"/>
      <c r="AEE78" s="18"/>
      <c r="AEF78" s="18"/>
      <c r="AEG78" s="18"/>
      <c r="AEH78" s="18"/>
      <c r="AEI78" s="18"/>
      <c r="AEJ78" s="18"/>
      <c r="AEK78" s="18"/>
      <c r="AEL78" s="18"/>
      <c r="AEM78" s="18"/>
      <c r="AEN78" s="18"/>
      <c r="AEO78" s="18"/>
      <c r="AEP78" s="18"/>
      <c r="AEQ78" s="18"/>
      <c r="AER78" s="18"/>
      <c r="AES78" s="18"/>
      <c r="AET78" s="18"/>
      <c r="AEU78" s="18"/>
      <c r="AEV78" s="18"/>
      <c r="AEW78" s="18"/>
      <c r="AEX78" s="18"/>
      <c r="AEY78" s="18"/>
      <c r="AEZ78" s="18"/>
      <c r="AFA78" s="18"/>
      <c r="AFB78" s="18"/>
      <c r="AFC78" s="18"/>
      <c r="AFD78" s="18"/>
      <c r="AFE78" s="18"/>
      <c r="AFF78" s="18"/>
      <c r="AFG78" s="18"/>
      <c r="AFH78" s="18"/>
      <c r="AFI78" s="18"/>
      <c r="AFJ78" s="18"/>
      <c r="AFK78" s="18"/>
      <c r="AFL78" s="18"/>
      <c r="AFM78" s="18"/>
      <c r="AFN78" s="18"/>
      <c r="AFO78" s="18"/>
      <c r="AFP78" s="18"/>
      <c r="AFQ78" s="18"/>
      <c r="AFR78" s="18"/>
      <c r="AFS78" s="18"/>
      <c r="AFT78" s="18"/>
      <c r="AFU78" s="18"/>
      <c r="AFV78" s="18"/>
      <c r="AFW78" s="18"/>
      <c r="AFX78" s="18"/>
      <c r="AFY78" s="18"/>
      <c r="AFZ78" s="18"/>
      <c r="AGA78" s="18"/>
      <c r="AGB78" s="18"/>
      <c r="AGC78" s="18"/>
      <c r="AGD78" s="18"/>
      <c r="AGE78" s="18"/>
      <c r="AGF78" s="18"/>
      <c r="AGG78" s="18"/>
      <c r="AGH78" s="18"/>
      <c r="AGI78" s="18"/>
      <c r="AGJ78" s="18"/>
      <c r="AGK78" s="18"/>
      <c r="AGL78" s="18"/>
      <c r="AGM78" s="18"/>
      <c r="AGN78" s="18"/>
      <c r="AGO78" s="18"/>
      <c r="AGP78" s="18"/>
      <c r="AGQ78" s="18"/>
      <c r="AGR78" s="18"/>
      <c r="AGS78" s="18"/>
      <c r="AGT78" s="18"/>
      <c r="AGU78" s="18"/>
      <c r="AGV78" s="18"/>
      <c r="AGW78" s="18"/>
      <c r="AGX78" s="18"/>
      <c r="AGY78" s="18"/>
      <c r="AGZ78" s="18"/>
      <c r="AHA78" s="18"/>
      <c r="AHB78" s="18"/>
      <c r="AHC78" s="18"/>
      <c r="AHD78" s="18"/>
      <c r="AHE78" s="18"/>
      <c r="AHF78" s="18"/>
      <c r="AHG78" s="18"/>
      <c r="AHH78" s="18"/>
      <c r="AHI78" s="18"/>
      <c r="AHJ78" s="18"/>
      <c r="AHK78" s="18"/>
      <c r="AHL78" s="18"/>
      <c r="AHM78" s="18"/>
      <c r="AHN78" s="18"/>
      <c r="AHO78" s="18"/>
      <c r="AHP78" s="18"/>
      <c r="AHQ78" s="18"/>
      <c r="AHR78" s="18"/>
      <c r="AHS78" s="18"/>
      <c r="AHT78" s="18"/>
      <c r="AHU78" s="18"/>
      <c r="AHV78" s="18"/>
      <c r="AHW78" s="18"/>
      <c r="AHX78" s="18"/>
      <c r="AHY78" s="18"/>
      <c r="AHZ78" s="18"/>
      <c r="AIA78" s="18"/>
      <c r="AIB78" s="18"/>
      <c r="AIC78" s="18"/>
      <c r="AID78" s="18"/>
      <c r="AIE78" s="18"/>
      <c r="AIF78" s="18"/>
      <c r="AIG78" s="18"/>
      <c r="AIH78" s="18"/>
      <c r="AII78" s="18"/>
      <c r="AIJ78" s="18"/>
      <c r="AIK78" s="18"/>
      <c r="AIL78" s="18"/>
      <c r="AIM78" s="18"/>
      <c r="AIN78" s="18"/>
      <c r="AIO78" s="18"/>
      <c r="AIP78" s="18"/>
      <c r="AIQ78" s="18"/>
      <c r="AIR78" s="18"/>
      <c r="AIS78" s="18"/>
      <c r="AIT78" s="18"/>
      <c r="AIU78" s="18"/>
      <c r="AIV78" s="18"/>
      <c r="AIW78" s="18"/>
      <c r="AIX78" s="18"/>
      <c r="AIY78" s="18"/>
      <c r="AIZ78" s="18"/>
      <c r="AJA78" s="18"/>
      <c r="AJB78" s="18"/>
      <c r="AJC78" s="18"/>
      <c r="AJD78" s="18"/>
      <c r="AJE78" s="18"/>
      <c r="AJF78" s="18"/>
      <c r="AJG78" s="18"/>
      <c r="AJH78" s="18"/>
      <c r="AJI78" s="18"/>
      <c r="AJJ78" s="18"/>
      <c r="AJK78" s="18"/>
      <c r="AJL78" s="18"/>
      <c r="AJM78" s="18"/>
      <c r="AJN78" s="18"/>
      <c r="AJO78" s="18"/>
      <c r="AJP78" s="18"/>
      <c r="AJQ78" s="18"/>
      <c r="AJR78" s="18"/>
      <c r="AJS78" s="18"/>
      <c r="AJT78" s="18"/>
      <c r="AJU78" s="18"/>
      <c r="AJV78" s="18"/>
      <c r="AJW78" s="18"/>
      <c r="AJX78" s="18"/>
      <c r="AJY78" s="18"/>
      <c r="AJZ78" s="18"/>
      <c r="AKA78" s="18"/>
      <c r="AKB78" s="18"/>
      <c r="AKC78" s="18"/>
      <c r="AKD78" s="18"/>
      <c r="AKE78" s="18"/>
      <c r="AKF78" s="18"/>
      <c r="AKG78" s="18"/>
      <c r="AKH78" s="18"/>
      <c r="AKI78" s="18"/>
      <c r="AKJ78" s="18"/>
      <c r="AKK78" s="18"/>
      <c r="AKL78" s="18"/>
      <c r="AKM78" s="18"/>
      <c r="AKN78" s="18"/>
      <c r="AKO78" s="18"/>
      <c r="AKP78" s="18"/>
      <c r="AKQ78" s="18"/>
      <c r="AKR78" s="18"/>
      <c r="AKS78" s="18"/>
      <c r="AKT78" s="18"/>
      <c r="AKU78" s="18"/>
      <c r="AKV78" s="18"/>
      <c r="AKW78" s="18"/>
      <c r="AKX78" s="18"/>
      <c r="AKY78" s="18"/>
      <c r="AKZ78" s="18"/>
      <c r="ALA78" s="18"/>
      <c r="ALB78" s="18"/>
      <c r="ALC78" s="18"/>
      <c r="ALD78" s="18"/>
      <c r="ALE78" s="18"/>
      <c r="ALF78" s="18"/>
      <c r="ALG78" s="18"/>
      <c r="ALH78" s="18"/>
      <c r="ALI78" s="18"/>
      <c r="ALJ78" s="18"/>
      <c r="ALK78" s="18"/>
      <c r="ALL78" s="18"/>
      <c r="ALM78" s="18"/>
      <c r="ALN78" s="18"/>
      <c r="ALO78" s="18"/>
      <c r="ALP78" s="18"/>
      <c r="ALQ78" s="18"/>
      <c r="ALR78" s="18"/>
      <c r="ALS78" s="18"/>
      <c r="ALT78" s="18"/>
      <c r="ALU78" s="18"/>
      <c r="ALV78" s="18"/>
      <c r="ALW78" s="18"/>
      <c r="ALX78" s="18"/>
      <c r="ALY78" s="18"/>
      <c r="ALZ78" s="18"/>
      <c r="AMA78" s="18"/>
      <c r="AMB78" s="18"/>
      <c r="AMC78" s="18"/>
      <c r="AMD78" s="18"/>
      <c r="AME78" s="18"/>
      <c r="AMF78" s="18"/>
      <c r="AMG78" s="18"/>
      <c r="AMH78" s="18"/>
    </row>
    <row r="79" spans="1:1022" s="23" customFormat="1" x14ac:dyDescent="0.3">
      <c r="A79" s="33">
        <v>175</v>
      </c>
      <c r="B79" s="19"/>
      <c r="C79" s="19"/>
      <c r="D79" s="34" t="s">
        <v>348</v>
      </c>
      <c r="E79" s="34" t="s">
        <v>498</v>
      </c>
      <c r="F79" s="43">
        <v>52</v>
      </c>
      <c r="G79" s="19"/>
      <c r="H79" s="18"/>
      <c r="I79" s="31"/>
      <c r="J79" s="31"/>
      <c r="K79" s="31"/>
      <c r="L79" s="35" t="s">
        <v>281</v>
      </c>
      <c r="M79" s="32"/>
      <c r="N79" s="32"/>
      <c r="O79" s="18"/>
      <c r="P79" s="36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18"/>
      <c r="BK79" s="18"/>
      <c r="BL79" s="18"/>
      <c r="BM79" s="18"/>
      <c r="BN79" s="18"/>
      <c r="BO79" s="18"/>
      <c r="BP79" s="18"/>
      <c r="BQ79" s="18"/>
      <c r="BR79" s="18"/>
      <c r="BS79" s="18"/>
      <c r="BT79" s="18"/>
      <c r="BU79" s="18"/>
      <c r="BV79" s="18"/>
      <c r="BW79" s="18"/>
      <c r="BX79" s="18"/>
      <c r="BY79" s="18"/>
      <c r="BZ79" s="18"/>
      <c r="CA79" s="18"/>
      <c r="CB79" s="18"/>
      <c r="CC79" s="18"/>
      <c r="CD79" s="18"/>
      <c r="CE79" s="18"/>
      <c r="CF79" s="18"/>
      <c r="CG79" s="18"/>
      <c r="CH79" s="18"/>
      <c r="CI79" s="18"/>
      <c r="CJ79" s="18"/>
      <c r="CK79" s="18"/>
      <c r="CL79" s="18"/>
      <c r="CM79" s="18"/>
      <c r="CN79" s="18"/>
      <c r="CO79" s="18"/>
      <c r="CP79" s="18"/>
      <c r="CQ79" s="18"/>
      <c r="CR79" s="18"/>
      <c r="CS79" s="18"/>
      <c r="CT79" s="18"/>
      <c r="CU79" s="18"/>
      <c r="CV79" s="18"/>
      <c r="CW79" s="18"/>
      <c r="CX79" s="18"/>
      <c r="CY79" s="18"/>
      <c r="CZ79" s="18"/>
      <c r="DA79" s="18"/>
      <c r="DB79" s="18"/>
      <c r="DC79" s="18"/>
      <c r="DD79" s="18"/>
      <c r="DE79" s="18"/>
      <c r="DF79" s="18"/>
      <c r="DG79" s="18"/>
      <c r="DH79" s="18"/>
      <c r="DI79" s="18"/>
      <c r="DJ79" s="18"/>
      <c r="DK79" s="18"/>
      <c r="DL79" s="18"/>
      <c r="DM79" s="18"/>
      <c r="DN79" s="18"/>
      <c r="DO79" s="18"/>
      <c r="DP79" s="18"/>
      <c r="DQ79" s="18"/>
      <c r="DR79" s="18"/>
      <c r="DS79" s="18"/>
      <c r="DT79" s="18"/>
      <c r="DU79" s="18"/>
      <c r="DV79" s="18"/>
      <c r="DW79" s="18"/>
      <c r="DX79" s="18"/>
      <c r="DY79" s="18"/>
      <c r="DZ79" s="18"/>
      <c r="EA79" s="18"/>
      <c r="EB79" s="18"/>
      <c r="EC79" s="18"/>
      <c r="ED79" s="18"/>
      <c r="EE79" s="18"/>
      <c r="EF79" s="18"/>
      <c r="EG79" s="18"/>
      <c r="EH79" s="18"/>
      <c r="EI79" s="18"/>
      <c r="EJ79" s="18"/>
      <c r="EK79" s="18"/>
      <c r="EL79" s="18"/>
      <c r="EM79" s="18"/>
      <c r="EN79" s="18"/>
      <c r="EO79" s="18"/>
      <c r="EP79" s="18"/>
      <c r="EQ79" s="18"/>
      <c r="ER79" s="18"/>
      <c r="ES79" s="18"/>
      <c r="ET79" s="18"/>
      <c r="EU79" s="18"/>
      <c r="EV79" s="18"/>
      <c r="EW79" s="18"/>
      <c r="EX79" s="18"/>
      <c r="EY79" s="18"/>
      <c r="EZ79" s="18"/>
      <c r="FA79" s="18"/>
      <c r="FB79" s="18"/>
      <c r="FC79" s="18"/>
      <c r="FD79" s="18"/>
      <c r="FE79" s="18"/>
      <c r="FF79" s="18"/>
      <c r="FG79" s="18"/>
      <c r="FH79" s="18"/>
      <c r="FI79" s="18"/>
      <c r="FJ79" s="18"/>
      <c r="FK79" s="18"/>
      <c r="FL79" s="18"/>
      <c r="FM79" s="18"/>
      <c r="FN79" s="18"/>
      <c r="FO79" s="18"/>
      <c r="FP79" s="18"/>
      <c r="FQ79" s="18"/>
      <c r="FR79" s="18"/>
      <c r="FS79" s="18"/>
      <c r="FT79" s="18"/>
      <c r="FU79" s="18"/>
      <c r="FV79" s="18"/>
      <c r="FW79" s="18"/>
      <c r="FX79" s="18"/>
      <c r="FY79" s="18"/>
      <c r="FZ79" s="18"/>
      <c r="GA79" s="18"/>
      <c r="GB79" s="18"/>
      <c r="GC79" s="18"/>
      <c r="GD79" s="18"/>
      <c r="GE79" s="18"/>
      <c r="GF79" s="18"/>
      <c r="GG79" s="18"/>
      <c r="GH79" s="18"/>
      <c r="GI79" s="18"/>
      <c r="GJ79" s="18"/>
      <c r="GK79" s="18"/>
      <c r="GL79" s="18"/>
      <c r="GM79" s="18"/>
      <c r="GN79" s="18"/>
      <c r="GO79" s="18"/>
      <c r="GP79" s="18"/>
      <c r="GQ79" s="18"/>
      <c r="GR79" s="18"/>
      <c r="GS79" s="18"/>
      <c r="GT79" s="18"/>
      <c r="GU79" s="18"/>
      <c r="GV79" s="18"/>
      <c r="GW79" s="18"/>
      <c r="GX79" s="18"/>
      <c r="GY79" s="18"/>
      <c r="GZ79" s="18"/>
      <c r="HA79" s="18"/>
      <c r="HB79" s="18"/>
      <c r="HC79" s="18"/>
      <c r="HD79" s="18"/>
      <c r="HE79" s="18"/>
      <c r="HF79" s="18"/>
      <c r="HG79" s="18"/>
      <c r="HH79" s="18"/>
      <c r="HI79" s="18"/>
      <c r="HJ79" s="18"/>
      <c r="HK79" s="18"/>
      <c r="HL79" s="18"/>
      <c r="HM79" s="18"/>
      <c r="HN79" s="18"/>
      <c r="HO79" s="18"/>
      <c r="HP79" s="18"/>
      <c r="HQ79" s="18"/>
      <c r="HR79" s="18"/>
      <c r="HS79" s="18"/>
      <c r="HT79" s="18"/>
      <c r="HU79" s="18"/>
      <c r="HV79" s="18"/>
      <c r="HW79" s="18"/>
      <c r="HX79" s="18"/>
      <c r="HY79" s="18"/>
      <c r="HZ79" s="18"/>
      <c r="IA79" s="18"/>
      <c r="IB79" s="18"/>
      <c r="IC79" s="18"/>
      <c r="ID79" s="18"/>
      <c r="IE79" s="18"/>
      <c r="IF79" s="18"/>
      <c r="IG79" s="18"/>
      <c r="IH79" s="18"/>
      <c r="II79" s="18"/>
      <c r="IJ79" s="18"/>
      <c r="IK79" s="18"/>
      <c r="IL79" s="18"/>
      <c r="IM79" s="18"/>
      <c r="IN79" s="18"/>
      <c r="IO79" s="18"/>
      <c r="IP79" s="18"/>
      <c r="IQ79" s="18"/>
      <c r="IR79" s="18"/>
      <c r="IS79" s="18"/>
      <c r="IT79" s="18"/>
      <c r="IU79" s="18"/>
      <c r="IV79" s="18"/>
      <c r="IW79" s="18"/>
      <c r="IX79" s="18"/>
      <c r="IY79" s="18"/>
      <c r="IZ79" s="18"/>
      <c r="JA79" s="18"/>
      <c r="JB79" s="18"/>
      <c r="JC79" s="18"/>
      <c r="JD79" s="18"/>
      <c r="JE79" s="18"/>
      <c r="JF79" s="18"/>
      <c r="JG79" s="18"/>
      <c r="JH79" s="18"/>
      <c r="JI79" s="18"/>
      <c r="JJ79" s="18"/>
      <c r="JK79" s="18"/>
      <c r="JL79" s="18"/>
      <c r="JM79" s="18"/>
      <c r="JN79" s="18"/>
      <c r="JO79" s="18"/>
      <c r="JP79" s="18"/>
      <c r="JQ79" s="18"/>
      <c r="JR79" s="18"/>
      <c r="JS79" s="18"/>
      <c r="JT79" s="18"/>
      <c r="JU79" s="18"/>
      <c r="JV79" s="18"/>
      <c r="JW79" s="18"/>
      <c r="JX79" s="18"/>
      <c r="JY79" s="18"/>
      <c r="JZ79" s="18"/>
      <c r="KA79" s="18"/>
      <c r="KB79" s="18"/>
      <c r="KC79" s="18"/>
      <c r="KD79" s="18"/>
      <c r="KE79" s="18"/>
      <c r="KF79" s="18"/>
      <c r="KG79" s="18"/>
      <c r="KH79" s="18"/>
      <c r="KI79" s="18"/>
      <c r="KJ79" s="18"/>
      <c r="KK79" s="18"/>
      <c r="KL79" s="18"/>
      <c r="KM79" s="18"/>
      <c r="KN79" s="18"/>
      <c r="KO79" s="18"/>
      <c r="KP79" s="18"/>
      <c r="KQ79" s="18"/>
      <c r="KR79" s="18"/>
      <c r="KS79" s="18"/>
      <c r="KT79" s="18"/>
      <c r="KU79" s="18"/>
      <c r="KV79" s="18"/>
      <c r="KW79" s="18"/>
      <c r="KX79" s="18"/>
      <c r="KY79" s="18"/>
      <c r="KZ79" s="18"/>
      <c r="LA79" s="18"/>
      <c r="LB79" s="18"/>
      <c r="LC79" s="18"/>
      <c r="LD79" s="18"/>
      <c r="LE79" s="18"/>
      <c r="LF79" s="18"/>
      <c r="LG79" s="18"/>
      <c r="LH79" s="18"/>
      <c r="LI79" s="18"/>
      <c r="LJ79" s="18"/>
      <c r="LK79" s="18"/>
      <c r="LL79" s="18"/>
      <c r="LM79" s="18"/>
      <c r="LN79" s="18"/>
      <c r="LO79" s="18"/>
      <c r="LP79" s="18"/>
      <c r="LQ79" s="18"/>
      <c r="LR79" s="18"/>
      <c r="LS79" s="18"/>
      <c r="LT79" s="18"/>
      <c r="LU79" s="18"/>
      <c r="LV79" s="18"/>
      <c r="LW79" s="18"/>
      <c r="LX79" s="18"/>
      <c r="LY79" s="18"/>
      <c r="LZ79" s="18"/>
      <c r="MA79" s="18"/>
      <c r="MB79" s="18"/>
      <c r="MC79" s="18"/>
      <c r="MD79" s="18"/>
      <c r="ME79" s="18"/>
      <c r="MF79" s="18"/>
      <c r="MG79" s="18"/>
      <c r="MH79" s="18"/>
      <c r="MI79" s="18"/>
      <c r="MJ79" s="18"/>
      <c r="MK79" s="18"/>
      <c r="ML79" s="18"/>
      <c r="MM79" s="18"/>
      <c r="MN79" s="18"/>
      <c r="MO79" s="18"/>
      <c r="MP79" s="18"/>
      <c r="MQ79" s="18"/>
      <c r="MR79" s="18"/>
      <c r="MS79" s="18"/>
      <c r="MT79" s="18"/>
      <c r="MU79" s="18"/>
      <c r="MV79" s="18"/>
      <c r="MW79" s="18"/>
      <c r="MX79" s="18"/>
      <c r="MY79" s="18"/>
      <c r="MZ79" s="18"/>
      <c r="NA79" s="18"/>
      <c r="NB79" s="18"/>
      <c r="NC79" s="18"/>
      <c r="ND79" s="18"/>
      <c r="NE79" s="18"/>
      <c r="NF79" s="18"/>
      <c r="NG79" s="18"/>
      <c r="NH79" s="18"/>
      <c r="NI79" s="18"/>
      <c r="NJ79" s="18"/>
      <c r="NK79" s="18"/>
      <c r="NL79" s="18"/>
      <c r="NM79" s="18"/>
      <c r="NN79" s="18"/>
      <c r="NO79" s="18"/>
      <c r="NP79" s="18"/>
      <c r="NQ79" s="18"/>
      <c r="NR79" s="18"/>
      <c r="NS79" s="18"/>
      <c r="NT79" s="18"/>
      <c r="NU79" s="18"/>
      <c r="NV79" s="18"/>
      <c r="NW79" s="18"/>
      <c r="NX79" s="18"/>
      <c r="NY79" s="18"/>
      <c r="NZ79" s="18"/>
      <c r="OA79" s="18"/>
      <c r="OB79" s="18"/>
      <c r="OC79" s="18"/>
      <c r="OD79" s="18"/>
      <c r="OE79" s="18"/>
      <c r="OF79" s="18"/>
      <c r="OG79" s="18"/>
      <c r="OH79" s="18"/>
      <c r="OI79" s="18"/>
      <c r="OJ79" s="18"/>
      <c r="OK79" s="18"/>
      <c r="OL79" s="18"/>
      <c r="OM79" s="18"/>
      <c r="ON79" s="18"/>
      <c r="OO79" s="18"/>
      <c r="OP79" s="18"/>
      <c r="OQ79" s="18"/>
      <c r="OR79" s="18"/>
      <c r="OS79" s="18"/>
      <c r="OT79" s="18"/>
      <c r="OU79" s="18"/>
      <c r="OV79" s="18"/>
      <c r="OW79" s="18"/>
      <c r="OX79" s="18"/>
      <c r="OY79" s="18"/>
      <c r="OZ79" s="18"/>
      <c r="PA79" s="18"/>
      <c r="PB79" s="18"/>
      <c r="PC79" s="18"/>
      <c r="PD79" s="18"/>
      <c r="PE79" s="18"/>
      <c r="PF79" s="18"/>
      <c r="PG79" s="18"/>
      <c r="PH79" s="18"/>
      <c r="PI79" s="18"/>
      <c r="PJ79" s="18"/>
      <c r="PK79" s="18"/>
      <c r="PL79" s="18"/>
      <c r="PM79" s="18"/>
      <c r="PN79" s="18"/>
      <c r="PO79" s="18"/>
      <c r="PP79" s="18"/>
      <c r="PQ79" s="18"/>
      <c r="PR79" s="18"/>
      <c r="PS79" s="18"/>
      <c r="PT79" s="18"/>
      <c r="PU79" s="18"/>
      <c r="PV79" s="18"/>
      <c r="PW79" s="18"/>
      <c r="PX79" s="18"/>
      <c r="PY79" s="18"/>
      <c r="PZ79" s="18"/>
      <c r="QA79" s="18"/>
      <c r="QB79" s="18"/>
      <c r="QC79" s="18"/>
      <c r="QD79" s="18"/>
      <c r="QE79" s="18"/>
      <c r="QF79" s="18"/>
      <c r="QG79" s="18"/>
      <c r="QH79" s="18"/>
      <c r="QI79" s="18"/>
      <c r="QJ79" s="18"/>
      <c r="QK79" s="18"/>
      <c r="QL79" s="18"/>
      <c r="QM79" s="18"/>
      <c r="QN79" s="18"/>
      <c r="QO79" s="18"/>
      <c r="QP79" s="18"/>
      <c r="QQ79" s="18"/>
      <c r="QR79" s="18"/>
      <c r="QS79" s="18"/>
      <c r="QT79" s="18"/>
      <c r="QU79" s="18"/>
      <c r="QV79" s="18"/>
      <c r="QW79" s="18"/>
      <c r="QX79" s="18"/>
      <c r="QY79" s="18"/>
      <c r="QZ79" s="18"/>
      <c r="RA79" s="18"/>
      <c r="RB79" s="18"/>
      <c r="RC79" s="18"/>
      <c r="RD79" s="18"/>
      <c r="RE79" s="18"/>
      <c r="RF79" s="18"/>
      <c r="RG79" s="18"/>
      <c r="RH79" s="18"/>
      <c r="RI79" s="18"/>
      <c r="RJ79" s="18"/>
      <c r="RK79" s="18"/>
      <c r="RL79" s="18"/>
      <c r="RM79" s="18"/>
      <c r="RN79" s="18"/>
      <c r="RO79" s="18"/>
      <c r="RP79" s="18"/>
      <c r="RQ79" s="18"/>
      <c r="RR79" s="18"/>
      <c r="RS79" s="18"/>
      <c r="RT79" s="18"/>
      <c r="RU79" s="18"/>
      <c r="RV79" s="18"/>
      <c r="RW79" s="18"/>
      <c r="RX79" s="18"/>
      <c r="RY79" s="18"/>
      <c r="RZ79" s="18"/>
      <c r="SA79" s="18"/>
      <c r="SB79" s="18"/>
      <c r="SC79" s="18"/>
      <c r="SD79" s="18"/>
      <c r="SE79" s="18"/>
      <c r="SF79" s="18"/>
      <c r="SG79" s="18"/>
      <c r="SH79" s="18"/>
      <c r="SI79" s="18"/>
      <c r="SJ79" s="18"/>
      <c r="SK79" s="18"/>
      <c r="SL79" s="18"/>
      <c r="SM79" s="18"/>
      <c r="SN79" s="18"/>
      <c r="SO79" s="18"/>
      <c r="SP79" s="18"/>
      <c r="SQ79" s="18"/>
      <c r="SR79" s="18"/>
      <c r="SS79" s="18"/>
      <c r="ST79" s="18"/>
      <c r="SU79" s="18"/>
      <c r="SV79" s="18"/>
      <c r="SW79" s="18"/>
      <c r="SX79" s="18"/>
      <c r="SY79" s="18"/>
      <c r="SZ79" s="18"/>
      <c r="TA79" s="18"/>
      <c r="TB79" s="18"/>
      <c r="TC79" s="18"/>
      <c r="TD79" s="18"/>
      <c r="TE79" s="18"/>
      <c r="TF79" s="18"/>
      <c r="TG79" s="18"/>
      <c r="TH79" s="18"/>
      <c r="TI79" s="18"/>
      <c r="TJ79" s="18"/>
      <c r="TK79" s="18"/>
      <c r="TL79" s="18"/>
      <c r="TM79" s="18"/>
      <c r="TN79" s="18"/>
      <c r="TO79" s="18"/>
      <c r="TP79" s="18"/>
      <c r="TQ79" s="18"/>
      <c r="TR79" s="18"/>
      <c r="TS79" s="18"/>
      <c r="TT79" s="18"/>
      <c r="TU79" s="18"/>
      <c r="TV79" s="18"/>
      <c r="TW79" s="18"/>
      <c r="TX79" s="18"/>
      <c r="TY79" s="18"/>
      <c r="TZ79" s="18"/>
      <c r="UA79" s="18"/>
      <c r="UB79" s="18"/>
      <c r="UC79" s="18"/>
      <c r="UD79" s="18"/>
      <c r="UE79" s="18"/>
      <c r="UF79" s="18"/>
      <c r="UG79" s="18"/>
      <c r="UH79" s="18"/>
      <c r="UI79" s="18"/>
      <c r="UJ79" s="18"/>
      <c r="UK79" s="18"/>
      <c r="UL79" s="18"/>
      <c r="UM79" s="18"/>
      <c r="UN79" s="18"/>
      <c r="UO79" s="18"/>
      <c r="UP79" s="18"/>
      <c r="UQ79" s="18"/>
      <c r="UR79" s="18"/>
      <c r="US79" s="18"/>
      <c r="UT79" s="18"/>
      <c r="UU79" s="18"/>
      <c r="UV79" s="18"/>
      <c r="UW79" s="18"/>
      <c r="UX79" s="18"/>
      <c r="UY79" s="18"/>
      <c r="UZ79" s="18"/>
      <c r="VA79" s="18"/>
      <c r="VB79" s="18"/>
      <c r="VC79" s="18"/>
      <c r="VD79" s="18"/>
      <c r="VE79" s="18"/>
      <c r="VF79" s="18"/>
      <c r="VG79" s="18"/>
      <c r="VH79" s="18"/>
      <c r="VI79" s="18"/>
      <c r="VJ79" s="18"/>
      <c r="VK79" s="18"/>
      <c r="VL79" s="18"/>
      <c r="VM79" s="18"/>
      <c r="VN79" s="18"/>
      <c r="VO79" s="18"/>
      <c r="VP79" s="18"/>
      <c r="VQ79" s="18"/>
      <c r="VR79" s="18"/>
      <c r="VS79" s="18"/>
      <c r="VT79" s="18"/>
      <c r="VU79" s="18"/>
      <c r="VV79" s="18"/>
      <c r="VW79" s="18"/>
      <c r="VX79" s="18"/>
      <c r="VY79" s="18"/>
      <c r="VZ79" s="18"/>
      <c r="WA79" s="18"/>
      <c r="WB79" s="18"/>
      <c r="WC79" s="18"/>
      <c r="WD79" s="18"/>
      <c r="WE79" s="18"/>
      <c r="WF79" s="18"/>
      <c r="WG79" s="18"/>
      <c r="WH79" s="18"/>
      <c r="WI79" s="18"/>
      <c r="WJ79" s="18"/>
      <c r="WK79" s="18"/>
      <c r="WL79" s="18"/>
      <c r="WM79" s="18"/>
      <c r="WN79" s="18"/>
      <c r="WO79" s="18"/>
      <c r="WP79" s="18"/>
      <c r="WQ79" s="18"/>
      <c r="WR79" s="18"/>
      <c r="WS79" s="18"/>
      <c r="WT79" s="18"/>
      <c r="WU79" s="18"/>
      <c r="WV79" s="18"/>
      <c r="WW79" s="18"/>
      <c r="WX79" s="18"/>
      <c r="WY79" s="18"/>
      <c r="WZ79" s="18"/>
      <c r="XA79" s="18"/>
      <c r="XB79" s="18"/>
      <c r="XC79" s="18"/>
      <c r="XD79" s="18"/>
      <c r="XE79" s="18"/>
      <c r="XF79" s="18"/>
      <c r="XG79" s="18"/>
      <c r="XH79" s="18"/>
      <c r="XI79" s="18"/>
      <c r="XJ79" s="18"/>
      <c r="XK79" s="18"/>
      <c r="XL79" s="18"/>
      <c r="XM79" s="18"/>
      <c r="XN79" s="18"/>
      <c r="XO79" s="18"/>
      <c r="XP79" s="18"/>
      <c r="XQ79" s="18"/>
      <c r="XR79" s="18"/>
      <c r="XS79" s="18"/>
      <c r="XT79" s="18"/>
      <c r="XU79" s="18"/>
      <c r="XV79" s="18"/>
      <c r="XW79" s="18"/>
      <c r="XX79" s="18"/>
      <c r="XY79" s="18"/>
      <c r="XZ79" s="18"/>
      <c r="YA79" s="18"/>
      <c r="YB79" s="18"/>
      <c r="YC79" s="18"/>
      <c r="YD79" s="18"/>
      <c r="YE79" s="18"/>
      <c r="YF79" s="18"/>
      <c r="YG79" s="18"/>
      <c r="YH79" s="18"/>
      <c r="YI79" s="18"/>
      <c r="YJ79" s="18"/>
      <c r="YK79" s="18"/>
      <c r="YL79" s="18"/>
      <c r="YM79" s="18"/>
      <c r="YN79" s="18"/>
      <c r="YO79" s="18"/>
      <c r="YP79" s="18"/>
      <c r="YQ79" s="18"/>
      <c r="YR79" s="18"/>
      <c r="YS79" s="18"/>
      <c r="YT79" s="18"/>
      <c r="YU79" s="18"/>
      <c r="YV79" s="18"/>
      <c r="YW79" s="18"/>
      <c r="YX79" s="18"/>
      <c r="YY79" s="18"/>
      <c r="YZ79" s="18"/>
      <c r="ZA79" s="18"/>
      <c r="ZB79" s="18"/>
      <c r="ZC79" s="18"/>
      <c r="ZD79" s="18"/>
      <c r="ZE79" s="18"/>
      <c r="ZF79" s="18"/>
      <c r="ZG79" s="18"/>
      <c r="ZH79" s="18"/>
      <c r="ZI79" s="18"/>
      <c r="ZJ79" s="18"/>
      <c r="ZK79" s="18"/>
      <c r="ZL79" s="18"/>
      <c r="ZM79" s="18"/>
      <c r="ZN79" s="18"/>
      <c r="ZO79" s="18"/>
      <c r="ZP79" s="18"/>
      <c r="ZQ79" s="18"/>
      <c r="ZR79" s="18"/>
      <c r="ZS79" s="18"/>
      <c r="ZT79" s="18"/>
      <c r="ZU79" s="18"/>
      <c r="ZV79" s="18"/>
      <c r="ZW79" s="18"/>
      <c r="ZX79" s="18"/>
      <c r="ZY79" s="18"/>
      <c r="ZZ79" s="18"/>
      <c r="AAA79" s="18"/>
      <c r="AAB79" s="18"/>
      <c r="AAC79" s="18"/>
      <c r="AAD79" s="18"/>
      <c r="AAE79" s="18"/>
      <c r="AAF79" s="18"/>
      <c r="AAG79" s="18"/>
      <c r="AAH79" s="18"/>
      <c r="AAI79" s="18"/>
      <c r="AAJ79" s="18"/>
      <c r="AAK79" s="18"/>
      <c r="AAL79" s="18"/>
      <c r="AAM79" s="18"/>
      <c r="AAN79" s="18"/>
      <c r="AAO79" s="18"/>
      <c r="AAP79" s="18"/>
      <c r="AAQ79" s="18"/>
      <c r="AAR79" s="18"/>
      <c r="AAS79" s="18"/>
      <c r="AAT79" s="18"/>
      <c r="AAU79" s="18"/>
      <c r="AAV79" s="18"/>
      <c r="AAW79" s="18"/>
      <c r="AAX79" s="18"/>
      <c r="AAY79" s="18"/>
      <c r="AAZ79" s="18"/>
      <c r="ABA79" s="18"/>
      <c r="ABB79" s="18"/>
      <c r="ABC79" s="18"/>
      <c r="ABD79" s="18"/>
      <c r="ABE79" s="18"/>
      <c r="ABF79" s="18"/>
      <c r="ABG79" s="18"/>
      <c r="ABH79" s="18"/>
      <c r="ABI79" s="18"/>
      <c r="ABJ79" s="18"/>
      <c r="ABK79" s="18"/>
      <c r="ABL79" s="18"/>
      <c r="ABM79" s="18"/>
      <c r="ABN79" s="18"/>
      <c r="ABO79" s="18"/>
      <c r="ABP79" s="18"/>
      <c r="ABQ79" s="18"/>
      <c r="ABR79" s="18"/>
      <c r="ABS79" s="18"/>
      <c r="ABT79" s="18"/>
      <c r="ABU79" s="18"/>
      <c r="ABV79" s="18"/>
      <c r="ABW79" s="18"/>
      <c r="ABX79" s="18"/>
      <c r="ABY79" s="18"/>
      <c r="ABZ79" s="18"/>
      <c r="ACA79" s="18"/>
      <c r="ACB79" s="18"/>
      <c r="ACC79" s="18"/>
      <c r="ACD79" s="18"/>
      <c r="ACE79" s="18"/>
      <c r="ACF79" s="18"/>
      <c r="ACG79" s="18"/>
      <c r="ACH79" s="18"/>
      <c r="ACI79" s="18"/>
      <c r="ACJ79" s="18"/>
      <c r="ACK79" s="18"/>
      <c r="ACL79" s="18"/>
      <c r="ACM79" s="18"/>
      <c r="ACN79" s="18"/>
      <c r="ACO79" s="18"/>
      <c r="ACP79" s="18"/>
      <c r="ACQ79" s="18"/>
      <c r="ACR79" s="18"/>
      <c r="ACS79" s="18"/>
      <c r="ACT79" s="18"/>
      <c r="ACU79" s="18"/>
      <c r="ACV79" s="18"/>
      <c r="ACW79" s="18"/>
      <c r="ACX79" s="18"/>
      <c r="ACY79" s="18"/>
      <c r="ACZ79" s="18"/>
      <c r="ADA79" s="18"/>
      <c r="ADB79" s="18"/>
      <c r="ADC79" s="18"/>
      <c r="ADD79" s="18"/>
      <c r="ADE79" s="18"/>
      <c r="ADF79" s="18"/>
      <c r="ADG79" s="18"/>
      <c r="ADH79" s="18"/>
      <c r="ADI79" s="18"/>
      <c r="ADJ79" s="18"/>
      <c r="ADK79" s="18"/>
      <c r="ADL79" s="18"/>
      <c r="ADM79" s="18"/>
      <c r="ADN79" s="18"/>
      <c r="ADO79" s="18"/>
      <c r="ADP79" s="18"/>
      <c r="ADQ79" s="18"/>
      <c r="ADR79" s="18"/>
      <c r="ADS79" s="18"/>
      <c r="ADT79" s="18"/>
      <c r="ADU79" s="18"/>
      <c r="ADV79" s="18"/>
      <c r="ADW79" s="18"/>
      <c r="ADX79" s="18"/>
      <c r="ADY79" s="18"/>
      <c r="ADZ79" s="18"/>
      <c r="AEA79" s="18"/>
      <c r="AEB79" s="18"/>
      <c r="AEC79" s="18"/>
      <c r="AED79" s="18"/>
      <c r="AEE79" s="18"/>
      <c r="AEF79" s="18"/>
      <c r="AEG79" s="18"/>
      <c r="AEH79" s="18"/>
      <c r="AEI79" s="18"/>
      <c r="AEJ79" s="18"/>
      <c r="AEK79" s="18"/>
      <c r="AEL79" s="18"/>
      <c r="AEM79" s="18"/>
      <c r="AEN79" s="18"/>
      <c r="AEO79" s="18"/>
      <c r="AEP79" s="18"/>
      <c r="AEQ79" s="18"/>
      <c r="AER79" s="18"/>
      <c r="AES79" s="18"/>
      <c r="AET79" s="18"/>
      <c r="AEU79" s="18"/>
      <c r="AEV79" s="18"/>
      <c r="AEW79" s="18"/>
      <c r="AEX79" s="18"/>
      <c r="AEY79" s="18"/>
      <c r="AEZ79" s="18"/>
      <c r="AFA79" s="18"/>
      <c r="AFB79" s="18"/>
      <c r="AFC79" s="18"/>
      <c r="AFD79" s="18"/>
      <c r="AFE79" s="18"/>
      <c r="AFF79" s="18"/>
      <c r="AFG79" s="18"/>
      <c r="AFH79" s="18"/>
      <c r="AFI79" s="18"/>
      <c r="AFJ79" s="18"/>
      <c r="AFK79" s="18"/>
      <c r="AFL79" s="18"/>
      <c r="AFM79" s="18"/>
      <c r="AFN79" s="18"/>
      <c r="AFO79" s="18"/>
      <c r="AFP79" s="18"/>
      <c r="AFQ79" s="18"/>
      <c r="AFR79" s="18"/>
      <c r="AFS79" s="18"/>
      <c r="AFT79" s="18"/>
      <c r="AFU79" s="18"/>
      <c r="AFV79" s="18"/>
      <c r="AFW79" s="18"/>
      <c r="AFX79" s="18"/>
      <c r="AFY79" s="18"/>
      <c r="AFZ79" s="18"/>
      <c r="AGA79" s="18"/>
      <c r="AGB79" s="18"/>
      <c r="AGC79" s="18"/>
      <c r="AGD79" s="18"/>
      <c r="AGE79" s="18"/>
      <c r="AGF79" s="18"/>
      <c r="AGG79" s="18"/>
      <c r="AGH79" s="18"/>
      <c r="AGI79" s="18"/>
      <c r="AGJ79" s="18"/>
      <c r="AGK79" s="18"/>
      <c r="AGL79" s="18"/>
      <c r="AGM79" s="18"/>
      <c r="AGN79" s="18"/>
      <c r="AGO79" s="18"/>
      <c r="AGP79" s="18"/>
      <c r="AGQ79" s="18"/>
      <c r="AGR79" s="18"/>
      <c r="AGS79" s="18"/>
      <c r="AGT79" s="18"/>
      <c r="AGU79" s="18"/>
      <c r="AGV79" s="18"/>
      <c r="AGW79" s="18"/>
      <c r="AGX79" s="18"/>
      <c r="AGY79" s="18"/>
      <c r="AGZ79" s="18"/>
      <c r="AHA79" s="18"/>
      <c r="AHB79" s="18"/>
      <c r="AHC79" s="18"/>
      <c r="AHD79" s="18"/>
      <c r="AHE79" s="18"/>
      <c r="AHF79" s="18"/>
      <c r="AHG79" s="18"/>
      <c r="AHH79" s="18"/>
      <c r="AHI79" s="18"/>
      <c r="AHJ79" s="18"/>
      <c r="AHK79" s="18"/>
      <c r="AHL79" s="18"/>
      <c r="AHM79" s="18"/>
      <c r="AHN79" s="18"/>
      <c r="AHO79" s="18"/>
      <c r="AHP79" s="18"/>
      <c r="AHQ79" s="18"/>
      <c r="AHR79" s="18"/>
      <c r="AHS79" s="18"/>
      <c r="AHT79" s="18"/>
      <c r="AHU79" s="18"/>
      <c r="AHV79" s="18"/>
      <c r="AHW79" s="18"/>
      <c r="AHX79" s="18"/>
      <c r="AHY79" s="18"/>
      <c r="AHZ79" s="18"/>
      <c r="AIA79" s="18"/>
      <c r="AIB79" s="18"/>
      <c r="AIC79" s="18"/>
      <c r="AID79" s="18"/>
      <c r="AIE79" s="18"/>
      <c r="AIF79" s="18"/>
      <c r="AIG79" s="18"/>
      <c r="AIH79" s="18"/>
      <c r="AII79" s="18"/>
      <c r="AIJ79" s="18"/>
      <c r="AIK79" s="18"/>
      <c r="AIL79" s="18"/>
      <c r="AIM79" s="18"/>
      <c r="AIN79" s="18"/>
      <c r="AIO79" s="18"/>
      <c r="AIP79" s="18"/>
      <c r="AIQ79" s="18"/>
      <c r="AIR79" s="18"/>
      <c r="AIS79" s="18"/>
      <c r="AIT79" s="18"/>
      <c r="AIU79" s="18"/>
      <c r="AIV79" s="18"/>
      <c r="AIW79" s="18"/>
      <c r="AIX79" s="18"/>
      <c r="AIY79" s="18"/>
      <c r="AIZ79" s="18"/>
      <c r="AJA79" s="18"/>
      <c r="AJB79" s="18"/>
      <c r="AJC79" s="18"/>
      <c r="AJD79" s="18"/>
      <c r="AJE79" s="18"/>
      <c r="AJF79" s="18"/>
      <c r="AJG79" s="18"/>
      <c r="AJH79" s="18"/>
      <c r="AJI79" s="18"/>
      <c r="AJJ79" s="18"/>
      <c r="AJK79" s="18"/>
      <c r="AJL79" s="18"/>
      <c r="AJM79" s="18"/>
      <c r="AJN79" s="18"/>
      <c r="AJO79" s="18"/>
      <c r="AJP79" s="18"/>
      <c r="AJQ79" s="18"/>
      <c r="AJR79" s="18"/>
      <c r="AJS79" s="18"/>
      <c r="AJT79" s="18"/>
      <c r="AJU79" s="18"/>
      <c r="AJV79" s="18"/>
      <c r="AJW79" s="18"/>
      <c r="AJX79" s="18"/>
      <c r="AJY79" s="18"/>
      <c r="AJZ79" s="18"/>
      <c r="AKA79" s="18"/>
      <c r="AKB79" s="18"/>
      <c r="AKC79" s="18"/>
      <c r="AKD79" s="18"/>
      <c r="AKE79" s="18"/>
      <c r="AKF79" s="18"/>
      <c r="AKG79" s="18"/>
      <c r="AKH79" s="18"/>
      <c r="AKI79" s="18"/>
      <c r="AKJ79" s="18"/>
      <c r="AKK79" s="18"/>
      <c r="AKL79" s="18"/>
      <c r="AKM79" s="18"/>
      <c r="AKN79" s="18"/>
      <c r="AKO79" s="18"/>
      <c r="AKP79" s="18"/>
      <c r="AKQ79" s="18"/>
      <c r="AKR79" s="18"/>
      <c r="AKS79" s="18"/>
      <c r="AKT79" s="18"/>
      <c r="AKU79" s="18"/>
      <c r="AKV79" s="18"/>
      <c r="AKW79" s="18"/>
      <c r="AKX79" s="18"/>
      <c r="AKY79" s="18"/>
      <c r="AKZ79" s="18"/>
      <c r="ALA79" s="18"/>
      <c r="ALB79" s="18"/>
      <c r="ALC79" s="18"/>
      <c r="ALD79" s="18"/>
      <c r="ALE79" s="18"/>
      <c r="ALF79" s="18"/>
      <c r="ALG79" s="18"/>
      <c r="ALH79" s="18"/>
      <c r="ALI79" s="18"/>
      <c r="ALJ79" s="18"/>
      <c r="ALK79" s="18"/>
      <c r="ALL79" s="18"/>
      <c r="ALM79" s="18"/>
      <c r="ALN79" s="18"/>
      <c r="ALO79" s="18"/>
      <c r="ALP79" s="18"/>
      <c r="ALQ79" s="18"/>
      <c r="ALR79" s="18"/>
      <c r="ALS79" s="18"/>
      <c r="ALT79" s="18"/>
      <c r="ALU79" s="18"/>
      <c r="ALV79" s="18"/>
      <c r="ALW79" s="18"/>
      <c r="ALX79" s="18"/>
      <c r="ALY79" s="18"/>
      <c r="ALZ79" s="18"/>
      <c r="AMA79" s="18"/>
      <c r="AMB79" s="18"/>
      <c r="AMC79" s="18"/>
      <c r="AMD79" s="18"/>
      <c r="AME79" s="18"/>
      <c r="AMF79" s="18"/>
      <c r="AMG79" s="18"/>
      <c r="AMH79" s="18"/>
    </row>
    <row r="80" spans="1:1022" s="23" customFormat="1" x14ac:dyDescent="0.3">
      <c r="A80" s="33">
        <v>176</v>
      </c>
      <c r="B80" s="19"/>
      <c r="C80" s="19"/>
      <c r="D80" s="57" t="s">
        <v>349</v>
      </c>
      <c r="E80" s="34" t="s">
        <v>499</v>
      </c>
      <c r="F80" s="43">
        <v>16</v>
      </c>
      <c r="G80" s="19"/>
      <c r="H80" s="38" t="s">
        <v>281</v>
      </c>
      <c r="I80" s="31"/>
      <c r="J80" s="31"/>
      <c r="K80" s="31"/>
      <c r="L80" s="31"/>
      <c r="M80" s="32"/>
      <c r="N80" s="32"/>
      <c r="O80" s="18"/>
      <c r="P80" s="36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18"/>
      <c r="BD80" s="18"/>
      <c r="BE80" s="18"/>
      <c r="BF80" s="18"/>
      <c r="BG80" s="18"/>
      <c r="BH80" s="18"/>
      <c r="BI80" s="18"/>
      <c r="BJ80" s="18"/>
      <c r="BK80" s="18"/>
      <c r="BL80" s="18"/>
      <c r="BM80" s="18"/>
      <c r="BN80" s="18"/>
      <c r="BO80" s="18"/>
      <c r="BP80" s="18"/>
      <c r="BQ80" s="18"/>
      <c r="BR80" s="18"/>
      <c r="BS80" s="18"/>
      <c r="BT80" s="18"/>
      <c r="BU80" s="18"/>
      <c r="BV80" s="18"/>
      <c r="BW80" s="18"/>
      <c r="BX80" s="18"/>
      <c r="BY80" s="18"/>
      <c r="BZ80" s="18"/>
      <c r="CA80" s="18"/>
      <c r="CB80" s="18"/>
      <c r="CC80" s="18"/>
      <c r="CD80" s="18"/>
      <c r="CE80" s="18"/>
      <c r="CF80" s="18"/>
      <c r="CG80" s="18"/>
      <c r="CH80" s="18"/>
      <c r="CI80" s="18"/>
      <c r="CJ80" s="18"/>
      <c r="CK80" s="18"/>
      <c r="CL80" s="18"/>
      <c r="CM80" s="18"/>
      <c r="CN80" s="18"/>
      <c r="CO80" s="18"/>
      <c r="CP80" s="18"/>
      <c r="CQ80" s="18"/>
      <c r="CR80" s="18"/>
      <c r="CS80" s="18"/>
      <c r="CT80" s="18"/>
      <c r="CU80" s="18"/>
      <c r="CV80" s="18"/>
      <c r="CW80" s="18"/>
      <c r="CX80" s="18"/>
      <c r="CY80" s="18"/>
      <c r="CZ80" s="18"/>
      <c r="DA80" s="18"/>
      <c r="DB80" s="18"/>
      <c r="DC80" s="18"/>
      <c r="DD80" s="18"/>
      <c r="DE80" s="18"/>
      <c r="DF80" s="18"/>
      <c r="DG80" s="18"/>
      <c r="DH80" s="18"/>
      <c r="DI80" s="18"/>
      <c r="DJ80" s="18"/>
      <c r="DK80" s="18"/>
      <c r="DL80" s="18"/>
      <c r="DM80" s="18"/>
      <c r="DN80" s="18"/>
      <c r="DO80" s="18"/>
      <c r="DP80" s="18"/>
      <c r="DQ80" s="18"/>
      <c r="DR80" s="18"/>
      <c r="DS80" s="18"/>
      <c r="DT80" s="18"/>
      <c r="DU80" s="18"/>
      <c r="DV80" s="18"/>
      <c r="DW80" s="18"/>
      <c r="DX80" s="18"/>
      <c r="DY80" s="18"/>
      <c r="DZ80" s="18"/>
      <c r="EA80" s="18"/>
      <c r="EB80" s="18"/>
      <c r="EC80" s="18"/>
      <c r="ED80" s="18"/>
      <c r="EE80" s="18"/>
      <c r="EF80" s="18"/>
      <c r="EG80" s="18"/>
      <c r="EH80" s="18"/>
      <c r="EI80" s="18"/>
      <c r="EJ80" s="18"/>
      <c r="EK80" s="18"/>
      <c r="EL80" s="18"/>
      <c r="EM80" s="18"/>
      <c r="EN80" s="18"/>
      <c r="EO80" s="18"/>
      <c r="EP80" s="18"/>
      <c r="EQ80" s="18"/>
      <c r="ER80" s="18"/>
      <c r="ES80" s="18"/>
      <c r="ET80" s="18"/>
      <c r="EU80" s="18"/>
      <c r="EV80" s="18"/>
      <c r="EW80" s="18"/>
      <c r="EX80" s="18"/>
      <c r="EY80" s="18"/>
      <c r="EZ80" s="18"/>
      <c r="FA80" s="18"/>
      <c r="FB80" s="18"/>
      <c r="FC80" s="18"/>
      <c r="FD80" s="18"/>
      <c r="FE80" s="18"/>
      <c r="FF80" s="18"/>
      <c r="FG80" s="18"/>
      <c r="FH80" s="18"/>
      <c r="FI80" s="18"/>
      <c r="FJ80" s="18"/>
      <c r="FK80" s="18"/>
      <c r="FL80" s="18"/>
      <c r="FM80" s="18"/>
      <c r="FN80" s="18"/>
      <c r="FO80" s="18"/>
      <c r="FP80" s="18"/>
      <c r="FQ80" s="18"/>
      <c r="FR80" s="18"/>
      <c r="FS80" s="18"/>
      <c r="FT80" s="18"/>
      <c r="FU80" s="18"/>
      <c r="FV80" s="18"/>
      <c r="FW80" s="18"/>
      <c r="FX80" s="18"/>
      <c r="FY80" s="18"/>
      <c r="FZ80" s="18"/>
      <c r="GA80" s="18"/>
      <c r="GB80" s="18"/>
      <c r="GC80" s="18"/>
      <c r="GD80" s="18"/>
      <c r="GE80" s="18"/>
      <c r="GF80" s="18"/>
      <c r="GG80" s="18"/>
      <c r="GH80" s="18"/>
      <c r="GI80" s="18"/>
      <c r="GJ80" s="18"/>
      <c r="GK80" s="18"/>
      <c r="GL80" s="18"/>
      <c r="GM80" s="18"/>
      <c r="GN80" s="18"/>
      <c r="GO80" s="18"/>
      <c r="GP80" s="18"/>
      <c r="GQ80" s="18"/>
      <c r="GR80" s="18"/>
      <c r="GS80" s="18"/>
      <c r="GT80" s="18"/>
      <c r="GU80" s="18"/>
      <c r="GV80" s="18"/>
      <c r="GW80" s="18"/>
      <c r="GX80" s="18"/>
      <c r="GY80" s="18"/>
      <c r="GZ80" s="18"/>
      <c r="HA80" s="18"/>
      <c r="HB80" s="18"/>
      <c r="HC80" s="18"/>
      <c r="HD80" s="18"/>
      <c r="HE80" s="18"/>
      <c r="HF80" s="18"/>
      <c r="HG80" s="18"/>
      <c r="HH80" s="18"/>
      <c r="HI80" s="18"/>
      <c r="HJ80" s="18"/>
      <c r="HK80" s="18"/>
      <c r="HL80" s="18"/>
      <c r="HM80" s="18"/>
      <c r="HN80" s="18"/>
      <c r="HO80" s="18"/>
      <c r="HP80" s="18"/>
      <c r="HQ80" s="18"/>
      <c r="HR80" s="18"/>
      <c r="HS80" s="18"/>
      <c r="HT80" s="18"/>
      <c r="HU80" s="18"/>
      <c r="HV80" s="18"/>
      <c r="HW80" s="18"/>
      <c r="HX80" s="18"/>
      <c r="HY80" s="18"/>
      <c r="HZ80" s="18"/>
      <c r="IA80" s="18"/>
      <c r="IB80" s="18"/>
      <c r="IC80" s="18"/>
      <c r="ID80" s="18"/>
      <c r="IE80" s="18"/>
      <c r="IF80" s="18"/>
      <c r="IG80" s="18"/>
      <c r="IH80" s="18"/>
      <c r="II80" s="18"/>
      <c r="IJ80" s="18"/>
      <c r="IK80" s="18"/>
      <c r="IL80" s="18"/>
      <c r="IM80" s="18"/>
      <c r="IN80" s="18"/>
      <c r="IO80" s="18"/>
      <c r="IP80" s="18"/>
      <c r="IQ80" s="18"/>
      <c r="IR80" s="18"/>
      <c r="IS80" s="18"/>
      <c r="IT80" s="18"/>
      <c r="IU80" s="18"/>
      <c r="IV80" s="18"/>
      <c r="IW80" s="18"/>
      <c r="IX80" s="18"/>
      <c r="IY80" s="18"/>
      <c r="IZ80" s="18"/>
      <c r="JA80" s="18"/>
      <c r="JB80" s="18"/>
      <c r="JC80" s="18"/>
      <c r="JD80" s="18"/>
      <c r="JE80" s="18"/>
      <c r="JF80" s="18"/>
      <c r="JG80" s="18"/>
      <c r="JH80" s="18"/>
      <c r="JI80" s="18"/>
      <c r="JJ80" s="18"/>
      <c r="JK80" s="18"/>
      <c r="JL80" s="18"/>
      <c r="JM80" s="18"/>
      <c r="JN80" s="18"/>
      <c r="JO80" s="18"/>
      <c r="JP80" s="18"/>
      <c r="JQ80" s="18"/>
      <c r="JR80" s="18"/>
      <c r="JS80" s="18"/>
      <c r="JT80" s="18"/>
      <c r="JU80" s="18"/>
      <c r="JV80" s="18"/>
      <c r="JW80" s="18"/>
      <c r="JX80" s="18"/>
      <c r="JY80" s="18"/>
      <c r="JZ80" s="18"/>
      <c r="KA80" s="18"/>
      <c r="KB80" s="18"/>
      <c r="KC80" s="18"/>
      <c r="KD80" s="18"/>
      <c r="KE80" s="18"/>
      <c r="KF80" s="18"/>
      <c r="KG80" s="18"/>
      <c r="KH80" s="18"/>
      <c r="KI80" s="18"/>
      <c r="KJ80" s="18"/>
      <c r="KK80" s="18"/>
      <c r="KL80" s="18"/>
      <c r="KM80" s="18"/>
      <c r="KN80" s="18"/>
      <c r="KO80" s="18"/>
      <c r="KP80" s="18"/>
      <c r="KQ80" s="18"/>
      <c r="KR80" s="18"/>
      <c r="KS80" s="18"/>
      <c r="KT80" s="18"/>
      <c r="KU80" s="18"/>
      <c r="KV80" s="18"/>
      <c r="KW80" s="18"/>
      <c r="KX80" s="18"/>
      <c r="KY80" s="18"/>
      <c r="KZ80" s="18"/>
      <c r="LA80" s="18"/>
      <c r="LB80" s="18"/>
      <c r="LC80" s="18"/>
      <c r="LD80" s="18"/>
      <c r="LE80" s="18"/>
      <c r="LF80" s="18"/>
      <c r="LG80" s="18"/>
      <c r="LH80" s="18"/>
      <c r="LI80" s="18"/>
      <c r="LJ80" s="18"/>
      <c r="LK80" s="18"/>
      <c r="LL80" s="18"/>
      <c r="LM80" s="18"/>
      <c r="LN80" s="18"/>
      <c r="LO80" s="18"/>
      <c r="LP80" s="18"/>
      <c r="LQ80" s="18"/>
      <c r="LR80" s="18"/>
      <c r="LS80" s="18"/>
      <c r="LT80" s="18"/>
      <c r="LU80" s="18"/>
      <c r="LV80" s="18"/>
      <c r="LW80" s="18"/>
      <c r="LX80" s="18"/>
      <c r="LY80" s="18"/>
      <c r="LZ80" s="18"/>
      <c r="MA80" s="18"/>
      <c r="MB80" s="18"/>
      <c r="MC80" s="18"/>
      <c r="MD80" s="18"/>
      <c r="ME80" s="18"/>
      <c r="MF80" s="18"/>
      <c r="MG80" s="18"/>
      <c r="MH80" s="18"/>
      <c r="MI80" s="18"/>
      <c r="MJ80" s="18"/>
      <c r="MK80" s="18"/>
      <c r="ML80" s="18"/>
      <c r="MM80" s="18"/>
      <c r="MN80" s="18"/>
      <c r="MO80" s="18"/>
      <c r="MP80" s="18"/>
      <c r="MQ80" s="18"/>
      <c r="MR80" s="18"/>
      <c r="MS80" s="18"/>
      <c r="MT80" s="18"/>
      <c r="MU80" s="18"/>
      <c r="MV80" s="18"/>
      <c r="MW80" s="18"/>
      <c r="MX80" s="18"/>
      <c r="MY80" s="18"/>
      <c r="MZ80" s="18"/>
      <c r="NA80" s="18"/>
      <c r="NB80" s="18"/>
      <c r="NC80" s="18"/>
      <c r="ND80" s="18"/>
      <c r="NE80" s="18"/>
      <c r="NF80" s="18"/>
      <c r="NG80" s="18"/>
      <c r="NH80" s="18"/>
      <c r="NI80" s="18"/>
      <c r="NJ80" s="18"/>
      <c r="NK80" s="18"/>
      <c r="NL80" s="18"/>
      <c r="NM80" s="18"/>
      <c r="NN80" s="18"/>
      <c r="NO80" s="18"/>
      <c r="NP80" s="18"/>
      <c r="NQ80" s="18"/>
      <c r="NR80" s="18"/>
      <c r="NS80" s="18"/>
      <c r="NT80" s="18"/>
      <c r="NU80" s="18"/>
      <c r="NV80" s="18"/>
      <c r="NW80" s="18"/>
      <c r="NX80" s="18"/>
      <c r="NY80" s="18"/>
      <c r="NZ80" s="18"/>
      <c r="OA80" s="18"/>
      <c r="OB80" s="18"/>
      <c r="OC80" s="18"/>
      <c r="OD80" s="18"/>
      <c r="OE80" s="18"/>
      <c r="OF80" s="18"/>
      <c r="OG80" s="18"/>
      <c r="OH80" s="18"/>
      <c r="OI80" s="18"/>
      <c r="OJ80" s="18"/>
      <c r="OK80" s="18"/>
      <c r="OL80" s="18"/>
      <c r="OM80" s="18"/>
      <c r="ON80" s="18"/>
      <c r="OO80" s="18"/>
      <c r="OP80" s="18"/>
      <c r="OQ80" s="18"/>
      <c r="OR80" s="18"/>
      <c r="OS80" s="18"/>
      <c r="OT80" s="18"/>
      <c r="OU80" s="18"/>
      <c r="OV80" s="18"/>
      <c r="OW80" s="18"/>
      <c r="OX80" s="18"/>
      <c r="OY80" s="18"/>
      <c r="OZ80" s="18"/>
      <c r="PA80" s="18"/>
      <c r="PB80" s="18"/>
      <c r="PC80" s="18"/>
      <c r="PD80" s="18"/>
      <c r="PE80" s="18"/>
      <c r="PF80" s="18"/>
      <c r="PG80" s="18"/>
      <c r="PH80" s="18"/>
      <c r="PI80" s="18"/>
      <c r="PJ80" s="18"/>
      <c r="PK80" s="18"/>
      <c r="PL80" s="18"/>
      <c r="PM80" s="18"/>
      <c r="PN80" s="18"/>
      <c r="PO80" s="18"/>
      <c r="PP80" s="18"/>
      <c r="PQ80" s="18"/>
      <c r="PR80" s="18"/>
      <c r="PS80" s="18"/>
      <c r="PT80" s="18"/>
      <c r="PU80" s="18"/>
      <c r="PV80" s="18"/>
      <c r="PW80" s="18"/>
      <c r="PX80" s="18"/>
      <c r="PY80" s="18"/>
      <c r="PZ80" s="18"/>
      <c r="QA80" s="18"/>
      <c r="QB80" s="18"/>
      <c r="QC80" s="18"/>
      <c r="QD80" s="18"/>
      <c r="QE80" s="18"/>
      <c r="QF80" s="18"/>
      <c r="QG80" s="18"/>
      <c r="QH80" s="18"/>
      <c r="QI80" s="18"/>
      <c r="QJ80" s="18"/>
      <c r="QK80" s="18"/>
      <c r="QL80" s="18"/>
      <c r="QM80" s="18"/>
      <c r="QN80" s="18"/>
      <c r="QO80" s="18"/>
      <c r="QP80" s="18"/>
      <c r="QQ80" s="18"/>
      <c r="QR80" s="18"/>
      <c r="QS80" s="18"/>
      <c r="QT80" s="18"/>
      <c r="QU80" s="18"/>
      <c r="QV80" s="18"/>
      <c r="QW80" s="18"/>
      <c r="QX80" s="18"/>
      <c r="QY80" s="18"/>
      <c r="QZ80" s="18"/>
      <c r="RA80" s="18"/>
      <c r="RB80" s="18"/>
      <c r="RC80" s="18"/>
      <c r="RD80" s="18"/>
      <c r="RE80" s="18"/>
      <c r="RF80" s="18"/>
      <c r="RG80" s="18"/>
      <c r="RH80" s="18"/>
      <c r="RI80" s="18"/>
      <c r="RJ80" s="18"/>
      <c r="RK80" s="18"/>
      <c r="RL80" s="18"/>
      <c r="RM80" s="18"/>
      <c r="RN80" s="18"/>
      <c r="RO80" s="18"/>
      <c r="RP80" s="18"/>
      <c r="RQ80" s="18"/>
      <c r="RR80" s="18"/>
      <c r="RS80" s="18"/>
      <c r="RT80" s="18"/>
      <c r="RU80" s="18"/>
      <c r="RV80" s="18"/>
      <c r="RW80" s="18"/>
      <c r="RX80" s="18"/>
      <c r="RY80" s="18"/>
      <c r="RZ80" s="18"/>
      <c r="SA80" s="18"/>
      <c r="SB80" s="18"/>
      <c r="SC80" s="18"/>
      <c r="SD80" s="18"/>
      <c r="SE80" s="18"/>
      <c r="SF80" s="18"/>
      <c r="SG80" s="18"/>
      <c r="SH80" s="18"/>
      <c r="SI80" s="18"/>
      <c r="SJ80" s="18"/>
      <c r="SK80" s="18"/>
      <c r="SL80" s="18"/>
      <c r="SM80" s="18"/>
      <c r="SN80" s="18"/>
      <c r="SO80" s="18"/>
      <c r="SP80" s="18"/>
      <c r="SQ80" s="18"/>
      <c r="SR80" s="18"/>
      <c r="SS80" s="18"/>
      <c r="ST80" s="18"/>
      <c r="SU80" s="18"/>
      <c r="SV80" s="18"/>
      <c r="SW80" s="18"/>
      <c r="SX80" s="18"/>
      <c r="SY80" s="18"/>
      <c r="SZ80" s="18"/>
      <c r="TA80" s="18"/>
      <c r="TB80" s="18"/>
      <c r="TC80" s="18"/>
      <c r="TD80" s="18"/>
      <c r="TE80" s="18"/>
      <c r="TF80" s="18"/>
      <c r="TG80" s="18"/>
      <c r="TH80" s="18"/>
      <c r="TI80" s="18"/>
      <c r="TJ80" s="18"/>
      <c r="TK80" s="18"/>
      <c r="TL80" s="18"/>
      <c r="TM80" s="18"/>
      <c r="TN80" s="18"/>
      <c r="TO80" s="18"/>
      <c r="TP80" s="18"/>
      <c r="TQ80" s="18"/>
      <c r="TR80" s="18"/>
      <c r="TS80" s="18"/>
      <c r="TT80" s="18"/>
      <c r="TU80" s="18"/>
      <c r="TV80" s="18"/>
      <c r="TW80" s="18"/>
      <c r="TX80" s="18"/>
      <c r="TY80" s="18"/>
      <c r="TZ80" s="18"/>
      <c r="UA80" s="18"/>
      <c r="UB80" s="18"/>
      <c r="UC80" s="18"/>
      <c r="UD80" s="18"/>
      <c r="UE80" s="18"/>
      <c r="UF80" s="18"/>
      <c r="UG80" s="18"/>
      <c r="UH80" s="18"/>
      <c r="UI80" s="18"/>
      <c r="UJ80" s="18"/>
      <c r="UK80" s="18"/>
      <c r="UL80" s="18"/>
      <c r="UM80" s="18"/>
      <c r="UN80" s="18"/>
      <c r="UO80" s="18"/>
      <c r="UP80" s="18"/>
      <c r="UQ80" s="18"/>
      <c r="UR80" s="18"/>
      <c r="US80" s="18"/>
      <c r="UT80" s="18"/>
      <c r="UU80" s="18"/>
      <c r="UV80" s="18"/>
      <c r="UW80" s="18"/>
      <c r="UX80" s="18"/>
      <c r="UY80" s="18"/>
      <c r="UZ80" s="18"/>
      <c r="VA80" s="18"/>
      <c r="VB80" s="18"/>
      <c r="VC80" s="18"/>
      <c r="VD80" s="18"/>
      <c r="VE80" s="18"/>
      <c r="VF80" s="18"/>
      <c r="VG80" s="18"/>
      <c r="VH80" s="18"/>
      <c r="VI80" s="18"/>
      <c r="VJ80" s="18"/>
      <c r="VK80" s="18"/>
      <c r="VL80" s="18"/>
      <c r="VM80" s="18"/>
      <c r="VN80" s="18"/>
      <c r="VO80" s="18"/>
      <c r="VP80" s="18"/>
      <c r="VQ80" s="18"/>
      <c r="VR80" s="18"/>
      <c r="VS80" s="18"/>
      <c r="VT80" s="18"/>
      <c r="VU80" s="18"/>
      <c r="VV80" s="18"/>
      <c r="VW80" s="18"/>
      <c r="VX80" s="18"/>
      <c r="VY80" s="18"/>
      <c r="VZ80" s="18"/>
      <c r="WA80" s="18"/>
      <c r="WB80" s="18"/>
      <c r="WC80" s="18"/>
      <c r="WD80" s="18"/>
      <c r="WE80" s="18"/>
      <c r="WF80" s="18"/>
      <c r="WG80" s="18"/>
      <c r="WH80" s="18"/>
      <c r="WI80" s="18"/>
      <c r="WJ80" s="18"/>
      <c r="WK80" s="18"/>
      <c r="WL80" s="18"/>
      <c r="WM80" s="18"/>
      <c r="WN80" s="18"/>
      <c r="WO80" s="18"/>
      <c r="WP80" s="18"/>
      <c r="WQ80" s="18"/>
      <c r="WR80" s="18"/>
      <c r="WS80" s="18"/>
      <c r="WT80" s="18"/>
      <c r="WU80" s="18"/>
      <c r="WV80" s="18"/>
      <c r="WW80" s="18"/>
      <c r="WX80" s="18"/>
      <c r="WY80" s="18"/>
      <c r="WZ80" s="18"/>
      <c r="XA80" s="18"/>
      <c r="XB80" s="18"/>
      <c r="XC80" s="18"/>
      <c r="XD80" s="18"/>
      <c r="XE80" s="18"/>
      <c r="XF80" s="18"/>
      <c r="XG80" s="18"/>
      <c r="XH80" s="18"/>
      <c r="XI80" s="18"/>
      <c r="XJ80" s="18"/>
      <c r="XK80" s="18"/>
      <c r="XL80" s="18"/>
      <c r="XM80" s="18"/>
      <c r="XN80" s="18"/>
      <c r="XO80" s="18"/>
      <c r="XP80" s="18"/>
      <c r="XQ80" s="18"/>
      <c r="XR80" s="18"/>
      <c r="XS80" s="18"/>
      <c r="XT80" s="18"/>
      <c r="XU80" s="18"/>
      <c r="XV80" s="18"/>
      <c r="XW80" s="18"/>
      <c r="XX80" s="18"/>
      <c r="XY80" s="18"/>
      <c r="XZ80" s="18"/>
      <c r="YA80" s="18"/>
      <c r="YB80" s="18"/>
      <c r="YC80" s="18"/>
      <c r="YD80" s="18"/>
      <c r="YE80" s="18"/>
      <c r="YF80" s="18"/>
      <c r="YG80" s="18"/>
      <c r="YH80" s="18"/>
      <c r="YI80" s="18"/>
      <c r="YJ80" s="18"/>
      <c r="YK80" s="18"/>
      <c r="YL80" s="18"/>
      <c r="YM80" s="18"/>
      <c r="YN80" s="18"/>
      <c r="YO80" s="18"/>
      <c r="YP80" s="18"/>
      <c r="YQ80" s="18"/>
      <c r="YR80" s="18"/>
      <c r="YS80" s="18"/>
      <c r="YT80" s="18"/>
      <c r="YU80" s="18"/>
      <c r="YV80" s="18"/>
      <c r="YW80" s="18"/>
      <c r="YX80" s="18"/>
      <c r="YY80" s="18"/>
      <c r="YZ80" s="18"/>
      <c r="ZA80" s="18"/>
      <c r="ZB80" s="18"/>
      <c r="ZC80" s="18"/>
      <c r="ZD80" s="18"/>
      <c r="ZE80" s="18"/>
      <c r="ZF80" s="18"/>
      <c r="ZG80" s="18"/>
      <c r="ZH80" s="18"/>
      <c r="ZI80" s="18"/>
      <c r="ZJ80" s="18"/>
      <c r="ZK80" s="18"/>
      <c r="ZL80" s="18"/>
      <c r="ZM80" s="18"/>
      <c r="ZN80" s="18"/>
      <c r="ZO80" s="18"/>
      <c r="ZP80" s="18"/>
      <c r="ZQ80" s="18"/>
      <c r="ZR80" s="18"/>
      <c r="ZS80" s="18"/>
      <c r="ZT80" s="18"/>
      <c r="ZU80" s="18"/>
      <c r="ZV80" s="18"/>
      <c r="ZW80" s="18"/>
      <c r="ZX80" s="18"/>
      <c r="ZY80" s="18"/>
      <c r="ZZ80" s="18"/>
      <c r="AAA80" s="18"/>
      <c r="AAB80" s="18"/>
      <c r="AAC80" s="18"/>
      <c r="AAD80" s="18"/>
      <c r="AAE80" s="18"/>
      <c r="AAF80" s="18"/>
      <c r="AAG80" s="18"/>
      <c r="AAH80" s="18"/>
      <c r="AAI80" s="18"/>
      <c r="AAJ80" s="18"/>
      <c r="AAK80" s="18"/>
      <c r="AAL80" s="18"/>
      <c r="AAM80" s="18"/>
      <c r="AAN80" s="18"/>
      <c r="AAO80" s="18"/>
      <c r="AAP80" s="18"/>
      <c r="AAQ80" s="18"/>
      <c r="AAR80" s="18"/>
      <c r="AAS80" s="18"/>
      <c r="AAT80" s="18"/>
      <c r="AAU80" s="18"/>
      <c r="AAV80" s="18"/>
      <c r="AAW80" s="18"/>
      <c r="AAX80" s="18"/>
      <c r="AAY80" s="18"/>
      <c r="AAZ80" s="18"/>
      <c r="ABA80" s="18"/>
      <c r="ABB80" s="18"/>
      <c r="ABC80" s="18"/>
      <c r="ABD80" s="18"/>
      <c r="ABE80" s="18"/>
      <c r="ABF80" s="18"/>
      <c r="ABG80" s="18"/>
      <c r="ABH80" s="18"/>
      <c r="ABI80" s="18"/>
      <c r="ABJ80" s="18"/>
      <c r="ABK80" s="18"/>
      <c r="ABL80" s="18"/>
      <c r="ABM80" s="18"/>
      <c r="ABN80" s="18"/>
      <c r="ABO80" s="18"/>
      <c r="ABP80" s="18"/>
      <c r="ABQ80" s="18"/>
      <c r="ABR80" s="18"/>
      <c r="ABS80" s="18"/>
      <c r="ABT80" s="18"/>
      <c r="ABU80" s="18"/>
      <c r="ABV80" s="18"/>
      <c r="ABW80" s="18"/>
      <c r="ABX80" s="18"/>
      <c r="ABY80" s="18"/>
      <c r="ABZ80" s="18"/>
      <c r="ACA80" s="18"/>
      <c r="ACB80" s="18"/>
      <c r="ACC80" s="18"/>
      <c r="ACD80" s="18"/>
      <c r="ACE80" s="18"/>
      <c r="ACF80" s="18"/>
      <c r="ACG80" s="18"/>
      <c r="ACH80" s="18"/>
      <c r="ACI80" s="18"/>
      <c r="ACJ80" s="18"/>
      <c r="ACK80" s="18"/>
      <c r="ACL80" s="18"/>
      <c r="ACM80" s="18"/>
      <c r="ACN80" s="18"/>
      <c r="ACO80" s="18"/>
      <c r="ACP80" s="18"/>
      <c r="ACQ80" s="18"/>
      <c r="ACR80" s="18"/>
      <c r="ACS80" s="18"/>
      <c r="ACT80" s="18"/>
      <c r="ACU80" s="18"/>
      <c r="ACV80" s="18"/>
      <c r="ACW80" s="18"/>
      <c r="ACX80" s="18"/>
      <c r="ACY80" s="18"/>
      <c r="ACZ80" s="18"/>
      <c r="ADA80" s="18"/>
      <c r="ADB80" s="18"/>
      <c r="ADC80" s="18"/>
      <c r="ADD80" s="18"/>
      <c r="ADE80" s="18"/>
      <c r="ADF80" s="18"/>
      <c r="ADG80" s="18"/>
      <c r="ADH80" s="18"/>
      <c r="ADI80" s="18"/>
      <c r="ADJ80" s="18"/>
      <c r="ADK80" s="18"/>
      <c r="ADL80" s="18"/>
      <c r="ADM80" s="18"/>
      <c r="ADN80" s="18"/>
      <c r="ADO80" s="18"/>
      <c r="ADP80" s="18"/>
      <c r="ADQ80" s="18"/>
      <c r="ADR80" s="18"/>
      <c r="ADS80" s="18"/>
      <c r="ADT80" s="18"/>
      <c r="ADU80" s="18"/>
      <c r="ADV80" s="18"/>
      <c r="ADW80" s="18"/>
      <c r="ADX80" s="18"/>
      <c r="ADY80" s="18"/>
      <c r="ADZ80" s="18"/>
      <c r="AEA80" s="18"/>
      <c r="AEB80" s="18"/>
      <c r="AEC80" s="18"/>
      <c r="AED80" s="18"/>
      <c r="AEE80" s="18"/>
      <c r="AEF80" s="18"/>
      <c r="AEG80" s="18"/>
      <c r="AEH80" s="18"/>
      <c r="AEI80" s="18"/>
      <c r="AEJ80" s="18"/>
      <c r="AEK80" s="18"/>
      <c r="AEL80" s="18"/>
      <c r="AEM80" s="18"/>
      <c r="AEN80" s="18"/>
      <c r="AEO80" s="18"/>
      <c r="AEP80" s="18"/>
      <c r="AEQ80" s="18"/>
      <c r="AER80" s="18"/>
      <c r="AES80" s="18"/>
      <c r="AET80" s="18"/>
      <c r="AEU80" s="18"/>
      <c r="AEV80" s="18"/>
      <c r="AEW80" s="18"/>
      <c r="AEX80" s="18"/>
      <c r="AEY80" s="18"/>
      <c r="AEZ80" s="18"/>
      <c r="AFA80" s="18"/>
      <c r="AFB80" s="18"/>
      <c r="AFC80" s="18"/>
      <c r="AFD80" s="18"/>
      <c r="AFE80" s="18"/>
      <c r="AFF80" s="18"/>
      <c r="AFG80" s="18"/>
      <c r="AFH80" s="18"/>
      <c r="AFI80" s="18"/>
      <c r="AFJ80" s="18"/>
      <c r="AFK80" s="18"/>
      <c r="AFL80" s="18"/>
      <c r="AFM80" s="18"/>
      <c r="AFN80" s="18"/>
      <c r="AFO80" s="18"/>
      <c r="AFP80" s="18"/>
      <c r="AFQ80" s="18"/>
      <c r="AFR80" s="18"/>
      <c r="AFS80" s="18"/>
      <c r="AFT80" s="18"/>
      <c r="AFU80" s="18"/>
      <c r="AFV80" s="18"/>
      <c r="AFW80" s="18"/>
      <c r="AFX80" s="18"/>
      <c r="AFY80" s="18"/>
      <c r="AFZ80" s="18"/>
      <c r="AGA80" s="18"/>
      <c r="AGB80" s="18"/>
      <c r="AGC80" s="18"/>
      <c r="AGD80" s="18"/>
      <c r="AGE80" s="18"/>
      <c r="AGF80" s="18"/>
      <c r="AGG80" s="18"/>
      <c r="AGH80" s="18"/>
      <c r="AGI80" s="18"/>
      <c r="AGJ80" s="18"/>
      <c r="AGK80" s="18"/>
      <c r="AGL80" s="18"/>
      <c r="AGM80" s="18"/>
      <c r="AGN80" s="18"/>
      <c r="AGO80" s="18"/>
      <c r="AGP80" s="18"/>
      <c r="AGQ80" s="18"/>
      <c r="AGR80" s="18"/>
      <c r="AGS80" s="18"/>
      <c r="AGT80" s="18"/>
      <c r="AGU80" s="18"/>
      <c r="AGV80" s="18"/>
      <c r="AGW80" s="18"/>
      <c r="AGX80" s="18"/>
      <c r="AGY80" s="18"/>
      <c r="AGZ80" s="18"/>
      <c r="AHA80" s="18"/>
      <c r="AHB80" s="18"/>
      <c r="AHC80" s="18"/>
      <c r="AHD80" s="18"/>
      <c r="AHE80" s="18"/>
      <c r="AHF80" s="18"/>
      <c r="AHG80" s="18"/>
      <c r="AHH80" s="18"/>
      <c r="AHI80" s="18"/>
      <c r="AHJ80" s="18"/>
      <c r="AHK80" s="18"/>
      <c r="AHL80" s="18"/>
      <c r="AHM80" s="18"/>
      <c r="AHN80" s="18"/>
      <c r="AHO80" s="18"/>
      <c r="AHP80" s="18"/>
      <c r="AHQ80" s="18"/>
      <c r="AHR80" s="18"/>
      <c r="AHS80" s="18"/>
      <c r="AHT80" s="18"/>
      <c r="AHU80" s="18"/>
      <c r="AHV80" s="18"/>
      <c r="AHW80" s="18"/>
      <c r="AHX80" s="18"/>
      <c r="AHY80" s="18"/>
      <c r="AHZ80" s="18"/>
      <c r="AIA80" s="18"/>
      <c r="AIB80" s="18"/>
      <c r="AIC80" s="18"/>
      <c r="AID80" s="18"/>
      <c r="AIE80" s="18"/>
      <c r="AIF80" s="18"/>
      <c r="AIG80" s="18"/>
      <c r="AIH80" s="18"/>
      <c r="AII80" s="18"/>
      <c r="AIJ80" s="18"/>
      <c r="AIK80" s="18"/>
      <c r="AIL80" s="18"/>
      <c r="AIM80" s="18"/>
      <c r="AIN80" s="18"/>
      <c r="AIO80" s="18"/>
      <c r="AIP80" s="18"/>
      <c r="AIQ80" s="18"/>
      <c r="AIR80" s="18"/>
      <c r="AIS80" s="18"/>
      <c r="AIT80" s="18"/>
      <c r="AIU80" s="18"/>
      <c r="AIV80" s="18"/>
      <c r="AIW80" s="18"/>
      <c r="AIX80" s="18"/>
      <c r="AIY80" s="18"/>
      <c r="AIZ80" s="18"/>
      <c r="AJA80" s="18"/>
      <c r="AJB80" s="18"/>
      <c r="AJC80" s="18"/>
      <c r="AJD80" s="18"/>
      <c r="AJE80" s="18"/>
      <c r="AJF80" s="18"/>
      <c r="AJG80" s="18"/>
      <c r="AJH80" s="18"/>
      <c r="AJI80" s="18"/>
      <c r="AJJ80" s="18"/>
      <c r="AJK80" s="18"/>
      <c r="AJL80" s="18"/>
      <c r="AJM80" s="18"/>
      <c r="AJN80" s="18"/>
      <c r="AJO80" s="18"/>
      <c r="AJP80" s="18"/>
      <c r="AJQ80" s="18"/>
      <c r="AJR80" s="18"/>
      <c r="AJS80" s="18"/>
      <c r="AJT80" s="18"/>
      <c r="AJU80" s="18"/>
      <c r="AJV80" s="18"/>
      <c r="AJW80" s="18"/>
      <c r="AJX80" s="18"/>
      <c r="AJY80" s="18"/>
      <c r="AJZ80" s="18"/>
      <c r="AKA80" s="18"/>
      <c r="AKB80" s="18"/>
      <c r="AKC80" s="18"/>
      <c r="AKD80" s="18"/>
      <c r="AKE80" s="18"/>
      <c r="AKF80" s="18"/>
      <c r="AKG80" s="18"/>
      <c r="AKH80" s="18"/>
      <c r="AKI80" s="18"/>
      <c r="AKJ80" s="18"/>
      <c r="AKK80" s="18"/>
      <c r="AKL80" s="18"/>
      <c r="AKM80" s="18"/>
      <c r="AKN80" s="18"/>
      <c r="AKO80" s="18"/>
      <c r="AKP80" s="18"/>
      <c r="AKQ80" s="18"/>
      <c r="AKR80" s="18"/>
      <c r="AKS80" s="18"/>
      <c r="AKT80" s="18"/>
      <c r="AKU80" s="18"/>
      <c r="AKV80" s="18"/>
      <c r="AKW80" s="18"/>
      <c r="AKX80" s="18"/>
      <c r="AKY80" s="18"/>
      <c r="AKZ80" s="18"/>
      <c r="ALA80" s="18"/>
      <c r="ALB80" s="18"/>
      <c r="ALC80" s="18"/>
      <c r="ALD80" s="18"/>
      <c r="ALE80" s="18"/>
      <c r="ALF80" s="18"/>
      <c r="ALG80" s="18"/>
      <c r="ALH80" s="18"/>
      <c r="ALI80" s="18"/>
      <c r="ALJ80" s="18"/>
      <c r="ALK80" s="18"/>
      <c r="ALL80" s="18"/>
      <c r="ALM80" s="18"/>
      <c r="ALN80" s="18"/>
      <c r="ALO80" s="18"/>
      <c r="ALP80" s="18"/>
      <c r="ALQ80" s="18"/>
      <c r="ALR80" s="18"/>
      <c r="ALS80" s="18"/>
      <c r="ALT80" s="18"/>
      <c r="ALU80" s="18"/>
      <c r="ALV80" s="18"/>
      <c r="ALW80" s="18"/>
      <c r="ALX80" s="18"/>
      <c r="ALY80" s="18"/>
      <c r="ALZ80" s="18"/>
      <c r="AMA80" s="18"/>
      <c r="AMB80" s="18"/>
      <c r="AMC80" s="18"/>
      <c r="AMD80" s="18"/>
      <c r="AME80" s="18"/>
      <c r="AMF80" s="18"/>
      <c r="AMG80" s="18"/>
      <c r="AMH80" s="18"/>
    </row>
    <row r="81" spans="1:1022" s="23" customFormat="1" x14ac:dyDescent="0.3">
      <c r="A81" s="33">
        <v>177</v>
      </c>
      <c r="B81" s="19"/>
      <c r="C81" s="19"/>
      <c r="D81" s="34" t="s">
        <v>350</v>
      </c>
      <c r="E81" s="34" t="s">
        <v>500</v>
      </c>
      <c r="F81" s="43">
        <v>65</v>
      </c>
      <c r="G81" s="19"/>
      <c r="H81" s="18"/>
      <c r="I81" s="31"/>
      <c r="J81" s="37" t="s">
        <v>281</v>
      </c>
      <c r="K81" s="31"/>
      <c r="L81" s="31"/>
      <c r="M81" s="32"/>
      <c r="N81" s="32"/>
      <c r="O81" s="18"/>
      <c r="P81" s="36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8"/>
      <c r="BC81" s="18"/>
      <c r="BD81" s="18"/>
      <c r="BE81" s="18"/>
      <c r="BF81" s="18"/>
      <c r="BG81" s="18"/>
      <c r="BH81" s="18"/>
      <c r="BI81" s="18"/>
      <c r="BJ81" s="18"/>
      <c r="BK81" s="18"/>
      <c r="BL81" s="18"/>
      <c r="BM81" s="18"/>
      <c r="BN81" s="18"/>
      <c r="BO81" s="18"/>
      <c r="BP81" s="18"/>
      <c r="BQ81" s="18"/>
      <c r="BR81" s="18"/>
      <c r="BS81" s="18"/>
      <c r="BT81" s="18"/>
      <c r="BU81" s="18"/>
      <c r="BV81" s="18"/>
      <c r="BW81" s="18"/>
      <c r="BX81" s="18"/>
      <c r="BY81" s="18"/>
      <c r="BZ81" s="18"/>
      <c r="CA81" s="18"/>
      <c r="CB81" s="18"/>
      <c r="CC81" s="18"/>
      <c r="CD81" s="18"/>
      <c r="CE81" s="18"/>
      <c r="CF81" s="18"/>
      <c r="CG81" s="18"/>
      <c r="CH81" s="18"/>
      <c r="CI81" s="18"/>
      <c r="CJ81" s="18"/>
      <c r="CK81" s="18"/>
      <c r="CL81" s="18"/>
      <c r="CM81" s="18"/>
      <c r="CN81" s="18"/>
      <c r="CO81" s="18"/>
      <c r="CP81" s="18"/>
      <c r="CQ81" s="18"/>
      <c r="CR81" s="18"/>
      <c r="CS81" s="18"/>
      <c r="CT81" s="18"/>
      <c r="CU81" s="18"/>
      <c r="CV81" s="18"/>
      <c r="CW81" s="18"/>
      <c r="CX81" s="18"/>
      <c r="CY81" s="18"/>
      <c r="CZ81" s="18"/>
      <c r="DA81" s="18"/>
      <c r="DB81" s="18"/>
      <c r="DC81" s="18"/>
      <c r="DD81" s="18"/>
      <c r="DE81" s="18"/>
      <c r="DF81" s="18"/>
      <c r="DG81" s="18"/>
      <c r="DH81" s="18"/>
      <c r="DI81" s="18"/>
      <c r="DJ81" s="18"/>
      <c r="DK81" s="18"/>
      <c r="DL81" s="18"/>
      <c r="DM81" s="18"/>
      <c r="DN81" s="18"/>
      <c r="DO81" s="18"/>
      <c r="DP81" s="18"/>
      <c r="DQ81" s="18"/>
      <c r="DR81" s="18"/>
      <c r="DS81" s="18"/>
      <c r="DT81" s="18"/>
      <c r="DU81" s="18"/>
      <c r="DV81" s="18"/>
      <c r="DW81" s="18"/>
      <c r="DX81" s="18"/>
      <c r="DY81" s="18"/>
      <c r="DZ81" s="18"/>
      <c r="EA81" s="18"/>
      <c r="EB81" s="18"/>
      <c r="EC81" s="18"/>
      <c r="ED81" s="18"/>
      <c r="EE81" s="18"/>
      <c r="EF81" s="18"/>
      <c r="EG81" s="18"/>
      <c r="EH81" s="18"/>
      <c r="EI81" s="18"/>
      <c r="EJ81" s="18"/>
      <c r="EK81" s="18"/>
      <c r="EL81" s="18"/>
      <c r="EM81" s="18"/>
      <c r="EN81" s="18"/>
      <c r="EO81" s="18"/>
      <c r="EP81" s="18"/>
      <c r="EQ81" s="18"/>
      <c r="ER81" s="18"/>
      <c r="ES81" s="18"/>
      <c r="ET81" s="18"/>
      <c r="EU81" s="18"/>
      <c r="EV81" s="18"/>
      <c r="EW81" s="18"/>
      <c r="EX81" s="18"/>
      <c r="EY81" s="18"/>
      <c r="EZ81" s="18"/>
      <c r="FA81" s="18"/>
      <c r="FB81" s="18"/>
      <c r="FC81" s="18"/>
      <c r="FD81" s="18"/>
      <c r="FE81" s="18"/>
      <c r="FF81" s="18"/>
      <c r="FG81" s="18"/>
      <c r="FH81" s="18"/>
      <c r="FI81" s="18"/>
      <c r="FJ81" s="18"/>
      <c r="FK81" s="18"/>
      <c r="FL81" s="18"/>
      <c r="FM81" s="18"/>
      <c r="FN81" s="18"/>
      <c r="FO81" s="18"/>
      <c r="FP81" s="18"/>
      <c r="FQ81" s="18"/>
      <c r="FR81" s="18"/>
      <c r="FS81" s="18"/>
      <c r="FT81" s="18"/>
      <c r="FU81" s="18"/>
      <c r="FV81" s="18"/>
      <c r="FW81" s="18"/>
      <c r="FX81" s="18"/>
      <c r="FY81" s="18"/>
      <c r="FZ81" s="18"/>
      <c r="GA81" s="18"/>
      <c r="GB81" s="18"/>
      <c r="GC81" s="18"/>
      <c r="GD81" s="18"/>
      <c r="GE81" s="18"/>
      <c r="GF81" s="18"/>
      <c r="GG81" s="18"/>
      <c r="GH81" s="18"/>
      <c r="GI81" s="18"/>
      <c r="GJ81" s="18"/>
      <c r="GK81" s="18"/>
      <c r="GL81" s="18"/>
      <c r="GM81" s="18"/>
      <c r="GN81" s="18"/>
      <c r="GO81" s="18"/>
      <c r="GP81" s="18"/>
      <c r="GQ81" s="18"/>
      <c r="GR81" s="18"/>
      <c r="GS81" s="18"/>
      <c r="GT81" s="18"/>
      <c r="GU81" s="18"/>
      <c r="GV81" s="18"/>
      <c r="GW81" s="18"/>
      <c r="GX81" s="18"/>
      <c r="GY81" s="18"/>
      <c r="GZ81" s="18"/>
      <c r="HA81" s="18"/>
      <c r="HB81" s="18"/>
      <c r="HC81" s="18"/>
      <c r="HD81" s="18"/>
      <c r="HE81" s="18"/>
      <c r="HF81" s="18"/>
      <c r="HG81" s="18"/>
      <c r="HH81" s="18"/>
      <c r="HI81" s="18"/>
      <c r="HJ81" s="18"/>
      <c r="HK81" s="18"/>
      <c r="HL81" s="18"/>
      <c r="HM81" s="18"/>
      <c r="HN81" s="18"/>
      <c r="HO81" s="18"/>
      <c r="HP81" s="18"/>
      <c r="HQ81" s="18"/>
      <c r="HR81" s="18"/>
      <c r="HS81" s="18"/>
      <c r="HT81" s="18"/>
      <c r="HU81" s="18"/>
      <c r="HV81" s="18"/>
      <c r="HW81" s="18"/>
      <c r="HX81" s="18"/>
      <c r="HY81" s="18"/>
      <c r="HZ81" s="18"/>
      <c r="IA81" s="18"/>
      <c r="IB81" s="18"/>
      <c r="IC81" s="18"/>
      <c r="ID81" s="18"/>
      <c r="IE81" s="18"/>
      <c r="IF81" s="18"/>
      <c r="IG81" s="18"/>
      <c r="IH81" s="18"/>
      <c r="II81" s="18"/>
      <c r="IJ81" s="18"/>
      <c r="IK81" s="18"/>
      <c r="IL81" s="18"/>
      <c r="IM81" s="18"/>
      <c r="IN81" s="18"/>
      <c r="IO81" s="18"/>
      <c r="IP81" s="18"/>
      <c r="IQ81" s="18"/>
      <c r="IR81" s="18"/>
      <c r="IS81" s="18"/>
      <c r="IT81" s="18"/>
      <c r="IU81" s="18"/>
      <c r="IV81" s="18"/>
      <c r="IW81" s="18"/>
      <c r="IX81" s="18"/>
      <c r="IY81" s="18"/>
      <c r="IZ81" s="18"/>
      <c r="JA81" s="18"/>
      <c r="JB81" s="18"/>
      <c r="JC81" s="18"/>
      <c r="JD81" s="18"/>
      <c r="JE81" s="18"/>
      <c r="JF81" s="18"/>
      <c r="JG81" s="18"/>
      <c r="JH81" s="18"/>
      <c r="JI81" s="18"/>
      <c r="JJ81" s="18"/>
      <c r="JK81" s="18"/>
      <c r="JL81" s="18"/>
      <c r="JM81" s="18"/>
      <c r="JN81" s="18"/>
      <c r="JO81" s="18"/>
      <c r="JP81" s="18"/>
      <c r="JQ81" s="18"/>
      <c r="JR81" s="18"/>
      <c r="JS81" s="18"/>
      <c r="JT81" s="18"/>
      <c r="JU81" s="18"/>
      <c r="JV81" s="18"/>
      <c r="JW81" s="18"/>
      <c r="JX81" s="18"/>
      <c r="JY81" s="18"/>
      <c r="JZ81" s="18"/>
      <c r="KA81" s="18"/>
      <c r="KB81" s="18"/>
      <c r="KC81" s="18"/>
      <c r="KD81" s="18"/>
      <c r="KE81" s="18"/>
      <c r="KF81" s="18"/>
      <c r="KG81" s="18"/>
      <c r="KH81" s="18"/>
      <c r="KI81" s="18"/>
      <c r="KJ81" s="18"/>
      <c r="KK81" s="18"/>
      <c r="KL81" s="18"/>
      <c r="KM81" s="18"/>
      <c r="KN81" s="18"/>
      <c r="KO81" s="18"/>
      <c r="KP81" s="18"/>
      <c r="KQ81" s="18"/>
      <c r="KR81" s="18"/>
      <c r="KS81" s="18"/>
      <c r="KT81" s="18"/>
      <c r="KU81" s="18"/>
      <c r="KV81" s="18"/>
      <c r="KW81" s="18"/>
      <c r="KX81" s="18"/>
      <c r="KY81" s="18"/>
      <c r="KZ81" s="18"/>
      <c r="LA81" s="18"/>
      <c r="LB81" s="18"/>
      <c r="LC81" s="18"/>
      <c r="LD81" s="18"/>
      <c r="LE81" s="18"/>
      <c r="LF81" s="18"/>
      <c r="LG81" s="18"/>
      <c r="LH81" s="18"/>
      <c r="LI81" s="18"/>
      <c r="LJ81" s="18"/>
      <c r="LK81" s="18"/>
      <c r="LL81" s="18"/>
      <c r="LM81" s="18"/>
      <c r="LN81" s="18"/>
      <c r="LO81" s="18"/>
      <c r="LP81" s="18"/>
      <c r="LQ81" s="18"/>
      <c r="LR81" s="18"/>
      <c r="LS81" s="18"/>
      <c r="LT81" s="18"/>
      <c r="LU81" s="18"/>
      <c r="LV81" s="18"/>
      <c r="LW81" s="18"/>
      <c r="LX81" s="18"/>
      <c r="LY81" s="18"/>
      <c r="LZ81" s="18"/>
      <c r="MA81" s="18"/>
      <c r="MB81" s="18"/>
      <c r="MC81" s="18"/>
      <c r="MD81" s="18"/>
      <c r="ME81" s="18"/>
      <c r="MF81" s="18"/>
      <c r="MG81" s="18"/>
      <c r="MH81" s="18"/>
      <c r="MI81" s="18"/>
      <c r="MJ81" s="18"/>
      <c r="MK81" s="18"/>
      <c r="ML81" s="18"/>
      <c r="MM81" s="18"/>
      <c r="MN81" s="18"/>
      <c r="MO81" s="18"/>
      <c r="MP81" s="18"/>
      <c r="MQ81" s="18"/>
      <c r="MR81" s="18"/>
      <c r="MS81" s="18"/>
      <c r="MT81" s="18"/>
      <c r="MU81" s="18"/>
      <c r="MV81" s="18"/>
      <c r="MW81" s="18"/>
      <c r="MX81" s="18"/>
      <c r="MY81" s="18"/>
      <c r="MZ81" s="18"/>
      <c r="NA81" s="18"/>
      <c r="NB81" s="18"/>
      <c r="NC81" s="18"/>
      <c r="ND81" s="18"/>
      <c r="NE81" s="18"/>
      <c r="NF81" s="18"/>
      <c r="NG81" s="18"/>
      <c r="NH81" s="18"/>
      <c r="NI81" s="18"/>
      <c r="NJ81" s="18"/>
      <c r="NK81" s="18"/>
      <c r="NL81" s="18"/>
      <c r="NM81" s="18"/>
      <c r="NN81" s="18"/>
      <c r="NO81" s="18"/>
      <c r="NP81" s="18"/>
      <c r="NQ81" s="18"/>
      <c r="NR81" s="18"/>
      <c r="NS81" s="18"/>
      <c r="NT81" s="18"/>
      <c r="NU81" s="18"/>
      <c r="NV81" s="18"/>
      <c r="NW81" s="18"/>
      <c r="NX81" s="18"/>
      <c r="NY81" s="18"/>
      <c r="NZ81" s="18"/>
      <c r="OA81" s="18"/>
      <c r="OB81" s="18"/>
      <c r="OC81" s="18"/>
      <c r="OD81" s="18"/>
      <c r="OE81" s="18"/>
      <c r="OF81" s="18"/>
      <c r="OG81" s="18"/>
      <c r="OH81" s="18"/>
      <c r="OI81" s="18"/>
      <c r="OJ81" s="18"/>
      <c r="OK81" s="18"/>
      <c r="OL81" s="18"/>
      <c r="OM81" s="18"/>
      <c r="ON81" s="18"/>
      <c r="OO81" s="18"/>
      <c r="OP81" s="18"/>
      <c r="OQ81" s="18"/>
      <c r="OR81" s="18"/>
      <c r="OS81" s="18"/>
      <c r="OT81" s="18"/>
      <c r="OU81" s="18"/>
      <c r="OV81" s="18"/>
      <c r="OW81" s="18"/>
      <c r="OX81" s="18"/>
      <c r="OY81" s="18"/>
      <c r="OZ81" s="18"/>
      <c r="PA81" s="18"/>
      <c r="PB81" s="18"/>
      <c r="PC81" s="18"/>
      <c r="PD81" s="18"/>
      <c r="PE81" s="18"/>
      <c r="PF81" s="18"/>
      <c r="PG81" s="18"/>
      <c r="PH81" s="18"/>
      <c r="PI81" s="18"/>
      <c r="PJ81" s="18"/>
      <c r="PK81" s="18"/>
      <c r="PL81" s="18"/>
      <c r="PM81" s="18"/>
      <c r="PN81" s="18"/>
      <c r="PO81" s="18"/>
      <c r="PP81" s="18"/>
      <c r="PQ81" s="18"/>
      <c r="PR81" s="18"/>
      <c r="PS81" s="18"/>
      <c r="PT81" s="18"/>
      <c r="PU81" s="18"/>
      <c r="PV81" s="18"/>
      <c r="PW81" s="18"/>
      <c r="PX81" s="18"/>
      <c r="PY81" s="18"/>
      <c r="PZ81" s="18"/>
      <c r="QA81" s="18"/>
      <c r="QB81" s="18"/>
      <c r="QC81" s="18"/>
      <c r="QD81" s="18"/>
      <c r="QE81" s="18"/>
      <c r="QF81" s="18"/>
      <c r="QG81" s="18"/>
      <c r="QH81" s="18"/>
      <c r="QI81" s="18"/>
      <c r="QJ81" s="18"/>
      <c r="QK81" s="18"/>
      <c r="QL81" s="18"/>
      <c r="QM81" s="18"/>
      <c r="QN81" s="18"/>
      <c r="QO81" s="18"/>
      <c r="QP81" s="18"/>
      <c r="QQ81" s="18"/>
      <c r="QR81" s="18"/>
      <c r="QS81" s="18"/>
      <c r="QT81" s="18"/>
      <c r="QU81" s="18"/>
      <c r="QV81" s="18"/>
      <c r="QW81" s="18"/>
      <c r="QX81" s="18"/>
      <c r="QY81" s="18"/>
      <c r="QZ81" s="18"/>
      <c r="RA81" s="18"/>
      <c r="RB81" s="18"/>
      <c r="RC81" s="18"/>
      <c r="RD81" s="18"/>
      <c r="RE81" s="18"/>
      <c r="RF81" s="18"/>
      <c r="RG81" s="18"/>
      <c r="RH81" s="18"/>
      <c r="RI81" s="18"/>
      <c r="RJ81" s="18"/>
      <c r="RK81" s="18"/>
      <c r="RL81" s="18"/>
      <c r="RM81" s="18"/>
      <c r="RN81" s="18"/>
      <c r="RO81" s="18"/>
      <c r="RP81" s="18"/>
      <c r="RQ81" s="18"/>
      <c r="RR81" s="18"/>
      <c r="RS81" s="18"/>
      <c r="RT81" s="18"/>
      <c r="RU81" s="18"/>
      <c r="RV81" s="18"/>
      <c r="RW81" s="18"/>
      <c r="RX81" s="18"/>
      <c r="RY81" s="18"/>
      <c r="RZ81" s="18"/>
      <c r="SA81" s="18"/>
      <c r="SB81" s="18"/>
      <c r="SC81" s="18"/>
      <c r="SD81" s="18"/>
      <c r="SE81" s="18"/>
      <c r="SF81" s="18"/>
      <c r="SG81" s="18"/>
      <c r="SH81" s="18"/>
      <c r="SI81" s="18"/>
      <c r="SJ81" s="18"/>
      <c r="SK81" s="18"/>
      <c r="SL81" s="18"/>
      <c r="SM81" s="18"/>
      <c r="SN81" s="18"/>
      <c r="SO81" s="18"/>
      <c r="SP81" s="18"/>
      <c r="SQ81" s="18"/>
      <c r="SR81" s="18"/>
      <c r="SS81" s="18"/>
      <c r="ST81" s="18"/>
      <c r="SU81" s="18"/>
      <c r="SV81" s="18"/>
      <c r="SW81" s="18"/>
      <c r="SX81" s="18"/>
      <c r="SY81" s="18"/>
      <c r="SZ81" s="18"/>
      <c r="TA81" s="18"/>
      <c r="TB81" s="18"/>
      <c r="TC81" s="18"/>
      <c r="TD81" s="18"/>
      <c r="TE81" s="18"/>
      <c r="TF81" s="18"/>
      <c r="TG81" s="18"/>
      <c r="TH81" s="18"/>
      <c r="TI81" s="18"/>
      <c r="TJ81" s="18"/>
      <c r="TK81" s="18"/>
      <c r="TL81" s="18"/>
      <c r="TM81" s="18"/>
      <c r="TN81" s="18"/>
      <c r="TO81" s="18"/>
      <c r="TP81" s="18"/>
      <c r="TQ81" s="18"/>
      <c r="TR81" s="18"/>
      <c r="TS81" s="18"/>
      <c r="TT81" s="18"/>
      <c r="TU81" s="18"/>
      <c r="TV81" s="18"/>
      <c r="TW81" s="18"/>
      <c r="TX81" s="18"/>
      <c r="TY81" s="18"/>
      <c r="TZ81" s="18"/>
      <c r="UA81" s="18"/>
      <c r="UB81" s="18"/>
      <c r="UC81" s="18"/>
      <c r="UD81" s="18"/>
      <c r="UE81" s="18"/>
      <c r="UF81" s="18"/>
      <c r="UG81" s="18"/>
      <c r="UH81" s="18"/>
      <c r="UI81" s="18"/>
      <c r="UJ81" s="18"/>
      <c r="UK81" s="18"/>
      <c r="UL81" s="18"/>
      <c r="UM81" s="18"/>
      <c r="UN81" s="18"/>
      <c r="UO81" s="18"/>
      <c r="UP81" s="18"/>
      <c r="UQ81" s="18"/>
      <c r="UR81" s="18"/>
      <c r="US81" s="18"/>
      <c r="UT81" s="18"/>
      <c r="UU81" s="18"/>
      <c r="UV81" s="18"/>
      <c r="UW81" s="18"/>
      <c r="UX81" s="18"/>
      <c r="UY81" s="18"/>
      <c r="UZ81" s="18"/>
      <c r="VA81" s="18"/>
      <c r="VB81" s="18"/>
      <c r="VC81" s="18"/>
      <c r="VD81" s="18"/>
      <c r="VE81" s="18"/>
      <c r="VF81" s="18"/>
      <c r="VG81" s="18"/>
      <c r="VH81" s="18"/>
      <c r="VI81" s="18"/>
      <c r="VJ81" s="18"/>
      <c r="VK81" s="18"/>
      <c r="VL81" s="18"/>
      <c r="VM81" s="18"/>
      <c r="VN81" s="18"/>
      <c r="VO81" s="18"/>
      <c r="VP81" s="18"/>
      <c r="VQ81" s="18"/>
      <c r="VR81" s="18"/>
      <c r="VS81" s="18"/>
      <c r="VT81" s="18"/>
      <c r="VU81" s="18"/>
      <c r="VV81" s="18"/>
      <c r="VW81" s="18"/>
      <c r="VX81" s="18"/>
      <c r="VY81" s="18"/>
      <c r="VZ81" s="18"/>
      <c r="WA81" s="18"/>
      <c r="WB81" s="18"/>
      <c r="WC81" s="18"/>
      <c r="WD81" s="18"/>
      <c r="WE81" s="18"/>
      <c r="WF81" s="18"/>
      <c r="WG81" s="18"/>
      <c r="WH81" s="18"/>
      <c r="WI81" s="18"/>
      <c r="WJ81" s="18"/>
      <c r="WK81" s="18"/>
      <c r="WL81" s="18"/>
      <c r="WM81" s="18"/>
      <c r="WN81" s="18"/>
      <c r="WO81" s="18"/>
      <c r="WP81" s="18"/>
      <c r="WQ81" s="18"/>
      <c r="WR81" s="18"/>
      <c r="WS81" s="18"/>
      <c r="WT81" s="18"/>
      <c r="WU81" s="18"/>
      <c r="WV81" s="18"/>
      <c r="WW81" s="18"/>
      <c r="WX81" s="18"/>
      <c r="WY81" s="18"/>
      <c r="WZ81" s="18"/>
      <c r="XA81" s="18"/>
      <c r="XB81" s="18"/>
      <c r="XC81" s="18"/>
      <c r="XD81" s="18"/>
      <c r="XE81" s="18"/>
      <c r="XF81" s="18"/>
      <c r="XG81" s="18"/>
      <c r="XH81" s="18"/>
      <c r="XI81" s="18"/>
      <c r="XJ81" s="18"/>
      <c r="XK81" s="18"/>
      <c r="XL81" s="18"/>
      <c r="XM81" s="18"/>
      <c r="XN81" s="18"/>
      <c r="XO81" s="18"/>
      <c r="XP81" s="18"/>
      <c r="XQ81" s="18"/>
      <c r="XR81" s="18"/>
      <c r="XS81" s="18"/>
      <c r="XT81" s="18"/>
      <c r="XU81" s="18"/>
      <c r="XV81" s="18"/>
      <c r="XW81" s="18"/>
      <c r="XX81" s="18"/>
      <c r="XY81" s="18"/>
      <c r="XZ81" s="18"/>
      <c r="YA81" s="18"/>
      <c r="YB81" s="18"/>
      <c r="YC81" s="18"/>
      <c r="YD81" s="18"/>
      <c r="YE81" s="18"/>
      <c r="YF81" s="18"/>
      <c r="YG81" s="18"/>
      <c r="YH81" s="18"/>
      <c r="YI81" s="18"/>
      <c r="YJ81" s="18"/>
      <c r="YK81" s="18"/>
      <c r="YL81" s="18"/>
      <c r="YM81" s="18"/>
      <c r="YN81" s="18"/>
      <c r="YO81" s="18"/>
      <c r="YP81" s="18"/>
      <c r="YQ81" s="18"/>
      <c r="YR81" s="18"/>
      <c r="YS81" s="18"/>
      <c r="YT81" s="18"/>
      <c r="YU81" s="18"/>
      <c r="YV81" s="18"/>
      <c r="YW81" s="18"/>
      <c r="YX81" s="18"/>
      <c r="YY81" s="18"/>
      <c r="YZ81" s="18"/>
      <c r="ZA81" s="18"/>
      <c r="ZB81" s="18"/>
      <c r="ZC81" s="18"/>
      <c r="ZD81" s="18"/>
      <c r="ZE81" s="18"/>
      <c r="ZF81" s="18"/>
      <c r="ZG81" s="18"/>
      <c r="ZH81" s="18"/>
      <c r="ZI81" s="18"/>
      <c r="ZJ81" s="18"/>
      <c r="ZK81" s="18"/>
      <c r="ZL81" s="18"/>
      <c r="ZM81" s="18"/>
      <c r="ZN81" s="18"/>
      <c r="ZO81" s="18"/>
      <c r="ZP81" s="18"/>
      <c r="ZQ81" s="18"/>
      <c r="ZR81" s="18"/>
      <c r="ZS81" s="18"/>
      <c r="ZT81" s="18"/>
      <c r="ZU81" s="18"/>
      <c r="ZV81" s="18"/>
      <c r="ZW81" s="18"/>
      <c r="ZX81" s="18"/>
      <c r="ZY81" s="18"/>
      <c r="ZZ81" s="18"/>
      <c r="AAA81" s="18"/>
      <c r="AAB81" s="18"/>
      <c r="AAC81" s="18"/>
      <c r="AAD81" s="18"/>
      <c r="AAE81" s="18"/>
      <c r="AAF81" s="18"/>
      <c r="AAG81" s="18"/>
      <c r="AAH81" s="18"/>
      <c r="AAI81" s="18"/>
      <c r="AAJ81" s="18"/>
      <c r="AAK81" s="18"/>
      <c r="AAL81" s="18"/>
      <c r="AAM81" s="18"/>
      <c r="AAN81" s="18"/>
      <c r="AAO81" s="18"/>
      <c r="AAP81" s="18"/>
      <c r="AAQ81" s="18"/>
      <c r="AAR81" s="18"/>
      <c r="AAS81" s="18"/>
      <c r="AAT81" s="18"/>
      <c r="AAU81" s="18"/>
      <c r="AAV81" s="18"/>
      <c r="AAW81" s="18"/>
      <c r="AAX81" s="18"/>
      <c r="AAY81" s="18"/>
      <c r="AAZ81" s="18"/>
      <c r="ABA81" s="18"/>
      <c r="ABB81" s="18"/>
      <c r="ABC81" s="18"/>
      <c r="ABD81" s="18"/>
      <c r="ABE81" s="18"/>
      <c r="ABF81" s="18"/>
      <c r="ABG81" s="18"/>
      <c r="ABH81" s="18"/>
      <c r="ABI81" s="18"/>
      <c r="ABJ81" s="18"/>
      <c r="ABK81" s="18"/>
      <c r="ABL81" s="18"/>
      <c r="ABM81" s="18"/>
      <c r="ABN81" s="18"/>
      <c r="ABO81" s="18"/>
      <c r="ABP81" s="18"/>
      <c r="ABQ81" s="18"/>
      <c r="ABR81" s="18"/>
      <c r="ABS81" s="18"/>
      <c r="ABT81" s="18"/>
      <c r="ABU81" s="18"/>
      <c r="ABV81" s="18"/>
      <c r="ABW81" s="18"/>
      <c r="ABX81" s="18"/>
      <c r="ABY81" s="18"/>
      <c r="ABZ81" s="18"/>
      <c r="ACA81" s="18"/>
      <c r="ACB81" s="18"/>
      <c r="ACC81" s="18"/>
      <c r="ACD81" s="18"/>
      <c r="ACE81" s="18"/>
      <c r="ACF81" s="18"/>
      <c r="ACG81" s="18"/>
      <c r="ACH81" s="18"/>
      <c r="ACI81" s="18"/>
      <c r="ACJ81" s="18"/>
      <c r="ACK81" s="18"/>
      <c r="ACL81" s="18"/>
      <c r="ACM81" s="18"/>
      <c r="ACN81" s="18"/>
      <c r="ACO81" s="18"/>
      <c r="ACP81" s="18"/>
      <c r="ACQ81" s="18"/>
      <c r="ACR81" s="18"/>
      <c r="ACS81" s="18"/>
      <c r="ACT81" s="18"/>
      <c r="ACU81" s="18"/>
      <c r="ACV81" s="18"/>
      <c r="ACW81" s="18"/>
      <c r="ACX81" s="18"/>
      <c r="ACY81" s="18"/>
      <c r="ACZ81" s="18"/>
      <c r="ADA81" s="18"/>
      <c r="ADB81" s="18"/>
      <c r="ADC81" s="18"/>
      <c r="ADD81" s="18"/>
      <c r="ADE81" s="18"/>
      <c r="ADF81" s="18"/>
      <c r="ADG81" s="18"/>
      <c r="ADH81" s="18"/>
      <c r="ADI81" s="18"/>
      <c r="ADJ81" s="18"/>
      <c r="ADK81" s="18"/>
      <c r="ADL81" s="18"/>
      <c r="ADM81" s="18"/>
      <c r="ADN81" s="18"/>
      <c r="ADO81" s="18"/>
      <c r="ADP81" s="18"/>
      <c r="ADQ81" s="18"/>
      <c r="ADR81" s="18"/>
      <c r="ADS81" s="18"/>
      <c r="ADT81" s="18"/>
      <c r="ADU81" s="18"/>
      <c r="ADV81" s="18"/>
      <c r="ADW81" s="18"/>
      <c r="ADX81" s="18"/>
      <c r="ADY81" s="18"/>
      <c r="ADZ81" s="18"/>
      <c r="AEA81" s="18"/>
      <c r="AEB81" s="18"/>
      <c r="AEC81" s="18"/>
      <c r="AED81" s="18"/>
      <c r="AEE81" s="18"/>
      <c r="AEF81" s="18"/>
      <c r="AEG81" s="18"/>
      <c r="AEH81" s="18"/>
      <c r="AEI81" s="18"/>
      <c r="AEJ81" s="18"/>
      <c r="AEK81" s="18"/>
      <c r="AEL81" s="18"/>
      <c r="AEM81" s="18"/>
      <c r="AEN81" s="18"/>
      <c r="AEO81" s="18"/>
      <c r="AEP81" s="18"/>
      <c r="AEQ81" s="18"/>
      <c r="AER81" s="18"/>
      <c r="AES81" s="18"/>
      <c r="AET81" s="18"/>
      <c r="AEU81" s="18"/>
      <c r="AEV81" s="18"/>
      <c r="AEW81" s="18"/>
      <c r="AEX81" s="18"/>
      <c r="AEY81" s="18"/>
      <c r="AEZ81" s="18"/>
      <c r="AFA81" s="18"/>
      <c r="AFB81" s="18"/>
      <c r="AFC81" s="18"/>
      <c r="AFD81" s="18"/>
      <c r="AFE81" s="18"/>
      <c r="AFF81" s="18"/>
      <c r="AFG81" s="18"/>
      <c r="AFH81" s="18"/>
      <c r="AFI81" s="18"/>
      <c r="AFJ81" s="18"/>
      <c r="AFK81" s="18"/>
      <c r="AFL81" s="18"/>
      <c r="AFM81" s="18"/>
      <c r="AFN81" s="18"/>
      <c r="AFO81" s="18"/>
      <c r="AFP81" s="18"/>
      <c r="AFQ81" s="18"/>
      <c r="AFR81" s="18"/>
      <c r="AFS81" s="18"/>
      <c r="AFT81" s="18"/>
      <c r="AFU81" s="18"/>
      <c r="AFV81" s="18"/>
      <c r="AFW81" s="18"/>
      <c r="AFX81" s="18"/>
      <c r="AFY81" s="18"/>
      <c r="AFZ81" s="18"/>
      <c r="AGA81" s="18"/>
      <c r="AGB81" s="18"/>
      <c r="AGC81" s="18"/>
      <c r="AGD81" s="18"/>
      <c r="AGE81" s="18"/>
      <c r="AGF81" s="18"/>
      <c r="AGG81" s="18"/>
      <c r="AGH81" s="18"/>
      <c r="AGI81" s="18"/>
      <c r="AGJ81" s="18"/>
      <c r="AGK81" s="18"/>
      <c r="AGL81" s="18"/>
      <c r="AGM81" s="18"/>
      <c r="AGN81" s="18"/>
      <c r="AGO81" s="18"/>
      <c r="AGP81" s="18"/>
      <c r="AGQ81" s="18"/>
      <c r="AGR81" s="18"/>
      <c r="AGS81" s="18"/>
      <c r="AGT81" s="18"/>
      <c r="AGU81" s="18"/>
      <c r="AGV81" s="18"/>
      <c r="AGW81" s="18"/>
      <c r="AGX81" s="18"/>
      <c r="AGY81" s="18"/>
      <c r="AGZ81" s="18"/>
      <c r="AHA81" s="18"/>
      <c r="AHB81" s="18"/>
      <c r="AHC81" s="18"/>
      <c r="AHD81" s="18"/>
      <c r="AHE81" s="18"/>
      <c r="AHF81" s="18"/>
      <c r="AHG81" s="18"/>
      <c r="AHH81" s="18"/>
      <c r="AHI81" s="18"/>
      <c r="AHJ81" s="18"/>
      <c r="AHK81" s="18"/>
      <c r="AHL81" s="18"/>
      <c r="AHM81" s="18"/>
      <c r="AHN81" s="18"/>
      <c r="AHO81" s="18"/>
      <c r="AHP81" s="18"/>
      <c r="AHQ81" s="18"/>
      <c r="AHR81" s="18"/>
      <c r="AHS81" s="18"/>
      <c r="AHT81" s="18"/>
      <c r="AHU81" s="18"/>
      <c r="AHV81" s="18"/>
      <c r="AHW81" s="18"/>
      <c r="AHX81" s="18"/>
      <c r="AHY81" s="18"/>
      <c r="AHZ81" s="18"/>
      <c r="AIA81" s="18"/>
      <c r="AIB81" s="18"/>
      <c r="AIC81" s="18"/>
      <c r="AID81" s="18"/>
      <c r="AIE81" s="18"/>
      <c r="AIF81" s="18"/>
      <c r="AIG81" s="18"/>
      <c r="AIH81" s="18"/>
      <c r="AII81" s="18"/>
      <c r="AIJ81" s="18"/>
      <c r="AIK81" s="18"/>
      <c r="AIL81" s="18"/>
      <c r="AIM81" s="18"/>
      <c r="AIN81" s="18"/>
      <c r="AIO81" s="18"/>
      <c r="AIP81" s="18"/>
      <c r="AIQ81" s="18"/>
      <c r="AIR81" s="18"/>
      <c r="AIS81" s="18"/>
      <c r="AIT81" s="18"/>
      <c r="AIU81" s="18"/>
      <c r="AIV81" s="18"/>
      <c r="AIW81" s="18"/>
      <c r="AIX81" s="18"/>
      <c r="AIY81" s="18"/>
      <c r="AIZ81" s="18"/>
      <c r="AJA81" s="18"/>
      <c r="AJB81" s="18"/>
      <c r="AJC81" s="18"/>
      <c r="AJD81" s="18"/>
      <c r="AJE81" s="18"/>
      <c r="AJF81" s="18"/>
      <c r="AJG81" s="18"/>
      <c r="AJH81" s="18"/>
      <c r="AJI81" s="18"/>
      <c r="AJJ81" s="18"/>
      <c r="AJK81" s="18"/>
      <c r="AJL81" s="18"/>
      <c r="AJM81" s="18"/>
      <c r="AJN81" s="18"/>
      <c r="AJO81" s="18"/>
      <c r="AJP81" s="18"/>
      <c r="AJQ81" s="18"/>
      <c r="AJR81" s="18"/>
      <c r="AJS81" s="18"/>
      <c r="AJT81" s="18"/>
      <c r="AJU81" s="18"/>
      <c r="AJV81" s="18"/>
      <c r="AJW81" s="18"/>
      <c r="AJX81" s="18"/>
      <c r="AJY81" s="18"/>
      <c r="AJZ81" s="18"/>
      <c r="AKA81" s="18"/>
      <c r="AKB81" s="18"/>
      <c r="AKC81" s="18"/>
      <c r="AKD81" s="18"/>
      <c r="AKE81" s="18"/>
      <c r="AKF81" s="18"/>
      <c r="AKG81" s="18"/>
      <c r="AKH81" s="18"/>
      <c r="AKI81" s="18"/>
      <c r="AKJ81" s="18"/>
      <c r="AKK81" s="18"/>
      <c r="AKL81" s="18"/>
      <c r="AKM81" s="18"/>
      <c r="AKN81" s="18"/>
      <c r="AKO81" s="18"/>
      <c r="AKP81" s="18"/>
      <c r="AKQ81" s="18"/>
      <c r="AKR81" s="18"/>
      <c r="AKS81" s="18"/>
      <c r="AKT81" s="18"/>
      <c r="AKU81" s="18"/>
      <c r="AKV81" s="18"/>
      <c r="AKW81" s="18"/>
      <c r="AKX81" s="18"/>
      <c r="AKY81" s="18"/>
      <c r="AKZ81" s="18"/>
      <c r="ALA81" s="18"/>
      <c r="ALB81" s="18"/>
      <c r="ALC81" s="18"/>
      <c r="ALD81" s="18"/>
      <c r="ALE81" s="18"/>
      <c r="ALF81" s="18"/>
      <c r="ALG81" s="18"/>
      <c r="ALH81" s="18"/>
      <c r="ALI81" s="18"/>
      <c r="ALJ81" s="18"/>
      <c r="ALK81" s="18"/>
      <c r="ALL81" s="18"/>
      <c r="ALM81" s="18"/>
      <c r="ALN81" s="18"/>
      <c r="ALO81" s="18"/>
      <c r="ALP81" s="18"/>
      <c r="ALQ81" s="18"/>
      <c r="ALR81" s="18"/>
      <c r="ALS81" s="18"/>
      <c r="ALT81" s="18"/>
      <c r="ALU81" s="18"/>
      <c r="ALV81" s="18"/>
      <c r="ALW81" s="18"/>
      <c r="ALX81" s="18"/>
      <c r="ALY81" s="18"/>
      <c r="ALZ81" s="18"/>
      <c r="AMA81" s="18"/>
      <c r="AMB81" s="18"/>
      <c r="AMC81" s="18"/>
      <c r="AMD81" s="18"/>
      <c r="AME81" s="18"/>
      <c r="AMF81" s="18"/>
      <c r="AMG81" s="18"/>
      <c r="AMH81" s="18"/>
    </row>
    <row r="82" spans="1:1022" s="23" customFormat="1" x14ac:dyDescent="0.3">
      <c r="A82" s="33">
        <v>178</v>
      </c>
      <c r="B82" s="19"/>
      <c r="C82" s="19"/>
      <c r="D82" s="34" t="s">
        <v>351</v>
      </c>
      <c r="E82" s="34" t="s">
        <v>501</v>
      </c>
      <c r="F82" s="43">
        <v>75</v>
      </c>
      <c r="G82" s="19"/>
      <c r="H82" s="38" t="s">
        <v>281</v>
      </c>
      <c r="I82" s="31"/>
      <c r="J82" s="31"/>
      <c r="K82" s="31"/>
      <c r="L82" s="31"/>
      <c r="M82" s="32"/>
      <c r="N82" s="32"/>
      <c r="O82" s="18"/>
      <c r="P82" s="36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  <c r="BB82" s="18"/>
      <c r="BC82" s="18"/>
      <c r="BD82" s="18"/>
      <c r="BE82" s="18"/>
      <c r="BF82" s="18"/>
      <c r="BG82" s="18"/>
      <c r="BH82" s="18"/>
      <c r="BI82" s="18"/>
      <c r="BJ82" s="18"/>
      <c r="BK82" s="18"/>
      <c r="BL82" s="18"/>
      <c r="BM82" s="18"/>
      <c r="BN82" s="18"/>
      <c r="BO82" s="18"/>
      <c r="BP82" s="18"/>
      <c r="BQ82" s="18"/>
      <c r="BR82" s="18"/>
      <c r="BS82" s="18"/>
      <c r="BT82" s="18"/>
      <c r="BU82" s="18"/>
      <c r="BV82" s="18"/>
      <c r="BW82" s="18"/>
      <c r="BX82" s="18"/>
      <c r="BY82" s="18"/>
      <c r="BZ82" s="18"/>
      <c r="CA82" s="18"/>
      <c r="CB82" s="18"/>
      <c r="CC82" s="18"/>
      <c r="CD82" s="18"/>
      <c r="CE82" s="18"/>
      <c r="CF82" s="18"/>
      <c r="CG82" s="18"/>
      <c r="CH82" s="18"/>
      <c r="CI82" s="18"/>
      <c r="CJ82" s="18"/>
      <c r="CK82" s="18"/>
      <c r="CL82" s="18"/>
      <c r="CM82" s="18"/>
      <c r="CN82" s="18"/>
      <c r="CO82" s="18"/>
      <c r="CP82" s="18"/>
      <c r="CQ82" s="18"/>
      <c r="CR82" s="18"/>
      <c r="CS82" s="18"/>
      <c r="CT82" s="18"/>
      <c r="CU82" s="18"/>
      <c r="CV82" s="18"/>
      <c r="CW82" s="18"/>
      <c r="CX82" s="18"/>
      <c r="CY82" s="18"/>
      <c r="CZ82" s="18"/>
      <c r="DA82" s="18"/>
      <c r="DB82" s="18"/>
      <c r="DC82" s="18"/>
      <c r="DD82" s="18"/>
      <c r="DE82" s="18"/>
      <c r="DF82" s="18"/>
      <c r="DG82" s="18"/>
      <c r="DH82" s="18"/>
      <c r="DI82" s="18"/>
      <c r="DJ82" s="18"/>
      <c r="DK82" s="18"/>
      <c r="DL82" s="18"/>
      <c r="DM82" s="18"/>
      <c r="DN82" s="18"/>
      <c r="DO82" s="18"/>
      <c r="DP82" s="18"/>
      <c r="DQ82" s="18"/>
      <c r="DR82" s="18"/>
      <c r="DS82" s="18"/>
      <c r="DT82" s="18"/>
      <c r="DU82" s="18"/>
      <c r="DV82" s="18"/>
      <c r="DW82" s="18"/>
      <c r="DX82" s="18"/>
      <c r="DY82" s="18"/>
      <c r="DZ82" s="18"/>
      <c r="EA82" s="18"/>
      <c r="EB82" s="18"/>
      <c r="EC82" s="18"/>
      <c r="ED82" s="18"/>
      <c r="EE82" s="18"/>
      <c r="EF82" s="18"/>
      <c r="EG82" s="18"/>
      <c r="EH82" s="18"/>
      <c r="EI82" s="18"/>
      <c r="EJ82" s="18"/>
      <c r="EK82" s="18"/>
      <c r="EL82" s="18"/>
      <c r="EM82" s="18"/>
      <c r="EN82" s="18"/>
      <c r="EO82" s="18"/>
      <c r="EP82" s="18"/>
      <c r="EQ82" s="18"/>
      <c r="ER82" s="18"/>
      <c r="ES82" s="18"/>
      <c r="ET82" s="18"/>
      <c r="EU82" s="18"/>
      <c r="EV82" s="18"/>
      <c r="EW82" s="18"/>
      <c r="EX82" s="18"/>
      <c r="EY82" s="18"/>
      <c r="EZ82" s="18"/>
      <c r="FA82" s="18"/>
      <c r="FB82" s="18"/>
      <c r="FC82" s="18"/>
      <c r="FD82" s="18"/>
      <c r="FE82" s="18"/>
      <c r="FF82" s="18"/>
      <c r="FG82" s="18"/>
      <c r="FH82" s="18"/>
      <c r="FI82" s="18"/>
      <c r="FJ82" s="18"/>
      <c r="FK82" s="18"/>
      <c r="FL82" s="18"/>
      <c r="FM82" s="18"/>
      <c r="FN82" s="18"/>
      <c r="FO82" s="18"/>
      <c r="FP82" s="18"/>
      <c r="FQ82" s="18"/>
      <c r="FR82" s="18"/>
      <c r="FS82" s="18"/>
      <c r="FT82" s="18"/>
      <c r="FU82" s="18"/>
      <c r="FV82" s="18"/>
      <c r="FW82" s="18"/>
      <c r="FX82" s="18"/>
      <c r="FY82" s="18"/>
      <c r="FZ82" s="18"/>
      <c r="GA82" s="18"/>
      <c r="GB82" s="18"/>
      <c r="GC82" s="18"/>
      <c r="GD82" s="18"/>
      <c r="GE82" s="18"/>
      <c r="GF82" s="18"/>
      <c r="GG82" s="18"/>
      <c r="GH82" s="18"/>
      <c r="GI82" s="18"/>
      <c r="GJ82" s="18"/>
      <c r="GK82" s="18"/>
      <c r="GL82" s="18"/>
      <c r="GM82" s="18"/>
      <c r="GN82" s="18"/>
      <c r="GO82" s="18"/>
      <c r="GP82" s="18"/>
      <c r="GQ82" s="18"/>
      <c r="GR82" s="18"/>
      <c r="GS82" s="18"/>
      <c r="GT82" s="18"/>
      <c r="GU82" s="18"/>
      <c r="GV82" s="18"/>
      <c r="GW82" s="18"/>
      <c r="GX82" s="18"/>
      <c r="GY82" s="18"/>
      <c r="GZ82" s="18"/>
      <c r="HA82" s="18"/>
      <c r="HB82" s="18"/>
      <c r="HC82" s="18"/>
      <c r="HD82" s="18"/>
      <c r="HE82" s="18"/>
      <c r="HF82" s="18"/>
      <c r="HG82" s="18"/>
      <c r="HH82" s="18"/>
      <c r="HI82" s="18"/>
      <c r="HJ82" s="18"/>
      <c r="HK82" s="18"/>
      <c r="HL82" s="18"/>
      <c r="HM82" s="18"/>
      <c r="HN82" s="18"/>
      <c r="HO82" s="18"/>
      <c r="HP82" s="18"/>
      <c r="HQ82" s="18"/>
      <c r="HR82" s="18"/>
      <c r="HS82" s="18"/>
      <c r="HT82" s="18"/>
      <c r="HU82" s="18"/>
      <c r="HV82" s="18"/>
      <c r="HW82" s="18"/>
      <c r="HX82" s="18"/>
      <c r="HY82" s="18"/>
      <c r="HZ82" s="18"/>
      <c r="IA82" s="18"/>
      <c r="IB82" s="18"/>
      <c r="IC82" s="18"/>
      <c r="ID82" s="18"/>
      <c r="IE82" s="18"/>
      <c r="IF82" s="18"/>
      <c r="IG82" s="18"/>
      <c r="IH82" s="18"/>
      <c r="II82" s="18"/>
      <c r="IJ82" s="18"/>
      <c r="IK82" s="18"/>
      <c r="IL82" s="18"/>
      <c r="IM82" s="18"/>
      <c r="IN82" s="18"/>
      <c r="IO82" s="18"/>
      <c r="IP82" s="18"/>
      <c r="IQ82" s="18"/>
      <c r="IR82" s="18"/>
      <c r="IS82" s="18"/>
      <c r="IT82" s="18"/>
      <c r="IU82" s="18"/>
      <c r="IV82" s="18"/>
      <c r="IW82" s="18"/>
      <c r="IX82" s="18"/>
      <c r="IY82" s="18"/>
      <c r="IZ82" s="18"/>
      <c r="JA82" s="18"/>
      <c r="JB82" s="18"/>
      <c r="JC82" s="18"/>
      <c r="JD82" s="18"/>
      <c r="JE82" s="18"/>
      <c r="JF82" s="18"/>
      <c r="JG82" s="18"/>
      <c r="JH82" s="18"/>
      <c r="JI82" s="18"/>
      <c r="JJ82" s="18"/>
      <c r="JK82" s="18"/>
      <c r="JL82" s="18"/>
      <c r="JM82" s="18"/>
      <c r="JN82" s="18"/>
      <c r="JO82" s="18"/>
      <c r="JP82" s="18"/>
      <c r="JQ82" s="18"/>
      <c r="JR82" s="18"/>
      <c r="JS82" s="18"/>
      <c r="JT82" s="18"/>
      <c r="JU82" s="18"/>
      <c r="JV82" s="18"/>
      <c r="JW82" s="18"/>
      <c r="JX82" s="18"/>
      <c r="JY82" s="18"/>
      <c r="JZ82" s="18"/>
      <c r="KA82" s="18"/>
      <c r="KB82" s="18"/>
      <c r="KC82" s="18"/>
      <c r="KD82" s="18"/>
      <c r="KE82" s="18"/>
      <c r="KF82" s="18"/>
      <c r="KG82" s="18"/>
      <c r="KH82" s="18"/>
      <c r="KI82" s="18"/>
      <c r="KJ82" s="18"/>
      <c r="KK82" s="18"/>
      <c r="KL82" s="18"/>
      <c r="KM82" s="18"/>
      <c r="KN82" s="18"/>
      <c r="KO82" s="18"/>
      <c r="KP82" s="18"/>
      <c r="KQ82" s="18"/>
      <c r="KR82" s="18"/>
      <c r="KS82" s="18"/>
      <c r="KT82" s="18"/>
      <c r="KU82" s="18"/>
      <c r="KV82" s="18"/>
      <c r="KW82" s="18"/>
      <c r="KX82" s="18"/>
      <c r="KY82" s="18"/>
      <c r="KZ82" s="18"/>
      <c r="LA82" s="18"/>
      <c r="LB82" s="18"/>
      <c r="LC82" s="18"/>
      <c r="LD82" s="18"/>
      <c r="LE82" s="18"/>
      <c r="LF82" s="18"/>
      <c r="LG82" s="18"/>
      <c r="LH82" s="18"/>
      <c r="LI82" s="18"/>
      <c r="LJ82" s="18"/>
      <c r="LK82" s="18"/>
      <c r="LL82" s="18"/>
      <c r="LM82" s="18"/>
      <c r="LN82" s="18"/>
      <c r="LO82" s="18"/>
      <c r="LP82" s="18"/>
      <c r="LQ82" s="18"/>
      <c r="LR82" s="18"/>
      <c r="LS82" s="18"/>
      <c r="LT82" s="18"/>
      <c r="LU82" s="18"/>
      <c r="LV82" s="18"/>
      <c r="LW82" s="18"/>
      <c r="LX82" s="18"/>
      <c r="LY82" s="18"/>
      <c r="LZ82" s="18"/>
      <c r="MA82" s="18"/>
      <c r="MB82" s="18"/>
      <c r="MC82" s="18"/>
      <c r="MD82" s="18"/>
      <c r="ME82" s="18"/>
      <c r="MF82" s="18"/>
      <c r="MG82" s="18"/>
      <c r="MH82" s="18"/>
      <c r="MI82" s="18"/>
      <c r="MJ82" s="18"/>
      <c r="MK82" s="18"/>
      <c r="ML82" s="18"/>
      <c r="MM82" s="18"/>
      <c r="MN82" s="18"/>
      <c r="MO82" s="18"/>
      <c r="MP82" s="18"/>
      <c r="MQ82" s="18"/>
      <c r="MR82" s="18"/>
      <c r="MS82" s="18"/>
      <c r="MT82" s="18"/>
      <c r="MU82" s="18"/>
      <c r="MV82" s="18"/>
      <c r="MW82" s="18"/>
      <c r="MX82" s="18"/>
      <c r="MY82" s="18"/>
      <c r="MZ82" s="18"/>
      <c r="NA82" s="18"/>
      <c r="NB82" s="18"/>
      <c r="NC82" s="18"/>
      <c r="ND82" s="18"/>
      <c r="NE82" s="18"/>
      <c r="NF82" s="18"/>
      <c r="NG82" s="18"/>
      <c r="NH82" s="18"/>
      <c r="NI82" s="18"/>
      <c r="NJ82" s="18"/>
      <c r="NK82" s="18"/>
      <c r="NL82" s="18"/>
      <c r="NM82" s="18"/>
      <c r="NN82" s="18"/>
      <c r="NO82" s="18"/>
      <c r="NP82" s="18"/>
      <c r="NQ82" s="18"/>
      <c r="NR82" s="18"/>
      <c r="NS82" s="18"/>
      <c r="NT82" s="18"/>
      <c r="NU82" s="18"/>
      <c r="NV82" s="18"/>
      <c r="NW82" s="18"/>
      <c r="NX82" s="18"/>
      <c r="NY82" s="18"/>
      <c r="NZ82" s="18"/>
      <c r="OA82" s="18"/>
      <c r="OB82" s="18"/>
      <c r="OC82" s="18"/>
      <c r="OD82" s="18"/>
      <c r="OE82" s="18"/>
      <c r="OF82" s="18"/>
      <c r="OG82" s="18"/>
      <c r="OH82" s="18"/>
      <c r="OI82" s="18"/>
      <c r="OJ82" s="18"/>
      <c r="OK82" s="18"/>
      <c r="OL82" s="18"/>
      <c r="OM82" s="18"/>
      <c r="ON82" s="18"/>
      <c r="OO82" s="18"/>
      <c r="OP82" s="18"/>
      <c r="OQ82" s="18"/>
      <c r="OR82" s="18"/>
      <c r="OS82" s="18"/>
      <c r="OT82" s="18"/>
      <c r="OU82" s="18"/>
      <c r="OV82" s="18"/>
      <c r="OW82" s="18"/>
      <c r="OX82" s="18"/>
      <c r="OY82" s="18"/>
      <c r="OZ82" s="18"/>
      <c r="PA82" s="18"/>
      <c r="PB82" s="18"/>
      <c r="PC82" s="18"/>
      <c r="PD82" s="18"/>
      <c r="PE82" s="18"/>
      <c r="PF82" s="18"/>
      <c r="PG82" s="18"/>
      <c r="PH82" s="18"/>
      <c r="PI82" s="18"/>
      <c r="PJ82" s="18"/>
      <c r="PK82" s="18"/>
      <c r="PL82" s="18"/>
      <c r="PM82" s="18"/>
      <c r="PN82" s="18"/>
      <c r="PO82" s="18"/>
      <c r="PP82" s="18"/>
      <c r="PQ82" s="18"/>
      <c r="PR82" s="18"/>
      <c r="PS82" s="18"/>
      <c r="PT82" s="18"/>
      <c r="PU82" s="18"/>
      <c r="PV82" s="18"/>
      <c r="PW82" s="18"/>
      <c r="PX82" s="18"/>
      <c r="PY82" s="18"/>
      <c r="PZ82" s="18"/>
      <c r="QA82" s="18"/>
      <c r="QB82" s="18"/>
      <c r="QC82" s="18"/>
      <c r="QD82" s="18"/>
      <c r="QE82" s="18"/>
      <c r="QF82" s="18"/>
      <c r="QG82" s="18"/>
      <c r="QH82" s="18"/>
      <c r="QI82" s="18"/>
      <c r="QJ82" s="18"/>
      <c r="QK82" s="18"/>
      <c r="QL82" s="18"/>
      <c r="QM82" s="18"/>
      <c r="QN82" s="18"/>
      <c r="QO82" s="18"/>
      <c r="QP82" s="18"/>
      <c r="QQ82" s="18"/>
      <c r="QR82" s="18"/>
      <c r="QS82" s="18"/>
      <c r="QT82" s="18"/>
      <c r="QU82" s="18"/>
      <c r="QV82" s="18"/>
      <c r="QW82" s="18"/>
      <c r="QX82" s="18"/>
      <c r="QY82" s="18"/>
      <c r="QZ82" s="18"/>
      <c r="RA82" s="18"/>
      <c r="RB82" s="18"/>
      <c r="RC82" s="18"/>
      <c r="RD82" s="18"/>
      <c r="RE82" s="18"/>
      <c r="RF82" s="18"/>
      <c r="RG82" s="18"/>
      <c r="RH82" s="18"/>
      <c r="RI82" s="18"/>
      <c r="RJ82" s="18"/>
      <c r="RK82" s="18"/>
      <c r="RL82" s="18"/>
      <c r="RM82" s="18"/>
      <c r="RN82" s="18"/>
      <c r="RO82" s="18"/>
      <c r="RP82" s="18"/>
      <c r="RQ82" s="18"/>
      <c r="RR82" s="18"/>
      <c r="RS82" s="18"/>
      <c r="RT82" s="18"/>
      <c r="RU82" s="18"/>
      <c r="RV82" s="18"/>
      <c r="RW82" s="18"/>
      <c r="RX82" s="18"/>
      <c r="RY82" s="18"/>
      <c r="RZ82" s="18"/>
      <c r="SA82" s="18"/>
      <c r="SB82" s="18"/>
      <c r="SC82" s="18"/>
      <c r="SD82" s="18"/>
      <c r="SE82" s="18"/>
      <c r="SF82" s="18"/>
      <c r="SG82" s="18"/>
      <c r="SH82" s="18"/>
      <c r="SI82" s="18"/>
      <c r="SJ82" s="18"/>
      <c r="SK82" s="18"/>
      <c r="SL82" s="18"/>
      <c r="SM82" s="18"/>
      <c r="SN82" s="18"/>
      <c r="SO82" s="18"/>
      <c r="SP82" s="18"/>
      <c r="SQ82" s="18"/>
      <c r="SR82" s="18"/>
      <c r="SS82" s="18"/>
      <c r="ST82" s="18"/>
      <c r="SU82" s="18"/>
      <c r="SV82" s="18"/>
      <c r="SW82" s="18"/>
      <c r="SX82" s="18"/>
      <c r="SY82" s="18"/>
      <c r="SZ82" s="18"/>
      <c r="TA82" s="18"/>
      <c r="TB82" s="18"/>
      <c r="TC82" s="18"/>
      <c r="TD82" s="18"/>
      <c r="TE82" s="18"/>
      <c r="TF82" s="18"/>
      <c r="TG82" s="18"/>
      <c r="TH82" s="18"/>
      <c r="TI82" s="18"/>
      <c r="TJ82" s="18"/>
      <c r="TK82" s="18"/>
      <c r="TL82" s="18"/>
      <c r="TM82" s="18"/>
      <c r="TN82" s="18"/>
      <c r="TO82" s="18"/>
      <c r="TP82" s="18"/>
      <c r="TQ82" s="18"/>
      <c r="TR82" s="18"/>
      <c r="TS82" s="18"/>
      <c r="TT82" s="18"/>
      <c r="TU82" s="18"/>
      <c r="TV82" s="18"/>
      <c r="TW82" s="18"/>
      <c r="TX82" s="18"/>
      <c r="TY82" s="18"/>
      <c r="TZ82" s="18"/>
      <c r="UA82" s="18"/>
      <c r="UB82" s="18"/>
      <c r="UC82" s="18"/>
      <c r="UD82" s="18"/>
      <c r="UE82" s="18"/>
      <c r="UF82" s="18"/>
      <c r="UG82" s="18"/>
      <c r="UH82" s="18"/>
      <c r="UI82" s="18"/>
      <c r="UJ82" s="18"/>
      <c r="UK82" s="18"/>
      <c r="UL82" s="18"/>
      <c r="UM82" s="18"/>
      <c r="UN82" s="18"/>
      <c r="UO82" s="18"/>
      <c r="UP82" s="18"/>
      <c r="UQ82" s="18"/>
      <c r="UR82" s="18"/>
      <c r="US82" s="18"/>
      <c r="UT82" s="18"/>
      <c r="UU82" s="18"/>
      <c r="UV82" s="18"/>
      <c r="UW82" s="18"/>
      <c r="UX82" s="18"/>
      <c r="UY82" s="18"/>
      <c r="UZ82" s="18"/>
      <c r="VA82" s="18"/>
      <c r="VB82" s="18"/>
      <c r="VC82" s="18"/>
      <c r="VD82" s="18"/>
      <c r="VE82" s="18"/>
      <c r="VF82" s="18"/>
      <c r="VG82" s="18"/>
      <c r="VH82" s="18"/>
      <c r="VI82" s="18"/>
      <c r="VJ82" s="18"/>
      <c r="VK82" s="18"/>
      <c r="VL82" s="18"/>
      <c r="VM82" s="18"/>
      <c r="VN82" s="18"/>
      <c r="VO82" s="18"/>
      <c r="VP82" s="18"/>
      <c r="VQ82" s="18"/>
      <c r="VR82" s="18"/>
      <c r="VS82" s="18"/>
      <c r="VT82" s="18"/>
      <c r="VU82" s="18"/>
      <c r="VV82" s="18"/>
      <c r="VW82" s="18"/>
      <c r="VX82" s="18"/>
      <c r="VY82" s="18"/>
      <c r="VZ82" s="18"/>
      <c r="WA82" s="18"/>
      <c r="WB82" s="18"/>
      <c r="WC82" s="18"/>
      <c r="WD82" s="18"/>
      <c r="WE82" s="18"/>
      <c r="WF82" s="18"/>
      <c r="WG82" s="18"/>
      <c r="WH82" s="18"/>
      <c r="WI82" s="18"/>
      <c r="WJ82" s="18"/>
      <c r="WK82" s="18"/>
      <c r="WL82" s="18"/>
      <c r="WM82" s="18"/>
      <c r="WN82" s="18"/>
      <c r="WO82" s="18"/>
      <c r="WP82" s="18"/>
      <c r="WQ82" s="18"/>
      <c r="WR82" s="18"/>
      <c r="WS82" s="18"/>
      <c r="WT82" s="18"/>
      <c r="WU82" s="18"/>
      <c r="WV82" s="18"/>
      <c r="WW82" s="18"/>
      <c r="WX82" s="18"/>
      <c r="WY82" s="18"/>
      <c r="WZ82" s="18"/>
      <c r="XA82" s="18"/>
      <c r="XB82" s="18"/>
      <c r="XC82" s="18"/>
      <c r="XD82" s="18"/>
      <c r="XE82" s="18"/>
      <c r="XF82" s="18"/>
      <c r="XG82" s="18"/>
      <c r="XH82" s="18"/>
      <c r="XI82" s="18"/>
      <c r="XJ82" s="18"/>
      <c r="XK82" s="18"/>
      <c r="XL82" s="18"/>
      <c r="XM82" s="18"/>
      <c r="XN82" s="18"/>
      <c r="XO82" s="18"/>
      <c r="XP82" s="18"/>
      <c r="XQ82" s="18"/>
      <c r="XR82" s="18"/>
      <c r="XS82" s="18"/>
      <c r="XT82" s="18"/>
      <c r="XU82" s="18"/>
      <c r="XV82" s="18"/>
      <c r="XW82" s="18"/>
      <c r="XX82" s="18"/>
      <c r="XY82" s="18"/>
      <c r="XZ82" s="18"/>
      <c r="YA82" s="18"/>
      <c r="YB82" s="18"/>
      <c r="YC82" s="18"/>
      <c r="YD82" s="18"/>
      <c r="YE82" s="18"/>
      <c r="YF82" s="18"/>
      <c r="YG82" s="18"/>
      <c r="YH82" s="18"/>
      <c r="YI82" s="18"/>
      <c r="YJ82" s="18"/>
      <c r="YK82" s="18"/>
      <c r="YL82" s="18"/>
      <c r="YM82" s="18"/>
      <c r="YN82" s="18"/>
      <c r="YO82" s="18"/>
      <c r="YP82" s="18"/>
      <c r="YQ82" s="18"/>
      <c r="YR82" s="18"/>
      <c r="YS82" s="18"/>
      <c r="YT82" s="18"/>
      <c r="YU82" s="18"/>
      <c r="YV82" s="18"/>
      <c r="YW82" s="18"/>
      <c r="YX82" s="18"/>
      <c r="YY82" s="18"/>
      <c r="YZ82" s="18"/>
      <c r="ZA82" s="18"/>
      <c r="ZB82" s="18"/>
      <c r="ZC82" s="18"/>
      <c r="ZD82" s="18"/>
      <c r="ZE82" s="18"/>
      <c r="ZF82" s="18"/>
      <c r="ZG82" s="18"/>
      <c r="ZH82" s="18"/>
      <c r="ZI82" s="18"/>
      <c r="ZJ82" s="18"/>
      <c r="ZK82" s="18"/>
      <c r="ZL82" s="18"/>
      <c r="ZM82" s="18"/>
      <c r="ZN82" s="18"/>
      <c r="ZO82" s="18"/>
      <c r="ZP82" s="18"/>
      <c r="ZQ82" s="18"/>
      <c r="ZR82" s="18"/>
      <c r="ZS82" s="18"/>
      <c r="ZT82" s="18"/>
      <c r="ZU82" s="18"/>
      <c r="ZV82" s="18"/>
      <c r="ZW82" s="18"/>
      <c r="ZX82" s="18"/>
      <c r="ZY82" s="18"/>
      <c r="ZZ82" s="18"/>
      <c r="AAA82" s="18"/>
      <c r="AAB82" s="18"/>
      <c r="AAC82" s="18"/>
      <c r="AAD82" s="18"/>
      <c r="AAE82" s="18"/>
      <c r="AAF82" s="18"/>
      <c r="AAG82" s="18"/>
      <c r="AAH82" s="18"/>
      <c r="AAI82" s="18"/>
      <c r="AAJ82" s="18"/>
      <c r="AAK82" s="18"/>
      <c r="AAL82" s="18"/>
      <c r="AAM82" s="18"/>
      <c r="AAN82" s="18"/>
      <c r="AAO82" s="18"/>
      <c r="AAP82" s="18"/>
      <c r="AAQ82" s="18"/>
      <c r="AAR82" s="18"/>
      <c r="AAS82" s="18"/>
      <c r="AAT82" s="18"/>
      <c r="AAU82" s="18"/>
      <c r="AAV82" s="18"/>
      <c r="AAW82" s="18"/>
      <c r="AAX82" s="18"/>
      <c r="AAY82" s="18"/>
      <c r="AAZ82" s="18"/>
      <c r="ABA82" s="18"/>
      <c r="ABB82" s="18"/>
      <c r="ABC82" s="18"/>
      <c r="ABD82" s="18"/>
      <c r="ABE82" s="18"/>
      <c r="ABF82" s="18"/>
      <c r="ABG82" s="18"/>
      <c r="ABH82" s="18"/>
      <c r="ABI82" s="18"/>
      <c r="ABJ82" s="18"/>
      <c r="ABK82" s="18"/>
      <c r="ABL82" s="18"/>
      <c r="ABM82" s="18"/>
      <c r="ABN82" s="18"/>
      <c r="ABO82" s="18"/>
      <c r="ABP82" s="18"/>
      <c r="ABQ82" s="18"/>
      <c r="ABR82" s="18"/>
      <c r="ABS82" s="18"/>
      <c r="ABT82" s="18"/>
      <c r="ABU82" s="18"/>
      <c r="ABV82" s="18"/>
      <c r="ABW82" s="18"/>
      <c r="ABX82" s="18"/>
      <c r="ABY82" s="18"/>
      <c r="ABZ82" s="18"/>
      <c r="ACA82" s="18"/>
      <c r="ACB82" s="18"/>
      <c r="ACC82" s="18"/>
      <c r="ACD82" s="18"/>
      <c r="ACE82" s="18"/>
      <c r="ACF82" s="18"/>
      <c r="ACG82" s="18"/>
      <c r="ACH82" s="18"/>
      <c r="ACI82" s="18"/>
      <c r="ACJ82" s="18"/>
      <c r="ACK82" s="18"/>
      <c r="ACL82" s="18"/>
      <c r="ACM82" s="18"/>
      <c r="ACN82" s="18"/>
      <c r="ACO82" s="18"/>
      <c r="ACP82" s="18"/>
      <c r="ACQ82" s="18"/>
      <c r="ACR82" s="18"/>
      <c r="ACS82" s="18"/>
      <c r="ACT82" s="18"/>
      <c r="ACU82" s="18"/>
      <c r="ACV82" s="18"/>
      <c r="ACW82" s="18"/>
      <c r="ACX82" s="18"/>
      <c r="ACY82" s="18"/>
      <c r="ACZ82" s="18"/>
      <c r="ADA82" s="18"/>
      <c r="ADB82" s="18"/>
      <c r="ADC82" s="18"/>
      <c r="ADD82" s="18"/>
      <c r="ADE82" s="18"/>
      <c r="ADF82" s="18"/>
      <c r="ADG82" s="18"/>
      <c r="ADH82" s="18"/>
      <c r="ADI82" s="18"/>
      <c r="ADJ82" s="18"/>
      <c r="ADK82" s="18"/>
      <c r="ADL82" s="18"/>
      <c r="ADM82" s="18"/>
      <c r="ADN82" s="18"/>
      <c r="ADO82" s="18"/>
      <c r="ADP82" s="18"/>
      <c r="ADQ82" s="18"/>
      <c r="ADR82" s="18"/>
      <c r="ADS82" s="18"/>
      <c r="ADT82" s="18"/>
      <c r="ADU82" s="18"/>
      <c r="ADV82" s="18"/>
      <c r="ADW82" s="18"/>
      <c r="ADX82" s="18"/>
      <c r="ADY82" s="18"/>
      <c r="ADZ82" s="18"/>
      <c r="AEA82" s="18"/>
      <c r="AEB82" s="18"/>
      <c r="AEC82" s="18"/>
      <c r="AED82" s="18"/>
      <c r="AEE82" s="18"/>
      <c r="AEF82" s="18"/>
      <c r="AEG82" s="18"/>
      <c r="AEH82" s="18"/>
      <c r="AEI82" s="18"/>
      <c r="AEJ82" s="18"/>
      <c r="AEK82" s="18"/>
      <c r="AEL82" s="18"/>
      <c r="AEM82" s="18"/>
      <c r="AEN82" s="18"/>
      <c r="AEO82" s="18"/>
      <c r="AEP82" s="18"/>
      <c r="AEQ82" s="18"/>
      <c r="AER82" s="18"/>
      <c r="AES82" s="18"/>
      <c r="AET82" s="18"/>
      <c r="AEU82" s="18"/>
      <c r="AEV82" s="18"/>
      <c r="AEW82" s="18"/>
      <c r="AEX82" s="18"/>
      <c r="AEY82" s="18"/>
      <c r="AEZ82" s="18"/>
      <c r="AFA82" s="18"/>
      <c r="AFB82" s="18"/>
      <c r="AFC82" s="18"/>
      <c r="AFD82" s="18"/>
      <c r="AFE82" s="18"/>
      <c r="AFF82" s="18"/>
      <c r="AFG82" s="18"/>
      <c r="AFH82" s="18"/>
      <c r="AFI82" s="18"/>
      <c r="AFJ82" s="18"/>
      <c r="AFK82" s="18"/>
      <c r="AFL82" s="18"/>
      <c r="AFM82" s="18"/>
      <c r="AFN82" s="18"/>
      <c r="AFO82" s="18"/>
      <c r="AFP82" s="18"/>
      <c r="AFQ82" s="18"/>
      <c r="AFR82" s="18"/>
      <c r="AFS82" s="18"/>
      <c r="AFT82" s="18"/>
      <c r="AFU82" s="18"/>
      <c r="AFV82" s="18"/>
      <c r="AFW82" s="18"/>
      <c r="AFX82" s="18"/>
      <c r="AFY82" s="18"/>
      <c r="AFZ82" s="18"/>
      <c r="AGA82" s="18"/>
      <c r="AGB82" s="18"/>
      <c r="AGC82" s="18"/>
      <c r="AGD82" s="18"/>
      <c r="AGE82" s="18"/>
      <c r="AGF82" s="18"/>
      <c r="AGG82" s="18"/>
      <c r="AGH82" s="18"/>
      <c r="AGI82" s="18"/>
      <c r="AGJ82" s="18"/>
      <c r="AGK82" s="18"/>
      <c r="AGL82" s="18"/>
      <c r="AGM82" s="18"/>
      <c r="AGN82" s="18"/>
      <c r="AGO82" s="18"/>
      <c r="AGP82" s="18"/>
      <c r="AGQ82" s="18"/>
      <c r="AGR82" s="18"/>
      <c r="AGS82" s="18"/>
      <c r="AGT82" s="18"/>
      <c r="AGU82" s="18"/>
      <c r="AGV82" s="18"/>
      <c r="AGW82" s="18"/>
      <c r="AGX82" s="18"/>
      <c r="AGY82" s="18"/>
      <c r="AGZ82" s="18"/>
      <c r="AHA82" s="18"/>
      <c r="AHB82" s="18"/>
      <c r="AHC82" s="18"/>
      <c r="AHD82" s="18"/>
      <c r="AHE82" s="18"/>
      <c r="AHF82" s="18"/>
      <c r="AHG82" s="18"/>
      <c r="AHH82" s="18"/>
      <c r="AHI82" s="18"/>
      <c r="AHJ82" s="18"/>
      <c r="AHK82" s="18"/>
      <c r="AHL82" s="18"/>
      <c r="AHM82" s="18"/>
      <c r="AHN82" s="18"/>
      <c r="AHO82" s="18"/>
      <c r="AHP82" s="18"/>
      <c r="AHQ82" s="18"/>
      <c r="AHR82" s="18"/>
      <c r="AHS82" s="18"/>
      <c r="AHT82" s="18"/>
      <c r="AHU82" s="18"/>
      <c r="AHV82" s="18"/>
      <c r="AHW82" s="18"/>
      <c r="AHX82" s="18"/>
      <c r="AHY82" s="18"/>
      <c r="AHZ82" s="18"/>
      <c r="AIA82" s="18"/>
      <c r="AIB82" s="18"/>
      <c r="AIC82" s="18"/>
      <c r="AID82" s="18"/>
      <c r="AIE82" s="18"/>
      <c r="AIF82" s="18"/>
      <c r="AIG82" s="18"/>
      <c r="AIH82" s="18"/>
      <c r="AII82" s="18"/>
      <c r="AIJ82" s="18"/>
      <c r="AIK82" s="18"/>
      <c r="AIL82" s="18"/>
      <c r="AIM82" s="18"/>
      <c r="AIN82" s="18"/>
      <c r="AIO82" s="18"/>
      <c r="AIP82" s="18"/>
      <c r="AIQ82" s="18"/>
      <c r="AIR82" s="18"/>
      <c r="AIS82" s="18"/>
      <c r="AIT82" s="18"/>
      <c r="AIU82" s="18"/>
      <c r="AIV82" s="18"/>
      <c r="AIW82" s="18"/>
      <c r="AIX82" s="18"/>
      <c r="AIY82" s="18"/>
      <c r="AIZ82" s="18"/>
      <c r="AJA82" s="18"/>
      <c r="AJB82" s="18"/>
      <c r="AJC82" s="18"/>
      <c r="AJD82" s="18"/>
      <c r="AJE82" s="18"/>
      <c r="AJF82" s="18"/>
      <c r="AJG82" s="18"/>
      <c r="AJH82" s="18"/>
      <c r="AJI82" s="18"/>
      <c r="AJJ82" s="18"/>
      <c r="AJK82" s="18"/>
      <c r="AJL82" s="18"/>
      <c r="AJM82" s="18"/>
      <c r="AJN82" s="18"/>
      <c r="AJO82" s="18"/>
      <c r="AJP82" s="18"/>
      <c r="AJQ82" s="18"/>
      <c r="AJR82" s="18"/>
      <c r="AJS82" s="18"/>
      <c r="AJT82" s="18"/>
      <c r="AJU82" s="18"/>
      <c r="AJV82" s="18"/>
      <c r="AJW82" s="18"/>
      <c r="AJX82" s="18"/>
      <c r="AJY82" s="18"/>
      <c r="AJZ82" s="18"/>
      <c r="AKA82" s="18"/>
      <c r="AKB82" s="18"/>
      <c r="AKC82" s="18"/>
      <c r="AKD82" s="18"/>
      <c r="AKE82" s="18"/>
      <c r="AKF82" s="18"/>
      <c r="AKG82" s="18"/>
      <c r="AKH82" s="18"/>
      <c r="AKI82" s="18"/>
      <c r="AKJ82" s="18"/>
      <c r="AKK82" s="18"/>
      <c r="AKL82" s="18"/>
      <c r="AKM82" s="18"/>
      <c r="AKN82" s="18"/>
      <c r="AKO82" s="18"/>
      <c r="AKP82" s="18"/>
      <c r="AKQ82" s="18"/>
      <c r="AKR82" s="18"/>
      <c r="AKS82" s="18"/>
      <c r="AKT82" s="18"/>
      <c r="AKU82" s="18"/>
      <c r="AKV82" s="18"/>
      <c r="AKW82" s="18"/>
      <c r="AKX82" s="18"/>
      <c r="AKY82" s="18"/>
      <c r="AKZ82" s="18"/>
      <c r="ALA82" s="18"/>
      <c r="ALB82" s="18"/>
      <c r="ALC82" s="18"/>
      <c r="ALD82" s="18"/>
      <c r="ALE82" s="18"/>
      <c r="ALF82" s="18"/>
      <c r="ALG82" s="18"/>
      <c r="ALH82" s="18"/>
      <c r="ALI82" s="18"/>
      <c r="ALJ82" s="18"/>
      <c r="ALK82" s="18"/>
      <c r="ALL82" s="18"/>
      <c r="ALM82" s="18"/>
      <c r="ALN82" s="18"/>
      <c r="ALO82" s="18"/>
      <c r="ALP82" s="18"/>
      <c r="ALQ82" s="18"/>
      <c r="ALR82" s="18"/>
      <c r="ALS82" s="18"/>
      <c r="ALT82" s="18"/>
      <c r="ALU82" s="18"/>
      <c r="ALV82" s="18"/>
      <c r="ALW82" s="18"/>
      <c r="ALX82" s="18"/>
      <c r="ALY82" s="18"/>
      <c r="ALZ82" s="18"/>
      <c r="AMA82" s="18"/>
      <c r="AMB82" s="18"/>
      <c r="AMC82" s="18"/>
      <c r="AMD82" s="18"/>
      <c r="AME82" s="18"/>
      <c r="AMF82" s="18"/>
      <c r="AMG82" s="18"/>
      <c r="AMH82" s="18"/>
    </row>
    <row r="83" spans="1:1022" s="23" customFormat="1" x14ac:dyDescent="0.3">
      <c r="A83" s="33">
        <v>179</v>
      </c>
      <c r="B83" s="19"/>
      <c r="C83" s="19"/>
      <c r="D83" s="34" t="s">
        <v>352</v>
      </c>
      <c r="E83" s="34" t="s">
        <v>502</v>
      </c>
      <c r="F83" s="19"/>
      <c r="G83" s="19"/>
      <c r="H83" s="38" t="s">
        <v>281</v>
      </c>
      <c r="I83" s="31"/>
      <c r="J83" s="31"/>
      <c r="K83" s="31"/>
      <c r="L83" s="31"/>
      <c r="M83" s="32"/>
      <c r="N83" s="32"/>
      <c r="O83" s="18"/>
      <c r="P83" s="36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18"/>
      <c r="BK83" s="18"/>
      <c r="BL83" s="18"/>
      <c r="BM83" s="18"/>
      <c r="BN83" s="18"/>
      <c r="BO83" s="18"/>
      <c r="BP83" s="18"/>
      <c r="BQ83" s="18"/>
      <c r="BR83" s="18"/>
      <c r="BS83" s="18"/>
      <c r="BT83" s="18"/>
      <c r="BU83" s="18"/>
      <c r="BV83" s="18"/>
      <c r="BW83" s="18"/>
      <c r="BX83" s="18"/>
      <c r="BY83" s="18"/>
      <c r="BZ83" s="18"/>
      <c r="CA83" s="18"/>
      <c r="CB83" s="18"/>
      <c r="CC83" s="18"/>
      <c r="CD83" s="18"/>
      <c r="CE83" s="18"/>
      <c r="CF83" s="18"/>
      <c r="CG83" s="18"/>
      <c r="CH83" s="18"/>
      <c r="CI83" s="18"/>
      <c r="CJ83" s="18"/>
      <c r="CK83" s="18"/>
      <c r="CL83" s="18"/>
      <c r="CM83" s="18"/>
      <c r="CN83" s="18"/>
      <c r="CO83" s="18"/>
      <c r="CP83" s="18"/>
      <c r="CQ83" s="18"/>
      <c r="CR83" s="18"/>
      <c r="CS83" s="18"/>
      <c r="CT83" s="18"/>
      <c r="CU83" s="18"/>
      <c r="CV83" s="18"/>
      <c r="CW83" s="18"/>
      <c r="CX83" s="18"/>
      <c r="CY83" s="18"/>
      <c r="CZ83" s="18"/>
      <c r="DA83" s="18"/>
      <c r="DB83" s="18"/>
      <c r="DC83" s="18"/>
      <c r="DD83" s="18"/>
      <c r="DE83" s="18"/>
      <c r="DF83" s="18"/>
      <c r="DG83" s="18"/>
      <c r="DH83" s="18"/>
      <c r="DI83" s="18"/>
      <c r="DJ83" s="18"/>
      <c r="DK83" s="18"/>
      <c r="DL83" s="18"/>
      <c r="DM83" s="18"/>
      <c r="DN83" s="18"/>
      <c r="DO83" s="18"/>
      <c r="DP83" s="18"/>
      <c r="DQ83" s="18"/>
      <c r="DR83" s="18"/>
      <c r="DS83" s="18"/>
      <c r="DT83" s="18"/>
      <c r="DU83" s="18"/>
      <c r="DV83" s="18"/>
      <c r="DW83" s="18"/>
      <c r="DX83" s="18"/>
      <c r="DY83" s="18"/>
      <c r="DZ83" s="18"/>
      <c r="EA83" s="18"/>
      <c r="EB83" s="18"/>
      <c r="EC83" s="18"/>
      <c r="ED83" s="18"/>
      <c r="EE83" s="18"/>
      <c r="EF83" s="18"/>
      <c r="EG83" s="18"/>
      <c r="EH83" s="18"/>
      <c r="EI83" s="18"/>
      <c r="EJ83" s="18"/>
      <c r="EK83" s="18"/>
      <c r="EL83" s="18"/>
      <c r="EM83" s="18"/>
      <c r="EN83" s="18"/>
      <c r="EO83" s="18"/>
      <c r="EP83" s="18"/>
      <c r="EQ83" s="18"/>
      <c r="ER83" s="18"/>
      <c r="ES83" s="18"/>
      <c r="ET83" s="18"/>
      <c r="EU83" s="18"/>
      <c r="EV83" s="18"/>
      <c r="EW83" s="18"/>
      <c r="EX83" s="18"/>
      <c r="EY83" s="18"/>
      <c r="EZ83" s="18"/>
      <c r="FA83" s="18"/>
      <c r="FB83" s="18"/>
      <c r="FC83" s="18"/>
      <c r="FD83" s="18"/>
      <c r="FE83" s="18"/>
      <c r="FF83" s="18"/>
      <c r="FG83" s="18"/>
      <c r="FH83" s="18"/>
      <c r="FI83" s="18"/>
      <c r="FJ83" s="18"/>
      <c r="FK83" s="18"/>
      <c r="FL83" s="18"/>
      <c r="FM83" s="18"/>
      <c r="FN83" s="18"/>
      <c r="FO83" s="18"/>
      <c r="FP83" s="18"/>
      <c r="FQ83" s="18"/>
      <c r="FR83" s="18"/>
      <c r="FS83" s="18"/>
      <c r="FT83" s="18"/>
      <c r="FU83" s="18"/>
      <c r="FV83" s="18"/>
      <c r="FW83" s="18"/>
      <c r="FX83" s="18"/>
      <c r="FY83" s="18"/>
      <c r="FZ83" s="18"/>
      <c r="GA83" s="18"/>
      <c r="GB83" s="18"/>
      <c r="GC83" s="18"/>
      <c r="GD83" s="18"/>
      <c r="GE83" s="18"/>
      <c r="GF83" s="18"/>
      <c r="GG83" s="18"/>
      <c r="GH83" s="18"/>
      <c r="GI83" s="18"/>
      <c r="GJ83" s="18"/>
      <c r="GK83" s="18"/>
      <c r="GL83" s="18"/>
      <c r="GM83" s="18"/>
      <c r="GN83" s="18"/>
      <c r="GO83" s="18"/>
      <c r="GP83" s="18"/>
      <c r="GQ83" s="18"/>
      <c r="GR83" s="18"/>
      <c r="GS83" s="18"/>
      <c r="GT83" s="18"/>
      <c r="GU83" s="18"/>
      <c r="GV83" s="18"/>
      <c r="GW83" s="18"/>
      <c r="GX83" s="18"/>
      <c r="GY83" s="18"/>
      <c r="GZ83" s="18"/>
      <c r="HA83" s="18"/>
      <c r="HB83" s="18"/>
      <c r="HC83" s="18"/>
      <c r="HD83" s="18"/>
      <c r="HE83" s="18"/>
      <c r="HF83" s="18"/>
      <c r="HG83" s="18"/>
      <c r="HH83" s="18"/>
      <c r="HI83" s="18"/>
      <c r="HJ83" s="18"/>
      <c r="HK83" s="18"/>
      <c r="HL83" s="18"/>
      <c r="HM83" s="18"/>
      <c r="HN83" s="18"/>
      <c r="HO83" s="18"/>
      <c r="HP83" s="18"/>
      <c r="HQ83" s="18"/>
      <c r="HR83" s="18"/>
      <c r="HS83" s="18"/>
      <c r="HT83" s="18"/>
      <c r="HU83" s="18"/>
      <c r="HV83" s="18"/>
      <c r="HW83" s="18"/>
      <c r="HX83" s="18"/>
      <c r="HY83" s="18"/>
      <c r="HZ83" s="18"/>
      <c r="IA83" s="18"/>
      <c r="IB83" s="18"/>
      <c r="IC83" s="18"/>
      <c r="ID83" s="18"/>
      <c r="IE83" s="18"/>
      <c r="IF83" s="18"/>
      <c r="IG83" s="18"/>
      <c r="IH83" s="18"/>
      <c r="II83" s="18"/>
      <c r="IJ83" s="18"/>
      <c r="IK83" s="18"/>
      <c r="IL83" s="18"/>
      <c r="IM83" s="18"/>
      <c r="IN83" s="18"/>
      <c r="IO83" s="18"/>
      <c r="IP83" s="18"/>
      <c r="IQ83" s="18"/>
      <c r="IR83" s="18"/>
      <c r="IS83" s="18"/>
      <c r="IT83" s="18"/>
      <c r="IU83" s="18"/>
      <c r="IV83" s="18"/>
      <c r="IW83" s="18"/>
      <c r="IX83" s="18"/>
      <c r="IY83" s="18"/>
      <c r="IZ83" s="18"/>
      <c r="JA83" s="18"/>
      <c r="JB83" s="18"/>
      <c r="JC83" s="18"/>
      <c r="JD83" s="18"/>
      <c r="JE83" s="18"/>
      <c r="JF83" s="18"/>
      <c r="JG83" s="18"/>
      <c r="JH83" s="18"/>
      <c r="JI83" s="18"/>
      <c r="JJ83" s="18"/>
      <c r="JK83" s="18"/>
      <c r="JL83" s="18"/>
      <c r="JM83" s="18"/>
      <c r="JN83" s="18"/>
      <c r="JO83" s="18"/>
      <c r="JP83" s="18"/>
      <c r="JQ83" s="18"/>
      <c r="JR83" s="18"/>
      <c r="JS83" s="18"/>
      <c r="JT83" s="18"/>
      <c r="JU83" s="18"/>
      <c r="JV83" s="18"/>
      <c r="JW83" s="18"/>
      <c r="JX83" s="18"/>
      <c r="JY83" s="18"/>
      <c r="JZ83" s="18"/>
      <c r="KA83" s="18"/>
      <c r="KB83" s="18"/>
      <c r="KC83" s="18"/>
      <c r="KD83" s="18"/>
      <c r="KE83" s="18"/>
      <c r="KF83" s="18"/>
      <c r="KG83" s="18"/>
      <c r="KH83" s="18"/>
      <c r="KI83" s="18"/>
      <c r="KJ83" s="18"/>
      <c r="KK83" s="18"/>
      <c r="KL83" s="18"/>
      <c r="KM83" s="18"/>
      <c r="KN83" s="18"/>
      <c r="KO83" s="18"/>
      <c r="KP83" s="18"/>
      <c r="KQ83" s="18"/>
      <c r="KR83" s="18"/>
      <c r="KS83" s="18"/>
      <c r="KT83" s="18"/>
      <c r="KU83" s="18"/>
      <c r="KV83" s="18"/>
      <c r="KW83" s="18"/>
      <c r="KX83" s="18"/>
      <c r="KY83" s="18"/>
      <c r="KZ83" s="18"/>
      <c r="LA83" s="18"/>
      <c r="LB83" s="18"/>
      <c r="LC83" s="18"/>
      <c r="LD83" s="18"/>
      <c r="LE83" s="18"/>
      <c r="LF83" s="18"/>
      <c r="LG83" s="18"/>
      <c r="LH83" s="18"/>
      <c r="LI83" s="18"/>
      <c r="LJ83" s="18"/>
      <c r="LK83" s="18"/>
      <c r="LL83" s="18"/>
      <c r="LM83" s="18"/>
      <c r="LN83" s="18"/>
      <c r="LO83" s="18"/>
      <c r="LP83" s="18"/>
      <c r="LQ83" s="18"/>
      <c r="LR83" s="18"/>
      <c r="LS83" s="18"/>
      <c r="LT83" s="18"/>
      <c r="LU83" s="18"/>
      <c r="LV83" s="18"/>
      <c r="LW83" s="18"/>
      <c r="LX83" s="18"/>
      <c r="LY83" s="18"/>
      <c r="LZ83" s="18"/>
      <c r="MA83" s="18"/>
      <c r="MB83" s="18"/>
      <c r="MC83" s="18"/>
      <c r="MD83" s="18"/>
      <c r="ME83" s="18"/>
      <c r="MF83" s="18"/>
      <c r="MG83" s="18"/>
      <c r="MH83" s="18"/>
      <c r="MI83" s="18"/>
      <c r="MJ83" s="18"/>
      <c r="MK83" s="18"/>
      <c r="ML83" s="18"/>
      <c r="MM83" s="18"/>
      <c r="MN83" s="18"/>
      <c r="MO83" s="18"/>
      <c r="MP83" s="18"/>
      <c r="MQ83" s="18"/>
      <c r="MR83" s="18"/>
      <c r="MS83" s="18"/>
      <c r="MT83" s="18"/>
      <c r="MU83" s="18"/>
      <c r="MV83" s="18"/>
      <c r="MW83" s="18"/>
      <c r="MX83" s="18"/>
      <c r="MY83" s="18"/>
      <c r="MZ83" s="18"/>
      <c r="NA83" s="18"/>
      <c r="NB83" s="18"/>
      <c r="NC83" s="18"/>
      <c r="ND83" s="18"/>
      <c r="NE83" s="18"/>
      <c r="NF83" s="18"/>
      <c r="NG83" s="18"/>
      <c r="NH83" s="18"/>
      <c r="NI83" s="18"/>
      <c r="NJ83" s="18"/>
      <c r="NK83" s="18"/>
      <c r="NL83" s="18"/>
      <c r="NM83" s="18"/>
      <c r="NN83" s="18"/>
      <c r="NO83" s="18"/>
      <c r="NP83" s="18"/>
      <c r="NQ83" s="18"/>
      <c r="NR83" s="18"/>
      <c r="NS83" s="18"/>
      <c r="NT83" s="18"/>
      <c r="NU83" s="18"/>
      <c r="NV83" s="18"/>
      <c r="NW83" s="18"/>
      <c r="NX83" s="18"/>
      <c r="NY83" s="18"/>
      <c r="NZ83" s="18"/>
      <c r="OA83" s="18"/>
      <c r="OB83" s="18"/>
      <c r="OC83" s="18"/>
      <c r="OD83" s="18"/>
      <c r="OE83" s="18"/>
      <c r="OF83" s="18"/>
      <c r="OG83" s="18"/>
      <c r="OH83" s="18"/>
      <c r="OI83" s="18"/>
      <c r="OJ83" s="18"/>
      <c r="OK83" s="18"/>
      <c r="OL83" s="18"/>
      <c r="OM83" s="18"/>
      <c r="ON83" s="18"/>
      <c r="OO83" s="18"/>
      <c r="OP83" s="18"/>
      <c r="OQ83" s="18"/>
      <c r="OR83" s="18"/>
      <c r="OS83" s="18"/>
      <c r="OT83" s="18"/>
      <c r="OU83" s="18"/>
      <c r="OV83" s="18"/>
      <c r="OW83" s="18"/>
      <c r="OX83" s="18"/>
      <c r="OY83" s="18"/>
      <c r="OZ83" s="18"/>
      <c r="PA83" s="18"/>
      <c r="PB83" s="18"/>
      <c r="PC83" s="18"/>
      <c r="PD83" s="18"/>
      <c r="PE83" s="18"/>
      <c r="PF83" s="18"/>
      <c r="PG83" s="18"/>
      <c r="PH83" s="18"/>
      <c r="PI83" s="18"/>
      <c r="PJ83" s="18"/>
      <c r="PK83" s="18"/>
      <c r="PL83" s="18"/>
      <c r="PM83" s="18"/>
      <c r="PN83" s="18"/>
      <c r="PO83" s="18"/>
      <c r="PP83" s="18"/>
      <c r="PQ83" s="18"/>
      <c r="PR83" s="18"/>
      <c r="PS83" s="18"/>
      <c r="PT83" s="18"/>
      <c r="PU83" s="18"/>
      <c r="PV83" s="18"/>
      <c r="PW83" s="18"/>
      <c r="PX83" s="18"/>
      <c r="PY83" s="18"/>
      <c r="PZ83" s="18"/>
      <c r="QA83" s="18"/>
      <c r="QB83" s="18"/>
      <c r="QC83" s="18"/>
      <c r="QD83" s="18"/>
      <c r="QE83" s="18"/>
      <c r="QF83" s="18"/>
      <c r="QG83" s="18"/>
      <c r="QH83" s="18"/>
      <c r="QI83" s="18"/>
      <c r="QJ83" s="18"/>
      <c r="QK83" s="18"/>
      <c r="QL83" s="18"/>
      <c r="QM83" s="18"/>
      <c r="QN83" s="18"/>
      <c r="QO83" s="18"/>
      <c r="QP83" s="18"/>
      <c r="QQ83" s="18"/>
      <c r="QR83" s="18"/>
      <c r="QS83" s="18"/>
      <c r="QT83" s="18"/>
      <c r="QU83" s="18"/>
      <c r="QV83" s="18"/>
      <c r="QW83" s="18"/>
      <c r="QX83" s="18"/>
      <c r="QY83" s="18"/>
      <c r="QZ83" s="18"/>
      <c r="RA83" s="18"/>
      <c r="RB83" s="18"/>
      <c r="RC83" s="18"/>
      <c r="RD83" s="18"/>
      <c r="RE83" s="18"/>
      <c r="RF83" s="18"/>
      <c r="RG83" s="18"/>
      <c r="RH83" s="18"/>
      <c r="RI83" s="18"/>
      <c r="RJ83" s="18"/>
      <c r="RK83" s="18"/>
      <c r="RL83" s="18"/>
      <c r="RM83" s="18"/>
      <c r="RN83" s="18"/>
      <c r="RO83" s="18"/>
      <c r="RP83" s="18"/>
      <c r="RQ83" s="18"/>
      <c r="RR83" s="18"/>
      <c r="RS83" s="18"/>
      <c r="RT83" s="18"/>
      <c r="RU83" s="18"/>
      <c r="RV83" s="18"/>
      <c r="RW83" s="18"/>
      <c r="RX83" s="18"/>
      <c r="RY83" s="18"/>
      <c r="RZ83" s="18"/>
      <c r="SA83" s="18"/>
      <c r="SB83" s="18"/>
      <c r="SC83" s="18"/>
      <c r="SD83" s="18"/>
      <c r="SE83" s="18"/>
      <c r="SF83" s="18"/>
      <c r="SG83" s="18"/>
      <c r="SH83" s="18"/>
      <c r="SI83" s="18"/>
      <c r="SJ83" s="18"/>
      <c r="SK83" s="18"/>
      <c r="SL83" s="18"/>
      <c r="SM83" s="18"/>
      <c r="SN83" s="18"/>
      <c r="SO83" s="18"/>
      <c r="SP83" s="18"/>
      <c r="SQ83" s="18"/>
      <c r="SR83" s="18"/>
      <c r="SS83" s="18"/>
      <c r="ST83" s="18"/>
      <c r="SU83" s="18"/>
      <c r="SV83" s="18"/>
      <c r="SW83" s="18"/>
      <c r="SX83" s="18"/>
      <c r="SY83" s="18"/>
      <c r="SZ83" s="18"/>
      <c r="TA83" s="18"/>
      <c r="TB83" s="18"/>
      <c r="TC83" s="18"/>
      <c r="TD83" s="18"/>
      <c r="TE83" s="18"/>
      <c r="TF83" s="18"/>
      <c r="TG83" s="18"/>
      <c r="TH83" s="18"/>
      <c r="TI83" s="18"/>
      <c r="TJ83" s="18"/>
      <c r="TK83" s="18"/>
      <c r="TL83" s="18"/>
      <c r="TM83" s="18"/>
      <c r="TN83" s="18"/>
      <c r="TO83" s="18"/>
      <c r="TP83" s="18"/>
      <c r="TQ83" s="18"/>
      <c r="TR83" s="18"/>
      <c r="TS83" s="18"/>
      <c r="TT83" s="18"/>
      <c r="TU83" s="18"/>
      <c r="TV83" s="18"/>
      <c r="TW83" s="18"/>
      <c r="TX83" s="18"/>
      <c r="TY83" s="18"/>
      <c r="TZ83" s="18"/>
      <c r="UA83" s="18"/>
      <c r="UB83" s="18"/>
      <c r="UC83" s="18"/>
      <c r="UD83" s="18"/>
      <c r="UE83" s="18"/>
      <c r="UF83" s="18"/>
      <c r="UG83" s="18"/>
      <c r="UH83" s="18"/>
      <c r="UI83" s="18"/>
      <c r="UJ83" s="18"/>
      <c r="UK83" s="18"/>
      <c r="UL83" s="18"/>
      <c r="UM83" s="18"/>
      <c r="UN83" s="18"/>
      <c r="UO83" s="18"/>
      <c r="UP83" s="18"/>
      <c r="UQ83" s="18"/>
      <c r="UR83" s="18"/>
      <c r="US83" s="18"/>
      <c r="UT83" s="18"/>
      <c r="UU83" s="18"/>
      <c r="UV83" s="18"/>
      <c r="UW83" s="18"/>
      <c r="UX83" s="18"/>
      <c r="UY83" s="18"/>
      <c r="UZ83" s="18"/>
      <c r="VA83" s="18"/>
      <c r="VB83" s="18"/>
      <c r="VC83" s="18"/>
      <c r="VD83" s="18"/>
      <c r="VE83" s="18"/>
      <c r="VF83" s="18"/>
      <c r="VG83" s="18"/>
      <c r="VH83" s="18"/>
      <c r="VI83" s="18"/>
      <c r="VJ83" s="18"/>
      <c r="VK83" s="18"/>
      <c r="VL83" s="18"/>
      <c r="VM83" s="18"/>
      <c r="VN83" s="18"/>
      <c r="VO83" s="18"/>
      <c r="VP83" s="18"/>
      <c r="VQ83" s="18"/>
      <c r="VR83" s="18"/>
      <c r="VS83" s="18"/>
      <c r="VT83" s="18"/>
      <c r="VU83" s="18"/>
      <c r="VV83" s="18"/>
      <c r="VW83" s="18"/>
      <c r="VX83" s="18"/>
      <c r="VY83" s="18"/>
      <c r="VZ83" s="18"/>
      <c r="WA83" s="18"/>
      <c r="WB83" s="18"/>
      <c r="WC83" s="18"/>
      <c r="WD83" s="18"/>
      <c r="WE83" s="18"/>
      <c r="WF83" s="18"/>
      <c r="WG83" s="18"/>
      <c r="WH83" s="18"/>
      <c r="WI83" s="18"/>
      <c r="WJ83" s="18"/>
      <c r="WK83" s="18"/>
      <c r="WL83" s="18"/>
      <c r="WM83" s="18"/>
      <c r="WN83" s="18"/>
      <c r="WO83" s="18"/>
      <c r="WP83" s="18"/>
      <c r="WQ83" s="18"/>
      <c r="WR83" s="18"/>
      <c r="WS83" s="18"/>
      <c r="WT83" s="18"/>
      <c r="WU83" s="18"/>
      <c r="WV83" s="18"/>
      <c r="WW83" s="18"/>
      <c r="WX83" s="18"/>
      <c r="WY83" s="18"/>
      <c r="WZ83" s="18"/>
      <c r="XA83" s="18"/>
      <c r="XB83" s="18"/>
      <c r="XC83" s="18"/>
      <c r="XD83" s="18"/>
      <c r="XE83" s="18"/>
      <c r="XF83" s="18"/>
      <c r="XG83" s="18"/>
      <c r="XH83" s="18"/>
      <c r="XI83" s="18"/>
      <c r="XJ83" s="18"/>
      <c r="XK83" s="18"/>
      <c r="XL83" s="18"/>
      <c r="XM83" s="18"/>
      <c r="XN83" s="18"/>
      <c r="XO83" s="18"/>
      <c r="XP83" s="18"/>
      <c r="XQ83" s="18"/>
      <c r="XR83" s="18"/>
      <c r="XS83" s="18"/>
      <c r="XT83" s="18"/>
      <c r="XU83" s="18"/>
      <c r="XV83" s="18"/>
      <c r="XW83" s="18"/>
      <c r="XX83" s="18"/>
      <c r="XY83" s="18"/>
      <c r="XZ83" s="18"/>
      <c r="YA83" s="18"/>
      <c r="YB83" s="18"/>
      <c r="YC83" s="18"/>
      <c r="YD83" s="18"/>
      <c r="YE83" s="18"/>
      <c r="YF83" s="18"/>
      <c r="YG83" s="18"/>
      <c r="YH83" s="18"/>
      <c r="YI83" s="18"/>
      <c r="YJ83" s="18"/>
      <c r="YK83" s="18"/>
      <c r="YL83" s="18"/>
      <c r="YM83" s="18"/>
      <c r="YN83" s="18"/>
      <c r="YO83" s="18"/>
      <c r="YP83" s="18"/>
      <c r="YQ83" s="18"/>
      <c r="YR83" s="18"/>
      <c r="YS83" s="18"/>
      <c r="YT83" s="18"/>
      <c r="YU83" s="18"/>
      <c r="YV83" s="18"/>
      <c r="YW83" s="18"/>
      <c r="YX83" s="18"/>
      <c r="YY83" s="18"/>
      <c r="YZ83" s="18"/>
      <c r="ZA83" s="18"/>
      <c r="ZB83" s="18"/>
      <c r="ZC83" s="18"/>
      <c r="ZD83" s="18"/>
      <c r="ZE83" s="18"/>
      <c r="ZF83" s="18"/>
      <c r="ZG83" s="18"/>
      <c r="ZH83" s="18"/>
      <c r="ZI83" s="18"/>
      <c r="ZJ83" s="18"/>
      <c r="ZK83" s="18"/>
      <c r="ZL83" s="18"/>
      <c r="ZM83" s="18"/>
      <c r="ZN83" s="18"/>
      <c r="ZO83" s="18"/>
      <c r="ZP83" s="18"/>
      <c r="ZQ83" s="18"/>
      <c r="ZR83" s="18"/>
      <c r="ZS83" s="18"/>
      <c r="ZT83" s="18"/>
      <c r="ZU83" s="18"/>
      <c r="ZV83" s="18"/>
      <c r="ZW83" s="18"/>
      <c r="ZX83" s="18"/>
      <c r="ZY83" s="18"/>
      <c r="ZZ83" s="18"/>
      <c r="AAA83" s="18"/>
      <c r="AAB83" s="18"/>
      <c r="AAC83" s="18"/>
      <c r="AAD83" s="18"/>
      <c r="AAE83" s="18"/>
      <c r="AAF83" s="18"/>
      <c r="AAG83" s="18"/>
      <c r="AAH83" s="18"/>
      <c r="AAI83" s="18"/>
      <c r="AAJ83" s="18"/>
      <c r="AAK83" s="18"/>
      <c r="AAL83" s="18"/>
      <c r="AAM83" s="18"/>
      <c r="AAN83" s="18"/>
      <c r="AAO83" s="18"/>
      <c r="AAP83" s="18"/>
      <c r="AAQ83" s="18"/>
      <c r="AAR83" s="18"/>
      <c r="AAS83" s="18"/>
      <c r="AAT83" s="18"/>
      <c r="AAU83" s="18"/>
      <c r="AAV83" s="18"/>
      <c r="AAW83" s="18"/>
      <c r="AAX83" s="18"/>
      <c r="AAY83" s="18"/>
      <c r="AAZ83" s="18"/>
      <c r="ABA83" s="18"/>
      <c r="ABB83" s="18"/>
      <c r="ABC83" s="18"/>
      <c r="ABD83" s="18"/>
      <c r="ABE83" s="18"/>
      <c r="ABF83" s="18"/>
      <c r="ABG83" s="18"/>
      <c r="ABH83" s="18"/>
      <c r="ABI83" s="18"/>
      <c r="ABJ83" s="18"/>
      <c r="ABK83" s="18"/>
      <c r="ABL83" s="18"/>
      <c r="ABM83" s="18"/>
      <c r="ABN83" s="18"/>
      <c r="ABO83" s="18"/>
      <c r="ABP83" s="18"/>
      <c r="ABQ83" s="18"/>
      <c r="ABR83" s="18"/>
      <c r="ABS83" s="18"/>
      <c r="ABT83" s="18"/>
      <c r="ABU83" s="18"/>
      <c r="ABV83" s="18"/>
      <c r="ABW83" s="18"/>
      <c r="ABX83" s="18"/>
      <c r="ABY83" s="18"/>
      <c r="ABZ83" s="18"/>
      <c r="ACA83" s="18"/>
      <c r="ACB83" s="18"/>
      <c r="ACC83" s="18"/>
      <c r="ACD83" s="18"/>
      <c r="ACE83" s="18"/>
      <c r="ACF83" s="18"/>
      <c r="ACG83" s="18"/>
      <c r="ACH83" s="18"/>
      <c r="ACI83" s="18"/>
      <c r="ACJ83" s="18"/>
      <c r="ACK83" s="18"/>
      <c r="ACL83" s="18"/>
      <c r="ACM83" s="18"/>
      <c r="ACN83" s="18"/>
      <c r="ACO83" s="18"/>
      <c r="ACP83" s="18"/>
      <c r="ACQ83" s="18"/>
      <c r="ACR83" s="18"/>
      <c r="ACS83" s="18"/>
      <c r="ACT83" s="18"/>
      <c r="ACU83" s="18"/>
      <c r="ACV83" s="18"/>
      <c r="ACW83" s="18"/>
      <c r="ACX83" s="18"/>
      <c r="ACY83" s="18"/>
      <c r="ACZ83" s="18"/>
      <c r="ADA83" s="18"/>
      <c r="ADB83" s="18"/>
      <c r="ADC83" s="18"/>
      <c r="ADD83" s="18"/>
      <c r="ADE83" s="18"/>
      <c r="ADF83" s="18"/>
      <c r="ADG83" s="18"/>
      <c r="ADH83" s="18"/>
      <c r="ADI83" s="18"/>
      <c r="ADJ83" s="18"/>
      <c r="ADK83" s="18"/>
      <c r="ADL83" s="18"/>
      <c r="ADM83" s="18"/>
      <c r="ADN83" s="18"/>
      <c r="ADO83" s="18"/>
      <c r="ADP83" s="18"/>
      <c r="ADQ83" s="18"/>
      <c r="ADR83" s="18"/>
      <c r="ADS83" s="18"/>
      <c r="ADT83" s="18"/>
      <c r="ADU83" s="18"/>
      <c r="ADV83" s="18"/>
      <c r="ADW83" s="18"/>
      <c r="ADX83" s="18"/>
      <c r="ADY83" s="18"/>
      <c r="ADZ83" s="18"/>
      <c r="AEA83" s="18"/>
      <c r="AEB83" s="18"/>
      <c r="AEC83" s="18"/>
      <c r="AED83" s="18"/>
      <c r="AEE83" s="18"/>
      <c r="AEF83" s="18"/>
      <c r="AEG83" s="18"/>
      <c r="AEH83" s="18"/>
      <c r="AEI83" s="18"/>
      <c r="AEJ83" s="18"/>
      <c r="AEK83" s="18"/>
      <c r="AEL83" s="18"/>
      <c r="AEM83" s="18"/>
      <c r="AEN83" s="18"/>
      <c r="AEO83" s="18"/>
      <c r="AEP83" s="18"/>
      <c r="AEQ83" s="18"/>
      <c r="AER83" s="18"/>
      <c r="AES83" s="18"/>
      <c r="AET83" s="18"/>
      <c r="AEU83" s="18"/>
      <c r="AEV83" s="18"/>
      <c r="AEW83" s="18"/>
      <c r="AEX83" s="18"/>
      <c r="AEY83" s="18"/>
      <c r="AEZ83" s="18"/>
      <c r="AFA83" s="18"/>
      <c r="AFB83" s="18"/>
      <c r="AFC83" s="18"/>
      <c r="AFD83" s="18"/>
      <c r="AFE83" s="18"/>
      <c r="AFF83" s="18"/>
      <c r="AFG83" s="18"/>
      <c r="AFH83" s="18"/>
      <c r="AFI83" s="18"/>
      <c r="AFJ83" s="18"/>
      <c r="AFK83" s="18"/>
      <c r="AFL83" s="18"/>
      <c r="AFM83" s="18"/>
      <c r="AFN83" s="18"/>
      <c r="AFO83" s="18"/>
      <c r="AFP83" s="18"/>
      <c r="AFQ83" s="18"/>
      <c r="AFR83" s="18"/>
      <c r="AFS83" s="18"/>
      <c r="AFT83" s="18"/>
      <c r="AFU83" s="18"/>
      <c r="AFV83" s="18"/>
      <c r="AFW83" s="18"/>
      <c r="AFX83" s="18"/>
      <c r="AFY83" s="18"/>
      <c r="AFZ83" s="18"/>
      <c r="AGA83" s="18"/>
      <c r="AGB83" s="18"/>
      <c r="AGC83" s="18"/>
      <c r="AGD83" s="18"/>
      <c r="AGE83" s="18"/>
      <c r="AGF83" s="18"/>
      <c r="AGG83" s="18"/>
      <c r="AGH83" s="18"/>
      <c r="AGI83" s="18"/>
      <c r="AGJ83" s="18"/>
      <c r="AGK83" s="18"/>
      <c r="AGL83" s="18"/>
      <c r="AGM83" s="18"/>
      <c r="AGN83" s="18"/>
      <c r="AGO83" s="18"/>
      <c r="AGP83" s="18"/>
      <c r="AGQ83" s="18"/>
      <c r="AGR83" s="18"/>
      <c r="AGS83" s="18"/>
      <c r="AGT83" s="18"/>
      <c r="AGU83" s="18"/>
      <c r="AGV83" s="18"/>
      <c r="AGW83" s="18"/>
      <c r="AGX83" s="18"/>
      <c r="AGY83" s="18"/>
      <c r="AGZ83" s="18"/>
      <c r="AHA83" s="18"/>
      <c r="AHB83" s="18"/>
      <c r="AHC83" s="18"/>
      <c r="AHD83" s="18"/>
      <c r="AHE83" s="18"/>
      <c r="AHF83" s="18"/>
      <c r="AHG83" s="18"/>
      <c r="AHH83" s="18"/>
      <c r="AHI83" s="18"/>
      <c r="AHJ83" s="18"/>
      <c r="AHK83" s="18"/>
      <c r="AHL83" s="18"/>
      <c r="AHM83" s="18"/>
      <c r="AHN83" s="18"/>
      <c r="AHO83" s="18"/>
      <c r="AHP83" s="18"/>
      <c r="AHQ83" s="18"/>
      <c r="AHR83" s="18"/>
      <c r="AHS83" s="18"/>
      <c r="AHT83" s="18"/>
      <c r="AHU83" s="18"/>
      <c r="AHV83" s="18"/>
      <c r="AHW83" s="18"/>
      <c r="AHX83" s="18"/>
      <c r="AHY83" s="18"/>
      <c r="AHZ83" s="18"/>
      <c r="AIA83" s="18"/>
      <c r="AIB83" s="18"/>
      <c r="AIC83" s="18"/>
      <c r="AID83" s="18"/>
      <c r="AIE83" s="18"/>
      <c r="AIF83" s="18"/>
      <c r="AIG83" s="18"/>
      <c r="AIH83" s="18"/>
      <c r="AII83" s="18"/>
      <c r="AIJ83" s="18"/>
      <c r="AIK83" s="18"/>
      <c r="AIL83" s="18"/>
      <c r="AIM83" s="18"/>
      <c r="AIN83" s="18"/>
      <c r="AIO83" s="18"/>
      <c r="AIP83" s="18"/>
      <c r="AIQ83" s="18"/>
      <c r="AIR83" s="18"/>
      <c r="AIS83" s="18"/>
      <c r="AIT83" s="18"/>
      <c r="AIU83" s="18"/>
      <c r="AIV83" s="18"/>
      <c r="AIW83" s="18"/>
      <c r="AIX83" s="18"/>
      <c r="AIY83" s="18"/>
      <c r="AIZ83" s="18"/>
      <c r="AJA83" s="18"/>
      <c r="AJB83" s="18"/>
      <c r="AJC83" s="18"/>
      <c r="AJD83" s="18"/>
      <c r="AJE83" s="18"/>
      <c r="AJF83" s="18"/>
      <c r="AJG83" s="18"/>
      <c r="AJH83" s="18"/>
      <c r="AJI83" s="18"/>
      <c r="AJJ83" s="18"/>
      <c r="AJK83" s="18"/>
      <c r="AJL83" s="18"/>
      <c r="AJM83" s="18"/>
      <c r="AJN83" s="18"/>
      <c r="AJO83" s="18"/>
      <c r="AJP83" s="18"/>
      <c r="AJQ83" s="18"/>
      <c r="AJR83" s="18"/>
      <c r="AJS83" s="18"/>
      <c r="AJT83" s="18"/>
      <c r="AJU83" s="18"/>
      <c r="AJV83" s="18"/>
      <c r="AJW83" s="18"/>
      <c r="AJX83" s="18"/>
      <c r="AJY83" s="18"/>
      <c r="AJZ83" s="18"/>
      <c r="AKA83" s="18"/>
      <c r="AKB83" s="18"/>
      <c r="AKC83" s="18"/>
      <c r="AKD83" s="18"/>
      <c r="AKE83" s="18"/>
      <c r="AKF83" s="18"/>
      <c r="AKG83" s="18"/>
      <c r="AKH83" s="18"/>
      <c r="AKI83" s="18"/>
      <c r="AKJ83" s="18"/>
      <c r="AKK83" s="18"/>
      <c r="AKL83" s="18"/>
      <c r="AKM83" s="18"/>
      <c r="AKN83" s="18"/>
      <c r="AKO83" s="18"/>
      <c r="AKP83" s="18"/>
      <c r="AKQ83" s="18"/>
      <c r="AKR83" s="18"/>
      <c r="AKS83" s="18"/>
      <c r="AKT83" s="18"/>
      <c r="AKU83" s="18"/>
      <c r="AKV83" s="18"/>
      <c r="AKW83" s="18"/>
      <c r="AKX83" s="18"/>
      <c r="AKY83" s="18"/>
      <c r="AKZ83" s="18"/>
      <c r="ALA83" s="18"/>
      <c r="ALB83" s="18"/>
      <c r="ALC83" s="18"/>
      <c r="ALD83" s="18"/>
      <c r="ALE83" s="18"/>
      <c r="ALF83" s="18"/>
      <c r="ALG83" s="18"/>
      <c r="ALH83" s="18"/>
      <c r="ALI83" s="18"/>
      <c r="ALJ83" s="18"/>
      <c r="ALK83" s="18"/>
      <c r="ALL83" s="18"/>
      <c r="ALM83" s="18"/>
      <c r="ALN83" s="18"/>
      <c r="ALO83" s="18"/>
      <c r="ALP83" s="18"/>
      <c r="ALQ83" s="18"/>
      <c r="ALR83" s="18"/>
      <c r="ALS83" s="18"/>
      <c r="ALT83" s="18"/>
      <c r="ALU83" s="18"/>
      <c r="ALV83" s="18"/>
      <c r="ALW83" s="18"/>
      <c r="ALX83" s="18"/>
      <c r="ALY83" s="18"/>
      <c r="ALZ83" s="18"/>
      <c r="AMA83" s="18"/>
      <c r="AMB83" s="18"/>
      <c r="AMC83" s="18"/>
      <c r="AMD83" s="18"/>
      <c r="AME83" s="18"/>
      <c r="AMF83" s="18"/>
      <c r="AMG83" s="18"/>
      <c r="AMH83" s="18"/>
    </row>
    <row r="84" spans="1:1022" s="23" customFormat="1" x14ac:dyDescent="0.3">
      <c r="A84" s="33">
        <v>180</v>
      </c>
      <c r="B84" s="19"/>
      <c r="C84" s="19"/>
      <c r="D84" s="57" t="s">
        <v>353</v>
      </c>
      <c r="E84" s="34" t="s">
        <v>503</v>
      </c>
      <c r="F84" s="43">
        <v>25</v>
      </c>
      <c r="G84" s="19"/>
      <c r="H84" s="38" t="s">
        <v>281</v>
      </c>
      <c r="I84" s="31"/>
      <c r="J84" s="31"/>
      <c r="K84" s="31"/>
      <c r="L84" s="31"/>
      <c r="M84" s="32"/>
      <c r="N84" s="32"/>
      <c r="O84" s="18"/>
      <c r="P84" s="36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  <c r="BV84" s="18"/>
      <c r="BW84" s="18"/>
      <c r="BX84" s="18"/>
      <c r="BY84" s="18"/>
      <c r="BZ84" s="18"/>
      <c r="CA84" s="18"/>
      <c r="CB84" s="18"/>
      <c r="CC84" s="18"/>
      <c r="CD84" s="18"/>
      <c r="CE84" s="18"/>
      <c r="CF84" s="18"/>
      <c r="CG84" s="18"/>
      <c r="CH84" s="18"/>
      <c r="CI84" s="18"/>
      <c r="CJ84" s="18"/>
      <c r="CK84" s="18"/>
      <c r="CL84" s="18"/>
      <c r="CM84" s="18"/>
      <c r="CN84" s="18"/>
      <c r="CO84" s="18"/>
      <c r="CP84" s="18"/>
      <c r="CQ84" s="18"/>
      <c r="CR84" s="18"/>
      <c r="CS84" s="18"/>
      <c r="CT84" s="18"/>
      <c r="CU84" s="18"/>
      <c r="CV84" s="18"/>
      <c r="CW84" s="18"/>
      <c r="CX84" s="18"/>
      <c r="CY84" s="18"/>
      <c r="CZ84" s="18"/>
      <c r="DA84" s="18"/>
      <c r="DB84" s="18"/>
      <c r="DC84" s="18"/>
      <c r="DD84" s="18"/>
      <c r="DE84" s="18"/>
      <c r="DF84" s="18"/>
      <c r="DG84" s="18"/>
      <c r="DH84" s="18"/>
      <c r="DI84" s="18"/>
      <c r="DJ84" s="18"/>
      <c r="DK84" s="18"/>
      <c r="DL84" s="18"/>
      <c r="DM84" s="18"/>
      <c r="DN84" s="18"/>
      <c r="DO84" s="18"/>
      <c r="DP84" s="18"/>
      <c r="DQ84" s="18"/>
      <c r="DR84" s="18"/>
      <c r="DS84" s="18"/>
      <c r="DT84" s="18"/>
      <c r="DU84" s="18"/>
      <c r="DV84" s="18"/>
      <c r="DW84" s="18"/>
      <c r="DX84" s="18"/>
      <c r="DY84" s="18"/>
      <c r="DZ84" s="18"/>
      <c r="EA84" s="18"/>
      <c r="EB84" s="18"/>
      <c r="EC84" s="18"/>
      <c r="ED84" s="18"/>
      <c r="EE84" s="18"/>
      <c r="EF84" s="18"/>
      <c r="EG84" s="18"/>
      <c r="EH84" s="18"/>
      <c r="EI84" s="18"/>
      <c r="EJ84" s="18"/>
      <c r="EK84" s="18"/>
      <c r="EL84" s="18"/>
      <c r="EM84" s="18"/>
      <c r="EN84" s="18"/>
      <c r="EO84" s="18"/>
      <c r="EP84" s="18"/>
      <c r="EQ84" s="18"/>
      <c r="ER84" s="18"/>
      <c r="ES84" s="18"/>
      <c r="ET84" s="18"/>
      <c r="EU84" s="18"/>
      <c r="EV84" s="18"/>
      <c r="EW84" s="18"/>
      <c r="EX84" s="18"/>
      <c r="EY84" s="18"/>
      <c r="EZ84" s="18"/>
      <c r="FA84" s="18"/>
      <c r="FB84" s="18"/>
      <c r="FC84" s="18"/>
      <c r="FD84" s="18"/>
      <c r="FE84" s="18"/>
      <c r="FF84" s="18"/>
      <c r="FG84" s="18"/>
      <c r="FH84" s="18"/>
      <c r="FI84" s="18"/>
      <c r="FJ84" s="18"/>
      <c r="FK84" s="18"/>
      <c r="FL84" s="18"/>
      <c r="FM84" s="18"/>
      <c r="FN84" s="18"/>
      <c r="FO84" s="18"/>
      <c r="FP84" s="18"/>
      <c r="FQ84" s="18"/>
      <c r="FR84" s="18"/>
      <c r="FS84" s="18"/>
      <c r="FT84" s="18"/>
      <c r="FU84" s="18"/>
      <c r="FV84" s="18"/>
      <c r="FW84" s="18"/>
      <c r="FX84" s="18"/>
      <c r="FY84" s="18"/>
      <c r="FZ84" s="18"/>
      <c r="GA84" s="18"/>
      <c r="GB84" s="18"/>
      <c r="GC84" s="18"/>
      <c r="GD84" s="18"/>
      <c r="GE84" s="18"/>
      <c r="GF84" s="18"/>
      <c r="GG84" s="18"/>
      <c r="GH84" s="18"/>
      <c r="GI84" s="18"/>
      <c r="GJ84" s="18"/>
      <c r="GK84" s="18"/>
      <c r="GL84" s="18"/>
      <c r="GM84" s="18"/>
      <c r="GN84" s="18"/>
      <c r="GO84" s="18"/>
      <c r="GP84" s="18"/>
      <c r="GQ84" s="18"/>
      <c r="GR84" s="18"/>
      <c r="GS84" s="18"/>
      <c r="GT84" s="18"/>
      <c r="GU84" s="18"/>
      <c r="GV84" s="18"/>
      <c r="GW84" s="18"/>
      <c r="GX84" s="18"/>
      <c r="GY84" s="18"/>
      <c r="GZ84" s="18"/>
      <c r="HA84" s="18"/>
      <c r="HB84" s="18"/>
      <c r="HC84" s="18"/>
      <c r="HD84" s="18"/>
      <c r="HE84" s="18"/>
      <c r="HF84" s="18"/>
      <c r="HG84" s="18"/>
      <c r="HH84" s="18"/>
      <c r="HI84" s="18"/>
      <c r="HJ84" s="18"/>
      <c r="HK84" s="18"/>
      <c r="HL84" s="18"/>
      <c r="HM84" s="18"/>
      <c r="HN84" s="18"/>
      <c r="HO84" s="18"/>
      <c r="HP84" s="18"/>
      <c r="HQ84" s="18"/>
      <c r="HR84" s="18"/>
      <c r="HS84" s="18"/>
      <c r="HT84" s="18"/>
      <c r="HU84" s="18"/>
      <c r="HV84" s="18"/>
      <c r="HW84" s="18"/>
      <c r="HX84" s="18"/>
      <c r="HY84" s="18"/>
      <c r="HZ84" s="18"/>
      <c r="IA84" s="18"/>
      <c r="IB84" s="18"/>
      <c r="IC84" s="18"/>
      <c r="ID84" s="18"/>
      <c r="IE84" s="18"/>
      <c r="IF84" s="18"/>
      <c r="IG84" s="18"/>
      <c r="IH84" s="18"/>
      <c r="II84" s="18"/>
      <c r="IJ84" s="18"/>
      <c r="IK84" s="18"/>
      <c r="IL84" s="18"/>
      <c r="IM84" s="18"/>
      <c r="IN84" s="18"/>
      <c r="IO84" s="18"/>
      <c r="IP84" s="18"/>
      <c r="IQ84" s="18"/>
      <c r="IR84" s="18"/>
      <c r="IS84" s="18"/>
      <c r="IT84" s="18"/>
      <c r="IU84" s="18"/>
      <c r="IV84" s="18"/>
      <c r="IW84" s="18"/>
      <c r="IX84" s="18"/>
      <c r="IY84" s="18"/>
      <c r="IZ84" s="18"/>
      <c r="JA84" s="18"/>
      <c r="JB84" s="18"/>
      <c r="JC84" s="18"/>
      <c r="JD84" s="18"/>
      <c r="JE84" s="18"/>
      <c r="JF84" s="18"/>
      <c r="JG84" s="18"/>
      <c r="JH84" s="18"/>
      <c r="JI84" s="18"/>
      <c r="JJ84" s="18"/>
      <c r="JK84" s="18"/>
      <c r="JL84" s="18"/>
      <c r="JM84" s="18"/>
      <c r="JN84" s="18"/>
      <c r="JO84" s="18"/>
      <c r="JP84" s="18"/>
      <c r="JQ84" s="18"/>
      <c r="JR84" s="18"/>
      <c r="JS84" s="18"/>
      <c r="JT84" s="18"/>
      <c r="JU84" s="18"/>
      <c r="JV84" s="18"/>
      <c r="JW84" s="18"/>
      <c r="JX84" s="18"/>
      <c r="JY84" s="18"/>
      <c r="JZ84" s="18"/>
      <c r="KA84" s="18"/>
      <c r="KB84" s="18"/>
      <c r="KC84" s="18"/>
      <c r="KD84" s="18"/>
      <c r="KE84" s="18"/>
      <c r="KF84" s="18"/>
      <c r="KG84" s="18"/>
      <c r="KH84" s="18"/>
      <c r="KI84" s="18"/>
      <c r="KJ84" s="18"/>
      <c r="KK84" s="18"/>
      <c r="KL84" s="18"/>
      <c r="KM84" s="18"/>
      <c r="KN84" s="18"/>
      <c r="KO84" s="18"/>
      <c r="KP84" s="18"/>
      <c r="KQ84" s="18"/>
      <c r="KR84" s="18"/>
      <c r="KS84" s="18"/>
      <c r="KT84" s="18"/>
      <c r="KU84" s="18"/>
      <c r="KV84" s="18"/>
      <c r="KW84" s="18"/>
      <c r="KX84" s="18"/>
      <c r="KY84" s="18"/>
      <c r="KZ84" s="18"/>
      <c r="LA84" s="18"/>
      <c r="LB84" s="18"/>
      <c r="LC84" s="18"/>
      <c r="LD84" s="18"/>
      <c r="LE84" s="18"/>
      <c r="LF84" s="18"/>
      <c r="LG84" s="18"/>
      <c r="LH84" s="18"/>
      <c r="LI84" s="18"/>
      <c r="LJ84" s="18"/>
      <c r="LK84" s="18"/>
      <c r="LL84" s="18"/>
      <c r="LM84" s="18"/>
      <c r="LN84" s="18"/>
      <c r="LO84" s="18"/>
      <c r="LP84" s="18"/>
      <c r="LQ84" s="18"/>
      <c r="LR84" s="18"/>
      <c r="LS84" s="18"/>
      <c r="LT84" s="18"/>
      <c r="LU84" s="18"/>
      <c r="LV84" s="18"/>
      <c r="LW84" s="18"/>
      <c r="LX84" s="18"/>
      <c r="LY84" s="18"/>
      <c r="LZ84" s="18"/>
      <c r="MA84" s="18"/>
      <c r="MB84" s="18"/>
      <c r="MC84" s="18"/>
      <c r="MD84" s="18"/>
      <c r="ME84" s="18"/>
      <c r="MF84" s="18"/>
      <c r="MG84" s="18"/>
      <c r="MH84" s="18"/>
      <c r="MI84" s="18"/>
      <c r="MJ84" s="18"/>
      <c r="MK84" s="18"/>
      <c r="ML84" s="18"/>
      <c r="MM84" s="18"/>
      <c r="MN84" s="18"/>
      <c r="MO84" s="18"/>
      <c r="MP84" s="18"/>
      <c r="MQ84" s="18"/>
      <c r="MR84" s="18"/>
      <c r="MS84" s="18"/>
      <c r="MT84" s="18"/>
      <c r="MU84" s="18"/>
      <c r="MV84" s="18"/>
      <c r="MW84" s="18"/>
      <c r="MX84" s="18"/>
      <c r="MY84" s="18"/>
      <c r="MZ84" s="18"/>
      <c r="NA84" s="18"/>
      <c r="NB84" s="18"/>
      <c r="NC84" s="18"/>
      <c r="ND84" s="18"/>
      <c r="NE84" s="18"/>
      <c r="NF84" s="18"/>
      <c r="NG84" s="18"/>
      <c r="NH84" s="18"/>
      <c r="NI84" s="18"/>
      <c r="NJ84" s="18"/>
      <c r="NK84" s="18"/>
      <c r="NL84" s="18"/>
      <c r="NM84" s="18"/>
      <c r="NN84" s="18"/>
      <c r="NO84" s="18"/>
      <c r="NP84" s="18"/>
      <c r="NQ84" s="18"/>
      <c r="NR84" s="18"/>
      <c r="NS84" s="18"/>
      <c r="NT84" s="18"/>
      <c r="NU84" s="18"/>
      <c r="NV84" s="18"/>
      <c r="NW84" s="18"/>
      <c r="NX84" s="18"/>
      <c r="NY84" s="18"/>
      <c r="NZ84" s="18"/>
      <c r="OA84" s="18"/>
      <c r="OB84" s="18"/>
      <c r="OC84" s="18"/>
      <c r="OD84" s="18"/>
      <c r="OE84" s="18"/>
      <c r="OF84" s="18"/>
      <c r="OG84" s="18"/>
      <c r="OH84" s="18"/>
      <c r="OI84" s="18"/>
      <c r="OJ84" s="18"/>
      <c r="OK84" s="18"/>
      <c r="OL84" s="18"/>
      <c r="OM84" s="18"/>
      <c r="ON84" s="18"/>
      <c r="OO84" s="18"/>
      <c r="OP84" s="18"/>
      <c r="OQ84" s="18"/>
      <c r="OR84" s="18"/>
      <c r="OS84" s="18"/>
      <c r="OT84" s="18"/>
      <c r="OU84" s="18"/>
      <c r="OV84" s="18"/>
      <c r="OW84" s="18"/>
      <c r="OX84" s="18"/>
      <c r="OY84" s="18"/>
      <c r="OZ84" s="18"/>
      <c r="PA84" s="18"/>
      <c r="PB84" s="18"/>
      <c r="PC84" s="18"/>
      <c r="PD84" s="18"/>
      <c r="PE84" s="18"/>
      <c r="PF84" s="18"/>
      <c r="PG84" s="18"/>
      <c r="PH84" s="18"/>
      <c r="PI84" s="18"/>
      <c r="PJ84" s="18"/>
      <c r="PK84" s="18"/>
      <c r="PL84" s="18"/>
      <c r="PM84" s="18"/>
      <c r="PN84" s="18"/>
      <c r="PO84" s="18"/>
      <c r="PP84" s="18"/>
      <c r="PQ84" s="18"/>
      <c r="PR84" s="18"/>
      <c r="PS84" s="18"/>
      <c r="PT84" s="18"/>
      <c r="PU84" s="18"/>
      <c r="PV84" s="18"/>
      <c r="PW84" s="18"/>
      <c r="PX84" s="18"/>
      <c r="PY84" s="18"/>
      <c r="PZ84" s="18"/>
      <c r="QA84" s="18"/>
      <c r="QB84" s="18"/>
      <c r="QC84" s="18"/>
      <c r="QD84" s="18"/>
      <c r="QE84" s="18"/>
      <c r="QF84" s="18"/>
      <c r="QG84" s="18"/>
      <c r="QH84" s="18"/>
      <c r="QI84" s="18"/>
      <c r="QJ84" s="18"/>
      <c r="QK84" s="18"/>
      <c r="QL84" s="18"/>
      <c r="QM84" s="18"/>
      <c r="QN84" s="18"/>
      <c r="QO84" s="18"/>
      <c r="QP84" s="18"/>
      <c r="QQ84" s="18"/>
      <c r="QR84" s="18"/>
      <c r="QS84" s="18"/>
      <c r="QT84" s="18"/>
      <c r="QU84" s="18"/>
      <c r="QV84" s="18"/>
      <c r="QW84" s="18"/>
      <c r="QX84" s="18"/>
      <c r="QY84" s="18"/>
      <c r="QZ84" s="18"/>
      <c r="RA84" s="18"/>
      <c r="RB84" s="18"/>
      <c r="RC84" s="18"/>
      <c r="RD84" s="18"/>
      <c r="RE84" s="18"/>
      <c r="RF84" s="18"/>
      <c r="RG84" s="18"/>
      <c r="RH84" s="18"/>
      <c r="RI84" s="18"/>
      <c r="RJ84" s="18"/>
      <c r="RK84" s="18"/>
      <c r="RL84" s="18"/>
      <c r="RM84" s="18"/>
      <c r="RN84" s="18"/>
      <c r="RO84" s="18"/>
      <c r="RP84" s="18"/>
      <c r="RQ84" s="18"/>
      <c r="RR84" s="18"/>
      <c r="RS84" s="18"/>
      <c r="RT84" s="18"/>
      <c r="RU84" s="18"/>
      <c r="RV84" s="18"/>
      <c r="RW84" s="18"/>
      <c r="RX84" s="18"/>
      <c r="RY84" s="18"/>
      <c r="RZ84" s="18"/>
      <c r="SA84" s="18"/>
      <c r="SB84" s="18"/>
      <c r="SC84" s="18"/>
      <c r="SD84" s="18"/>
      <c r="SE84" s="18"/>
      <c r="SF84" s="18"/>
      <c r="SG84" s="18"/>
      <c r="SH84" s="18"/>
      <c r="SI84" s="18"/>
      <c r="SJ84" s="18"/>
      <c r="SK84" s="18"/>
      <c r="SL84" s="18"/>
      <c r="SM84" s="18"/>
      <c r="SN84" s="18"/>
      <c r="SO84" s="18"/>
      <c r="SP84" s="18"/>
      <c r="SQ84" s="18"/>
      <c r="SR84" s="18"/>
      <c r="SS84" s="18"/>
      <c r="ST84" s="18"/>
      <c r="SU84" s="18"/>
      <c r="SV84" s="18"/>
      <c r="SW84" s="18"/>
      <c r="SX84" s="18"/>
      <c r="SY84" s="18"/>
      <c r="SZ84" s="18"/>
      <c r="TA84" s="18"/>
      <c r="TB84" s="18"/>
      <c r="TC84" s="18"/>
      <c r="TD84" s="18"/>
      <c r="TE84" s="18"/>
      <c r="TF84" s="18"/>
      <c r="TG84" s="18"/>
      <c r="TH84" s="18"/>
      <c r="TI84" s="18"/>
      <c r="TJ84" s="18"/>
      <c r="TK84" s="18"/>
      <c r="TL84" s="18"/>
      <c r="TM84" s="18"/>
      <c r="TN84" s="18"/>
      <c r="TO84" s="18"/>
      <c r="TP84" s="18"/>
      <c r="TQ84" s="18"/>
      <c r="TR84" s="18"/>
      <c r="TS84" s="18"/>
      <c r="TT84" s="18"/>
      <c r="TU84" s="18"/>
      <c r="TV84" s="18"/>
      <c r="TW84" s="18"/>
      <c r="TX84" s="18"/>
      <c r="TY84" s="18"/>
      <c r="TZ84" s="18"/>
      <c r="UA84" s="18"/>
      <c r="UB84" s="18"/>
      <c r="UC84" s="18"/>
      <c r="UD84" s="18"/>
      <c r="UE84" s="18"/>
      <c r="UF84" s="18"/>
      <c r="UG84" s="18"/>
      <c r="UH84" s="18"/>
      <c r="UI84" s="18"/>
      <c r="UJ84" s="18"/>
      <c r="UK84" s="18"/>
      <c r="UL84" s="18"/>
      <c r="UM84" s="18"/>
      <c r="UN84" s="18"/>
      <c r="UO84" s="18"/>
      <c r="UP84" s="18"/>
      <c r="UQ84" s="18"/>
      <c r="UR84" s="18"/>
      <c r="US84" s="18"/>
      <c r="UT84" s="18"/>
      <c r="UU84" s="18"/>
      <c r="UV84" s="18"/>
      <c r="UW84" s="18"/>
      <c r="UX84" s="18"/>
      <c r="UY84" s="18"/>
      <c r="UZ84" s="18"/>
      <c r="VA84" s="18"/>
      <c r="VB84" s="18"/>
      <c r="VC84" s="18"/>
      <c r="VD84" s="18"/>
      <c r="VE84" s="18"/>
      <c r="VF84" s="18"/>
      <c r="VG84" s="18"/>
      <c r="VH84" s="18"/>
      <c r="VI84" s="18"/>
      <c r="VJ84" s="18"/>
      <c r="VK84" s="18"/>
      <c r="VL84" s="18"/>
      <c r="VM84" s="18"/>
      <c r="VN84" s="18"/>
      <c r="VO84" s="18"/>
      <c r="VP84" s="18"/>
      <c r="VQ84" s="18"/>
      <c r="VR84" s="18"/>
      <c r="VS84" s="18"/>
      <c r="VT84" s="18"/>
      <c r="VU84" s="18"/>
      <c r="VV84" s="18"/>
      <c r="VW84" s="18"/>
      <c r="VX84" s="18"/>
      <c r="VY84" s="18"/>
      <c r="VZ84" s="18"/>
      <c r="WA84" s="18"/>
      <c r="WB84" s="18"/>
      <c r="WC84" s="18"/>
      <c r="WD84" s="18"/>
      <c r="WE84" s="18"/>
      <c r="WF84" s="18"/>
      <c r="WG84" s="18"/>
      <c r="WH84" s="18"/>
      <c r="WI84" s="18"/>
      <c r="WJ84" s="18"/>
      <c r="WK84" s="18"/>
      <c r="WL84" s="18"/>
      <c r="WM84" s="18"/>
      <c r="WN84" s="18"/>
      <c r="WO84" s="18"/>
      <c r="WP84" s="18"/>
      <c r="WQ84" s="18"/>
      <c r="WR84" s="18"/>
      <c r="WS84" s="18"/>
      <c r="WT84" s="18"/>
      <c r="WU84" s="18"/>
      <c r="WV84" s="18"/>
      <c r="WW84" s="18"/>
      <c r="WX84" s="18"/>
      <c r="WY84" s="18"/>
      <c r="WZ84" s="18"/>
      <c r="XA84" s="18"/>
      <c r="XB84" s="18"/>
      <c r="XC84" s="18"/>
      <c r="XD84" s="18"/>
      <c r="XE84" s="18"/>
      <c r="XF84" s="18"/>
      <c r="XG84" s="18"/>
      <c r="XH84" s="18"/>
      <c r="XI84" s="18"/>
      <c r="XJ84" s="18"/>
      <c r="XK84" s="18"/>
      <c r="XL84" s="18"/>
      <c r="XM84" s="18"/>
      <c r="XN84" s="18"/>
      <c r="XO84" s="18"/>
      <c r="XP84" s="18"/>
      <c r="XQ84" s="18"/>
      <c r="XR84" s="18"/>
      <c r="XS84" s="18"/>
      <c r="XT84" s="18"/>
      <c r="XU84" s="18"/>
      <c r="XV84" s="18"/>
      <c r="XW84" s="18"/>
      <c r="XX84" s="18"/>
      <c r="XY84" s="18"/>
      <c r="XZ84" s="18"/>
      <c r="YA84" s="18"/>
      <c r="YB84" s="18"/>
      <c r="YC84" s="18"/>
      <c r="YD84" s="18"/>
      <c r="YE84" s="18"/>
      <c r="YF84" s="18"/>
      <c r="YG84" s="18"/>
      <c r="YH84" s="18"/>
      <c r="YI84" s="18"/>
      <c r="YJ84" s="18"/>
      <c r="YK84" s="18"/>
      <c r="YL84" s="18"/>
      <c r="YM84" s="18"/>
      <c r="YN84" s="18"/>
      <c r="YO84" s="18"/>
      <c r="YP84" s="18"/>
      <c r="YQ84" s="18"/>
      <c r="YR84" s="18"/>
      <c r="YS84" s="18"/>
      <c r="YT84" s="18"/>
      <c r="YU84" s="18"/>
      <c r="YV84" s="18"/>
      <c r="YW84" s="18"/>
      <c r="YX84" s="18"/>
      <c r="YY84" s="18"/>
      <c r="YZ84" s="18"/>
      <c r="ZA84" s="18"/>
      <c r="ZB84" s="18"/>
      <c r="ZC84" s="18"/>
      <c r="ZD84" s="18"/>
      <c r="ZE84" s="18"/>
      <c r="ZF84" s="18"/>
      <c r="ZG84" s="18"/>
      <c r="ZH84" s="18"/>
      <c r="ZI84" s="18"/>
      <c r="ZJ84" s="18"/>
      <c r="ZK84" s="18"/>
      <c r="ZL84" s="18"/>
      <c r="ZM84" s="18"/>
      <c r="ZN84" s="18"/>
      <c r="ZO84" s="18"/>
      <c r="ZP84" s="18"/>
      <c r="ZQ84" s="18"/>
      <c r="ZR84" s="18"/>
      <c r="ZS84" s="18"/>
      <c r="ZT84" s="18"/>
      <c r="ZU84" s="18"/>
      <c r="ZV84" s="18"/>
      <c r="ZW84" s="18"/>
      <c r="ZX84" s="18"/>
      <c r="ZY84" s="18"/>
      <c r="ZZ84" s="18"/>
      <c r="AAA84" s="18"/>
      <c r="AAB84" s="18"/>
      <c r="AAC84" s="18"/>
      <c r="AAD84" s="18"/>
      <c r="AAE84" s="18"/>
      <c r="AAF84" s="18"/>
      <c r="AAG84" s="18"/>
      <c r="AAH84" s="18"/>
      <c r="AAI84" s="18"/>
      <c r="AAJ84" s="18"/>
      <c r="AAK84" s="18"/>
      <c r="AAL84" s="18"/>
      <c r="AAM84" s="18"/>
      <c r="AAN84" s="18"/>
      <c r="AAO84" s="18"/>
      <c r="AAP84" s="18"/>
      <c r="AAQ84" s="18"/>
      <c r="AAR84" s="18"/>
      <c r="AAS84" s="18"/>
      <c r="AAT84" s="18"/>
      <c r="AAU84" s="18"/>
      <c r="AAV84" s="18"/>
      <c r="AAW84" s="18"/>
      <c r="AAX84" s="18"/>
      <c r="AAY84" s="18"/>
      <c r="AAZ84" s="18"/>
      <c r="ABA84" s="18"/>
      <c r="ABB84" s="18"/>
      <c r="ABC84" s="18"/>
      <c r="ABD84" s="18"/>
      <c r="ABE84" s="18"/>
      <c r="ABF84" s="18"/>
      <c r="ABG84" s="18"/>
      <c r="ABH84" s="18"/>
      <c r="ABI84" s="18"/>
      <c r="ABJ84" s="18"/>
      <c r="ABK84" s="18"/>
      <c r="ABL84" s="18"/>
      <c r="ABM84" s="18"/>
      <c r="ABN84" s="18"/>
      <c r="ABO84" s="18"/>
      <c r="ABP84" s="18"/>
      <c r="ABQ84" s="18"/>
      <c r="ABR84" s="18"/>
      <c r="ABS84" s="18"/>
      <c r="ABT84" s="18"/>
      <c r="ABU84" s="18"/>
      <c r="ABV84" s="18"/>
      <c r="ABW84" s="18"/>
      <c r="ABX84" s="18"/>
      <c r="ABY84" s="18"/>
      <c r="ABZ84" s="18"/>
      <c r="ACA84" s="18"/>
      <c r="ACB84" s="18"/>
      <c r="ACC84" s="18"/>
      <c r="ACD84" s="18"/>
      <c r="ACE84" s="18"/>
      <c r="ACF84" s="18"/>
      <c r="ACG84" s="18"/>
      <c r="ACH84" s="18"/>
      <c r="ACI84" s="18"/>
      <c r="ACJ84" s="18"/>
      <c r="ACK84" s="18"/>
      <c r="ACL84" s="18"/>
      <c r="ACM84" s="18"/>
      <c r="ACN84" s="18"/>
      <c r="ACO84" s="18"/>
      <c r="ACP84" s="18"/>
      <c r="ACQ84" s="18"/>
      <c r="ACR84" s="18"/>
      <c r="ACS84" s="18"/>
      <c r="ACT84" s="18"/>
      <c r="ACU84" s="18"/>
      <c r="ACV84" s="18"/>
      <c r="ACW84" s="18"/>
      <c r="ACX84" s="18"/>
      <c r="ACY84" s="18"/>
      <c r="ACZ84" s="18"/>
      <c r="ADA84" s="18"/>
      <c r="ADB84" s="18"/>
      <c r="ADC84" s="18"/>
      <c r="ADD84" s="18"/>
      <c r="ADE84" s="18"/>
      <c r="ADF84" s="18"/>
      <c r="ADG84" s="18"/>
      <c r="ADH84" s="18"/>
      <c r="ADI84" s="18"/>
      <c r="ADJ84" s="18"/>
      <c r="ADK84" s="18"/>
      <c r="ADL84" s="18"/>
      <c r="ADM84" s="18"/>
      <c r="ADN84" s="18"/>
      <c r="ADO84" s="18"/>
      <c r="ADP84" s="18"/>
      <c r="ADQ84" s="18"/>
      <c r="ADR84" s="18"/>
      <c r="ADS84" s="18"/>
      <c r="ADT84" s="18"/>
      <c r="ADU84" s="18"/>
      <c r="ADV84" s="18"/>
      <c r="ADW84" s="18"/>
      <c r="ADX84" s="18"/>
      <c r="ADY84" s="18"/>
      <c r="ADZ84" s="18"/>
      <c r="AEA84" s="18"/>
      <c r="AEB84" s="18"/>
      <c r="AEC84" s="18"/>
      <c r="AED84" s="18"/>
      <c r="AEE84" s="18"/>
      <c r="AEF84" s="18"/>
      <c r="AEG84" s="18"/>
      <c r="AEH84" s="18"/>
      <c r="AEI84" s="18"/>
      <c r="AEJ84" s="18"/>
      <c r="AEK84" s="18"/>
      <c r="AEL84" s="18"/>
      <c r="AEM84" s="18"/>
      <c r="AEN84" s="18"/>
      <c r="AEO84" s="18"/>
      <c r="AEP84" s="18"/>
      <c r="AEQ84" s="18"/>
      <c r="AER84" s="18"/>
      <c r="AES84" s="18"/>
      <c r="AET84" s="18"/>
      <c r="AEU84" s="18"/>
      <c r="AEV84" s="18"/>
      <c r="AEW84" s="18"/>
      <c r="AEX84" s="18"/>
      <c r="AEY84" s="18"/>
      <c r="AEZ84" s="18"/>
      <c r="AFA84" s="18"/>
      <c r="AFB84" s="18"/>
      <c r="AFC84" s="18"/>
      <c r="AFD84" s="18"/>
      <c r="AFE84" s="18"/>
      <c r="AFF84" s="18"/>
      <c r="AFG84" s="18"/>
      <c r="AFH84" s="18"/>
      <c r="AFI84" s="18"/>
      <c r="AFJ84" s="18"/>
      <c r="AFK84" s="18"/>
      <c r="AFL84" s="18"/>
      <c r="AFM84" s="18"/>
      <c r="AFN84" s="18"/>
      <c r="AFO84" s="18"/>
      <c r="AFP84" s="18"/>
      <c r="AFQ84" s="18"/>
      <c r="AFR84" s="18"/>
      <c r="AFS84" s="18"/>
      <c r="AFT84" s="18"/>
      <c r="AFU84" s="18"/>
      <c r="AFV84" s="18"/>
      <c r="AFW84" s="18"/>
      <c r="AFX84" s="18"/>
      <c r="AFY84" s="18"/>
      <c r="AFZ84" s="18"/>
      <c r="AGA84" s="18"/>
      <c r="AGB84" s="18"/>
      <c r="AGC84" s="18"/>
      <c r="AGD84" s="18"/>
      <c r="AGE84" s="18"/>
      <c r="AGF84" s="18"/>
      <c r="AGG84" s="18"/>
      <c r="AGH84" s="18"/>
      <c r="AGI84" s="18"/>
      <c r="AGJ84" s="18"/>
      <c r="AGK84" s="18"/>
      <c r="AGL84" s="18"/>
      <c r="AGM84" s="18"/>
      <c r="AGN84" s="18"/>
      <c r="AGO84" s="18"/>
      <c r="AGP84" s="18"/>
      <c r="AGQ84" s="18"/>
      <c r="AGR84" s="18"/>
      <c r="AGS84" s="18"/>
      <c r="AGT84" s="18"/>
      <c r="AGU84" s="18"/>
      <c r="AGV84" s="18"/>
      <c r="AGW84" s="18"/>
      <c r="AGX84" s="18"/>
      <c r="AGY84" s="18"/>
      <c r="AGZ84" s="18"/>
      <c r="AHA84" s="18"/>
      <c r="AHB84" s="18"/>
      <c r="AHC84" s="18"/>
      <c r="AHD84" s="18"/>
      <c r="AHE84" s="18"/>
      <c r="AHF84" s="18"/>
      <c r="AHG84" s="18"/>
      <c r="AHH84" s="18"/>
      <c r="AHI84" s="18"/>
      <c r="AHJ84" s="18"/>
      <c r="AHK84" s="18"/>
      <c r="AHL84" s="18"/>
      <c r="AHM84" s="18"/>
      <c r="AHN84" s="18"/>
      <c r="AHO84" s="18"/>
      <c r="AHP84" s="18"/>
      <c r="AHQ84" s="18"/>
      <c r="AHR84" s="18"/>
      <c r="AHS84" s="18"/>
      <c r="AHT84" s="18"/>
      <c r="AHU84" s="18"/>
      <c r="AHV84" s="18"/>
      <c r="AHW84" s="18"/>
      <c r="AHX84" s="18"/>
      <c r="AHY84" s="18"/>
      <c r="AHZ84" s="18"/>
      <c r="AIA84" s="18"/>
      <c r="AIB84" s="18"/>
      <c r="AIC84" s="18"/>
      <c r="AID84" s="18"/>
      <c r="AIE84" s="18"/>
      <c r="AIF84" s="18"/>
      <c r="AIG84" s="18"/>
      <c r="AIH84" s="18"/>
      <c r="AII84" s="18"/>
      <c r="AIJ84" s="18"/>
      <c r="AIK84" s="18"/>
      <c r="AIL84" s="18"/>
      <c r="AIM84" s="18"/>
      <c r="AIN84" s="18"/>
      <c r="AIO84" s="18"/>
      <c r="AIP84" s="18"/>
      <c r="AIQ84" s="18"/>
      <c r="AIR84" s="18"/>
      <c r="AIS84" s="18"/>
      <c r="AIT84" s="18"/>
      <c r="AIU84" s="18"/>
      <c r="AIV84" s="18"/>
      <c r="AIW84" s="18"/>
      <c r="AIX84" s="18"/>
      <c r="AIY84" s="18"/>
      <c r="AIZ84" s="18"/>
      <c r="AJA84" s="18"/>
      <c r="AJB84" s="18"/>
      <c r="AJC84" s="18"/>
      <c r="AJD84" s="18"/>
      <c r="AJE84" s="18"/>
      <c r="AJF84" s="18"/>
      <c r="AJG84" s="18"/>
      <c r="AJH84" s="18"/>
      <c r="AJI84" s="18"/>
      <c r="AJJ84" s="18"/>
      <c r="AJK84" s="18"/>
      <c r="AJL84" s="18"/>
      <c r="AJM84" s="18"/>
      <c r="AJN84" s="18"/>
      <c r="AJO84" s="18"/>
      <c r="AJP84" s="18"/>
      <c r="AJQ84" s="18"/>
      <c r="AJR84" s="18"/>
      <c r="AJS84" s="18"/>
      <c r="AJT84" s="18"/>
      <c r="AJU84" s="18"/>
      <c r="AJV84" s="18"/>
      <c r="AJW84" s="18"/>
      <c r="AJX84" s="18"/>
      <c r="AJY84" s="18"/>
      <c r="AJZ84" s="18"/>
      <c r="AKA84" s="18"/>
      <c r="AKB84" s="18"/>
      <c r="AKC84" s="18"/>
      <c r="AKD84" s="18"/>
      <c r="AKE84" s="18"/>
      <c r="AKF84" s="18"/>
      <c r="AKG84" s="18"/>
      <c r="AKH84" s="18"/>
      <c r="AKI84" s="18"/>
      <c r="AKJ84" s="18"/>
      <c r="AKK84" s="18"/>
      <c r="AKL84" s="18"/>
      <c r="AKM84" s="18"/>
      <c r="AKN84" s="18"/>
      <c r="AKO84" s="18"/>
      <c r="AKP84" s="18"/>
      <c r="AKQ84" s="18"/>
      <c r="AKR84" s="18"/>
      <c r="AKS84" s="18"/>
      <c r="AKT84" s="18"/>
      <c r="AKU84" s="18"/>
      <c r="AKV84" s="18"/>
      <c r="AKW84" s="18"/>
      <c r="AKX84" s="18"/>
      <c r="AKY84" s="18"/>
      <c r="AKZ84" s="18"/>
      <c r="ALA84" s="18"/>
      <c r="ALB84" s="18"/>
      <c r="ALC84" s="18"/>
      <c r="ALD84" s="18"/>
      <c r="ALE84" s="18"/>
      <c r="ALF84" s="18"/>
      <c r="ALG84" s="18"/>
      <c r="ALH84" s="18"/>
      <c r="ALI84" s="18"/>
      <c r="ALJ84" s="18"/>
      <c r="ALK84" s="18"/>
      <c r="ALL84" s="18"/>
      <c r="ALM84" s="18"/>
      <c r="ALN84" s="18"/>
      <c r="ALO84" s="18"/>
      <c r="ALP84" s="18"/>
      <c r="ALQ84" s="18"/>
      <c r="ALR84" s="18"/>
      <c r="ALS84" s="18"/>
      <c r="ALT84" s="18"/>
      <c r="ALU84" s="18"/>
      <c r="ALV84" s="18"/>
      <c r="ALW84" s="18"/>
      <c r="ALX84" s="18"/>
      <c r="ALY84" s="18"/>
      <c r="ALZ84" s="18"/>
      <c r="AMA84" s="18"/>
      <c r="AMB84" s="18"/>
      <c r="AMC84" s="18"/>
      <c r="AMD84" s="18"/>
      <c r="AME84" s="18"/>
      <c r="AMF84" s="18"/>
      <c r="AMG84" s="18"/>
      <c r="AMH84" s="18"/>
    </row>
    <row r="85" spans="1:1022" s="23" customFormat="1" x14ac:dyDescent="0.3">
      <c r="A85" s="33">
        <v>181</v>
      </c>
      <c r="B85" s="19"/>
      <c r="C85" s="19"/>
      <c r="D85" s="34" t="s">
        <v>354</v>
      </c>
      <c r="E85" s="34" t="s">
        <v>504</v>
      </c>
      <c r="F85" s="43">
        <v>72</v>
      </c>
      <c r="G85" s="19"/>
      <c r="H85" s="38" t="s">
        <v>281</v>
      </c>
      <c r="I85" s="31"/>
      <c r="J85" s="31"/>
      <c r="K85" s="31"/>
      <c r="L85" s="31"/>
      <c r="M85" s="32"/>
      <c r="N85" s="32"/>
      <c r="O85" s="18"/>
      <c r="P85" s="36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18"/>
      <c r="BK85" s="18"/>
      <c r="BL85" s="18"/>
      <c r="BM85" s="18"/>
      <c r="BN85" s="18"/>
      <c r="BO85" s="18"/>
      <c r="BP85" s="18"/>
      <c r="BQ85" s="18"/>
      <c r="BR85" s="18"/>
      <c r="BS85" s="18"/>
      <c r="BT85" s="18"/>
      <c r="BU85" s="18"/>
      <c r="BV85" s="18"/>
      <c r="BW85" s="18"/>
      <c r="BX85" s="18"/>
      <c r="BY85" s="18"/>
      <c r="BZ85" s="18"/>
      <c r="CA85" s="18"/>
      <c r="CB85" s="18"/>
      <c r="CC85" s="18"/>
      <c r="CD85" s="18"/>
      <c r="CE85" s="18"/>
      <c r="CF85" s="18"/>
      <c r="CG85" s="18"/>
      <c r="CH85" s="18"/>
      <c r="CI85" s="18"/>
      <c r="CJ85" s="18"/>
      <c r="CK85" s="18"/>
      <c r="CL85" s="18"/>
      <c r="CM85" s="18"/>
      <c r="CN85" s="18"/>
      <c r="CO85" s="18"/>
      <c r="CP85" s="18"/>
      <c r="CQ85" s="18"/>
      <c r="CR85" s="18"/>
      <c r="CS85" s="18"/>
      <c r="CT85" s="18"/>
      <c r="CU85" s="18"/>
      <c r="CV85" s="18"/>
      <c r="CW85" s="18"/>
      <c r="CX85" s="18"/>
      <c r="CY85" s="18"/>
      <c r="CZ85" s="18"/>
      <c r="DA85" s="18"/>
      <c r="DB85" s="18"/>
      <c r="DC85" s="18"/>
      <c r="DD85" s="18"/>
      <c r="DE85" s="18"/>
      <c r="DF85" s="18"/>
      <c r="DG85" s="18"/>
      <c r="DH85" s="18"/>
      <c r="DI85" s="18"/>
      <c r="DJ85" s="18"/>
      <c r="DK85" s="18"/>
      <c r="DL85" s="18"/>
      <c r="DM85" s="18"/>
      <c r="DN85" s="18"/>
      <c r="DO85" s="18"/>
      <c r="DP85" s="18"/>
      <c r="DQ85" s="18"/>
      <c r="DR85" s="18"/>
      <c r="DS85" s="18"/>
      <c r="DT85" s="18"/>
      <c r="DU85" s="18"/>
      <c r="DV85" s="18"/>
      <c r="DW85" s="18"/>
      <c r="DX85" s="18"/>
      <c r="DY85" s="18"/>
      <c r="DZ85" s="18"/>
      <c r="EA85" s="18"/>
      <c r="EB85" s="18"/>
      <c r="EC85" s="18"/>
      <c r="ED85" s="18"/>
      <c r="EE85" s="18"/>
      <c r="EF85" s="18"/>
      <c r="EG85" s="18"/>
      <c r="EH85" s="18"/>
      <c r="EI85" s="18"/>
      <c r="EJ85" s="18"/>
      <c r="EK85" s="18"/>
      <c r="EL85" s="18"/>
      <c r="EM85" s="18"/>
      <c r="EN85" s="18"/>
      <c r="EO85" s="18"/>
      <c r="EP85" s="18"/>
      <c r="EQ85" s="18"/>
      <c r="ER85" s="18"/>
      <c r="ES85" s="18"/>
      <c r="ET85" s="18"/>
      <c r="EU85" s="18"/>
      <c r="EV85" s="18"/>
      <c r="EW85" s="18"/>
      <c r="EX85" s="18"/>
      <c r="EY85" s="18"/>
      <c r="EZ85" s="18"/>
      <c r="FA85" s="18"/>
      <c r="FB85" s="18"/>
      <c r="FC85" s="18"/>
      <c r="FD85" s="18"/>
      <c r="FE85" s="18"/>
      <c r="FF85" s="18"/>
      <c r="FG85" s="18"/>
      <c r="FH85" s="18"/>
      <c r="FI85" s="18"/>
      <c r="FJ85" s="18"/>
      <c r="FK85" s="18"/>
      <c r="FL85" s="18"/>
      <c r="FM85" s="18"/>
      <c r="FN85" s="18"/>
      <c r="FO85" s="18"/>
      <c r="FP85" s="18"/>
      <c r="FQ85" s="18"/>
      <c r="FR85" s="18"/>
      <c r="FS85" s="18"/>
      <c r="FT85" s="18"/>
      <c r="FU85" s="18"/>
      <c r="FV85" s="18"/>
      <c r="FW85" s="18"/>
      <c r="FX85" s="18"/>
      <c r="FY85" s="18"/>
      <c r="FZ85" s="18"/>
      <c r="GA85" s="18"/>
      <c r="GB85" s="18"/>
      <c r="GC85" s="18"/>
      <c r="GD85" s="18"/>
      <c r="GE85" s="18"/>
      <c r="GF85" s="18"/>
      <c r="GG85" s="18"/>
      <c r="GH85" s="18"/>
      <c r="GI85" s="18"/>
      <c r="GJ85" s="18"/>
      <c r="GK85" s="18"/>
      <c r="GL85" s="18"/>
      <c r="GM85" s="18"/>
      <c r="GN85" s="18"/>
      <c r="GO85" s="18"/>
      <c r="GP85" s="18"/>
      <c r="GQ85" s="18"/>
      <c r="GR85" s="18"/>
      <c r="GS85" s="18"/>
      <c r="GT85" s="18"/>
      <c r="GU85" s="18"/>
      <c r="GV85" s="18"/>
      <c r="GW85" s="18"/>
      <c r="GX85" s="18"/>
      <c r="GY85" s="18"/>
      <c r="GZ85" s="18"/>
      <c r="HA85" s="18"/>
      <c r="HB85" s="18"/>
      <c r="HC85" s="18"/>
      <c r="HD85" s="18"/>
      <c r="HE85" s="18"/>
      <c r="HF85" s="18"/>
      <c r="HG85" s="18"/>
      <c r="HH85" s="18"/>
      <c r="HI85" s="18"/>
      <c r="HJ85" s="18"/>
      <c r="HK85" s="18"/>
      <c r="HL85" s="18"/>
      <c r="HM85" s="18"/>
      <c r="HN85" s="18"/>
      <c r="HO85" s="18"/>
      <c r="HP85" s="18"/>
      <c r="HQ85" s="18"/>
      <c r="HR85" s="18"/>
      <c r="HS85" s="18"/>
      <c r="HT85" s="18"/>
      <c r="HU85" s="18"/>
      <c r="HV85" s="18"/>
      <c r="HW85" s="18"/>
      <c r="HX85" s="18"/>
      <c r="HY85" s="18"/>
      <c r="HZ85" s="18"/>
      <c r="IA85" s="18"/>
      <c r="IB85" s="18"/>
      <c r="IC85" s="18"/>
      <c r="ID85" s="18"/>
      <c r="IE85" s="18"/>
      <c r="IF85" s="18"/>
      <c r="IG85" s="18"/>
      <c r="IH85" s="18"/>
      <c r="II85" s="18"/>
      <c r="IJ85" s="18"/>
      <c r="IK85" s="18"/>
      <c r="IL85" s="18"/>
      <c r="IM85" s="18"/>
      <c r="IN85" s="18"/>
      <c r="IO85" s="18"/>
      <c r="IP85" s="18"/>
      <c r="IQ85" s="18"/>
      <c r="IR85" s="18"/>
      <c r="IS85" s="18"/>
      <c r="IT85" s="18"/>
      <c r="IU85" s="18"/>
      <c r="IV85" s="18"/>
      <c r="IW85" s="18"/>
      <c r="IX85" s="18"/>
      <c r="IY85" s="18"/>
      <c r="IZ85" s="18"/>
      <c r="JA85" s="18"/>
      <c r="JB85" s="18"/>
      <c r="JC85" s="18"/>
      <c r="JD85" s="18"/>
      <c r="JE85" s="18"/>
      <c r="JF85" s="18"/>
      <c r="JG85" s="18"/>
      <c r="JH85" s="18"/>
      <c r="JI85" s="18"/>
      <c r="JJ85" s="18"/>
      <c r="JK85" s="18"/>
      <c r="JL85" s="18"/>
      <c r="JM85" s="18"/>
      <c r="JN85" s="18"/>
      <c r="JO85" s="18"/>
      <c r="JP85" s="18"/>
      <c r="JQ85" s="18"/>
      <c r="JR85" s="18"/>
      <c r="JS85" s="18"/>
      <c r="JT85" s="18"/>
      <c r="JU85" s="18"/>
      <c r="JV85" s="18"/>
      <c r="JW85" s="18"/>
      <c r="JX85" s="18"/>
      <c r="JY85" s="18"/>
      <c r="JZ85" s="18"/>
      <c r="KA85" s="18"/>
      <c r="KB85" s="18"/>
      <c r="KC85" s="18"/>
      <c r="KD85" s="18"/>
      <c r="KE85" s="18"/>
      <c r="KF85" s="18"/>
      <c r="KG85" s="18"/>
      <c r="KH85" s="18"/>
      <c r="KI85" s="18"/>
      <c r="KJ85" s="18"/>
      <c r="KK85" s="18"/>
      <c r="KL85" s="18"/>
      <c r="KM85" s="18"/>
      <c r="KN85" s="18"/>
      <c r="KO85" s="18"/>
      <c r="KP85" s="18"/>
      <c r="KQ85" s="18"/>
      <c r="KR85" s="18"/>
      <c r="KS85" s="18"/>
      <c r="KT85" s="18"/>
      <c r="KU85" s="18"/>
      <c r="KV85" s="18"/>
      <c r="KW85" s="18"/>
      <c r="KX85" s="18"/>
      <c r="KY85" s="18"/>
      <c r="KZ85" s="18"/>
      <c r="LA85" s="18"/>
      <c r="LB85" s="18"/>
      <c r="LC85" s="18"/>
      <c r="LD85" s="18"/>
      <c r="LE85" s="18"/>
      <c r="LF85" s="18"/>
      <c r="LG85" s="18"/>
      <c r="LH85" s="18"/>
      <c r="LI85" s="18"/>
      <c r="LJ85" s="18"/>
      <c r="LK85" s="18"/>
      <c r="LL85" s="18"/>
      <c r="LM85" s="18"/>
      <c r="LN85" s="18"/>
      <c r="LO85" s="18"/>
      <c r="LP85" s="18"/>
      <c r="LQ85" s="18"/>
      <c r="LR85" s="18"/>
      <c r="LS85" s="18"/>
      <c r="LT85" s="18"/>
      <c r="LU85" s="18"/>
      <c r="LV85" s="18"/>
      <c r="LW85" s="18"/>
      <c r="LX85" s="18"/>
      <c r="LY85" s="18"/>
      <c r="LZ85" s="18"/>
      <c r="MA85" s="18"/>
      <c r="MB85" s="18"/>
      <c r="MC85" s="18"/>
      <c r="MD85" s="18"/>
      <c r="ME85" s="18"/>
      <c r="MF85" s="18"/>
      <c r="MG85" s="18"/>
      <c r="MH85" s="18"/>
      <c r="MI85" s="18"/>
      <c r="MJ85" s="18"/>
      <c r="MK85" s="18"/>
      <c r="ML85" s="18"/>
      <c r="MM85" s="18"/>
      <c r="MN85" s="18"/>
      <c r="MO85" s="18"/>
      <c r="MP85" s="18"/>
      <c r="MQ85" s="18"/>
      <c r="MR85" s="18"/>
      <c r="MS85" s="18"/>
      <c r="MT85" s="18"/>
      <c r="MU85" s="18"/>
      <c r="MV85" s="18"/>
      <c r="MW85" s="18"/>
      <c r="MX85" s="18"/>
      <c r="MY85" s="18"/>
      <c r="MZ85" s="18"/>
      <c r="NA85" s="18"/>
      <c r="NB85" s="18"/>
      <c r="NC85" s="18"/>
      <c r="ND85" s="18"/>
      <c r="NE85" s="18"/>
      <c r="NF85" s="18"/>
      <c r="NG85" s="18"/>
      <c r="NH85" s="18"/>
      <c r="NI85" s="18"/>
      <c r="NJ85" s="18"/>
      <c r="NK85" s="18"/>
      <c r="NL85" s="18"/>
      <c r="NM85" s="18"/>
      <c r="NN85" s="18"/>
      <c r="NO85" s="18"/>
      <c r="NP85" s="18"/>
      <c r="NQ85" s="18"/>
      <c r="NR85" s="18"/>
      <c r="NS85" s="18"/>
      <c r="NT85" s="18"/>
      <c r="NU85" s="18"/>
      <c r="NV85" s="18"/>
      <c r="NW85" s="18"/>
      <c r="NX85" s="18"/>
      <c r="NY85" s="18"/>
      <c r="NZ85" s="18"/>
      <c r="OA85" s="18"/>
      <c r="OB85" s="18"/>
      <c r="OC85" s="18"/>
      <c r="OD85" s="18"/>
      <c r="OE85" s="18"/>
      <c r="OF85" s="18"/>
      <c r="OG85" s="18"/>
      <c r="OH85" s="18"/>
      <c r="OI85" s="18"/>
      <c r="OJ85" s="18"/>
      <c r="OK85" s="18"/>
      <c r="OL85" s="18"/>
      <c r="OM85" s="18"/>
      <c r="ON85" s="18"/>
      <c r="OO85" s="18"/>
      <c r="OP85" s="18"/>
      <c r="OQ85" s="18"/>
      <c r="OR85" s="18"/>
      <c r="OS85" s="18"/>
      <c r="OT85" s="18"/>
      <c r="OU85" s="18"/>
      <c r="OV85" s="18"/>
      <c r="OW85" s="18"/>
      <c r="OX85" s="18"/>
      <c r="OY85" s="18"/>
      <c r="OZ85" s="18"/>
      <c r="PA85" s="18"/>
      <c r="PB85" s="18"/>
      <c r="PC85" s="18"/>
      <c r="PD85" s="18"/>
      <c r="PE85" s="18"/>
      <c r="PF85" s="18"/>
      <c r="PG85" s="18"/>
      <c r="PH85" s="18"/>
      <c r="PI85" s="18"/>
      <c r="PJ85" s="18"/>
      <c r="PK85" s="18"/>
      <c r="PL85" s="18"/>
      <c r="PM85" s="18"/>
      <c r="PN85" s="18"/>
      <c r="PO85" s="18"/>
      <c r="PP85" s="18"/>
      <c r="PQ85" s="18"/>
      <c r="PR85" s="18"/>
      <c r="PS85" s="18"/>
      <c r="PT85" s="18"/>
      <c r="PU85" s="18"/>
      <c r="PV85" s="18"/>
      <c r="PW85" s="18"/>
      <c r="PX85" s="18"/>
      <c r="PY85" s="18"/>
      <c r="PZ85" s="18"/>
      <c r="QA85" s="18"/>
      <c r="QB85" s="18"/>
      <c r="QC85" s="18"/>
      <c r="QD85" s="18"/>
      <c r="QE85" s="18"/>
      <c r="QF85" s="18"/>
      <c r="QG85" s="18"/>
      <c r="QH85" s="18"/>
      <c r="QI85" s="18"/>
      <c r="QJ85" s="18"/>
      <c r="QK85" s="18"/>
      <c r="QL85" s="18"/>
      <c r="QM85" s="18"/>
      <c r="QN85" s="18"/>
      <c r="QO85" s="18"/>
      <c r="QP85" s="18"/>
      <c r="QQ85" s="18"/>
      <c r="QR85" s="18"/>
      <c r="QS85" s="18"/>
      <c r="QT85" s="18"/>
      <c r="QU85" s="18"/>
      <c r="QV85" s="18"/>
      <c r="QW85" s="18"/>
      <c r="QX85" s="18"/>
      <c r="QY85" s="18"/>
      <c r="QZ85" s="18"/>
      <c r="RA85" s="18"/>
      <c r="RB85" s="18"/>
      <c r="RC85" s="18"/>
      <c r="RD85" s="18"/>
      <c r="RE85" s="18"/>
      <c r="RF85" s="18"/>
      <c r="RG85" s="18"/>
      <c r="RH85" s="18"/>
      <c r="RI85" s="18"/>
      <c r="RJ85" s="18"/>
      <c r="RK85" s="18"/>
      <c r="RL85" s="18"/>
      <c r="RM85" s="18"/>
      <c r="RN85" s="18"/>
      <c r="RO85" s="18"/>
      <c r="RP85" s="18"/>
      <c r="RQ85" s="18"/>
      <c r="RR85" s="18"/>
      <c r="RS85" s="18"/>
      <c r="RT85" s="18"/>
      <c r="RU85" s="18"/>
      <c r="RV85" s="18"/>
      <c r="RW85" s="18"/>
      <c r="RX85" s="18"/>
      <c r="RY85" s="18"/>
      <c r="RZ85" s="18"/>
      <c r="SA85" s="18"/>
      <c r="SB85" s="18"/>
      <c r="SC85" s="18"/>
      <c r="SD85" s="18"/>
      <c r="SE85" s="18"/>
      <c r="SF85" s="18"/>
      <c r="SG85" s="18"/>
      <c r="SH85" s="18"/>
      <c r="SI85" s="18"/>
      <c r="SJ85" s="18"/>
      <c r="SK85" s="18"/>
      <c r="SL85" s="18"/>
      <c r="SM85" s="18"/>
      <c r="SN85" s="18"/>
      <c r="SO85" s="18"/>
      <c r="SP85" s="18"/>
      <c r="SQ85" s="18"/>
      <c r="SR85" s="18"/>
      <c r="SS85" s="18"/>
      <c r="ST85" s="18"/>
      <c r="SU85" s="18"/>
      <c r="SV85" s="18"/>
      <c r="SW85" s="18"/>
      <c r="SX85" s="18"/>
      <c r="SY85" s="18"/>
      <c r="SZ85" s="18"/>
      <c r="TA85" s="18"/>
      <c r="TB85" s="18"/>
      <c r="TC85" s="18"/>
      <c r="TD85" s="18"/>
      <c r="TE85" s="18"/>
      <c r="TF85" s="18"/>
      <c r="TG85" s="18"/>
      <c r="TH85" s="18"/>
      <c r="TI85" s="18"/>
      <c r="TJ85" s="18"/>
      <c r="TK85" s="18"/>
      <c r="TL85" s="18"/>
      <c r="TM85" s="18"/>
      <c r="TN85" s="18"/>
      <c r="TO85" s="18"/>
      <c r="TP85" s="18"/>
      <c r="TQ85" s="18"/>
      <c r="TR85" s="18"/>
      <c r="TS85" s="18"/>
      <c r="TT85" s="18"/>
      <c r="TU85" s="18"/>
      <c r="TV85" s="18"/>
      <c r="TW85" s="18"/>
      <c r="TX85" s="18"/>
      <c r="TY85" s="18"/>
      <c r="TZ85" s="18"/>
      <c r="UA85" s="18"/>
      <c r="UB85" s="18"/>
      <c r="UC85" s="18"/>
      <c r="UD85" s="18"/>
      <c r="UE85" s="18"/>
      <c r="UF85" s="18"/>
      <c r="UG85" s="18"/>
      <c r="UH85" s="18"/>
      <c r="UI85" s="18"/>
      <c r="UJ85" s="18"/>
      <c r="UK85" s="18"/>
      <c r="UL85" s="18"/>
      <c r="UM85" s="18"/>
      <c r="UN85" s="18"/>
      <c r="UO85" s="18"/>
      <c r="UP85" s="18"/>
      <c r="UQ85" s="18"/>
      <c r="UR85" s="18"/>
      <c r="US85" s="18"/>
      <c r="UT85" s="18"/>
      <c r="UU85" s="18"/>
      <c r="UV85" s="18"/>
      <c r="UW85" s="18"/>
      <c r="UX85" s="18"/>
      <c r="UY85" s="18"/>
      <c r="UZ85" s="18"/>
      <c r="VA85" s="18"/>
      <c r="VB85" s="18"/>
      <c r="VC85" s="18"/>
      <c r="VD85" s="18"/>
      <c r="VE85" s="18"/>
      <c r="VF85" s="18"/>
      <c r="VG85" s="18"/>
      <c r="VH85" s="18"/>
      <c r="VI85" s="18"/>
      <c r="VJ85" s="18"/>
      <c r="VK85" s="18"/>
      <c r="VL85" s="18"/>
      <c r="VM85" s="18"/>
      <c r="VN85" s="18"/>
      <c r="VO85" s="18"/>
      <c r="VP85" s="18"/>
      <c r="VQ85" s="18"/>
      <c r="VR85" s="18"/>
      <c r="VS85" s="18"/>
      <c r="VT85" s="18"/>
      <c r="VU85" s="18"/>
      <c r="VV85" s="18"/>
      <c r="VW85" s="18"/>
      <c r="VX85" s="18"/>
      <c r="VY85" s="18"/>
      <c r="VZ85" s="18"/>
      <c r="WA85" s="18"/>
      <c r="WB85" s="18"/>
      <c r="WC85" s="18"/>
      <c r="WD85" s="18"/>
      <c r="WE85" s="18"/>
      <c r="WF85" s="18"/>
      <c r="WG85" s="18"/>
      <c r="WH85" s="18"/>
      <c r="WI85" s="18"/>
      <c r="WJ85" s="18"/>
      <c r="WK85" s="18"/>
      <c r="WL85" s="18"/>
      <c r="WM85" s="18"/>
      <c r="WN85" s="18"/>
      <c r="WO85" s="18"/>
      <c r="WP85" s="18"/>
      <c r="WQ85" s="18"/>
      <c r="WR85" s="18"/>
      <c r="WS85" s="18"/>
      <c r="WT85" s="18"/>
      <c r="WU85" s="18"/>
      <c r="WV85" s="18"/>
      <c r="WW85" s="18"/>
      <c r="WX85" s="18"/>
      <c r="WY85" s="18"/>
      <c r="WZ85" s="18"/>
      <c r="XA85" s="18"/>
      <c r="XB85" s="18"/>
      <c r="XC85" s="18"/>
      <c r="XD85" s="18"/>
      <c r="XE85" s="18"/>
      <c r="XF85" s="18"/>
      <c r="XG85" s="18"/>
      <c r="XH85" s="18"/>
      <c r="XI85" s="18"/>
      <c r="XJ85" s="18"/>
      <c r="XK85" s="18"/>
      <c r="XL85" s="18"/>
      <c r="XM85" s="18"/>
      <c r="XN85" s="18"/>
      <c r="XO85" s="18"/>
      <c r="XP85" s="18"/>
      <c r="XQ85" s="18"/>
      <c r="XR85" s="18"/>
      <c r="XS85" s="18"/>
      <c r="XT85" s="18"/>
      <c r="XU85" s="18"/>
      <c r="XV85" s="18"/>
      <c r="XW85" s="18"/>
      <c r="XX85" s="18"/>
      <c r="XY85" s="18"/>
      <c r="XZ85" s="18"/>
      <c r="YA85" s="18"/>
      <c r="YB85" s="18"/>
      <c r="YC85" s="18"/>
      <c r="YD85" s="18"/>
      <c r="YE85" s="18"/>
      <c r="YF85" s="18"/>
      <c r="YG85" s="18"/>
      <c r="YH85" s="18"/>
      <c r="YI85" s="18"/>
      <c r="YJ85" s="18"/>
      <c r="YK85" s="18"/>
      <c r="YL85" s="18"/>
      <c r="YM85" s="18"/>
      <c r="YN85" s="18"/>
      <c r="YO85" s="18"/>
      <c r="YP85" s="18"/>
      <c r="YQ85" s="18"/>
      <c r="YR85" s="18"/>
      <c r="YS85" s="18"/>
      <c r="YT85" s="18"/>
      <c r="YU85" s="18"/>
      <c r="YV85" s="18"/>
      <c r="YW85" s="18"/>
      <c r="YX85" s="18"/>
      <c r="YY85" s="18"/>
      <c r="YZ85" s="18"/>
      <c r="ZA85" s="18"/>
      <c r="ZB85" s="18"/>
      <c r="ZC85" s="18"/>
      <c r="ZD85" s="18"/>
      <c r="ZE85" s="18"/>
      <c r="ZF85" s="18"/>
      <c r="ZG85" s="18"/>
      <c r="ZH85" s="18"/>
      <c r="ZI85" s="18"/>
      <c r="ZJ85" s="18"/>
      <c r="ZK85" s="18"/>
      <c r="ZL85" s="18"/>
      <c r="ZM85" s="18"/>
      <c r="ZN85" s="18"/>
      <c r="ZO85" s="18"/>
      <c r="ZP85" s="18"/>
      <c r="ZQ85" s="18"/>
      <c r="ZR85" s="18"/>
      <c r="ZS85" s="18"/>
      <c r="ZT85" s="18"/>
      <c r="ZU85" s="18"/>
      <c r="ZV85" s="18"/>
      <c r="ZW85" s="18"/>
      <c r="ZX85" s="18"/>
      <c r="ZY85" s="18"/>
      <c r="ZZ85" s="18"/>
      <c r="AAA85" s="18"/>
      <c r="AAB85" s="18"/>
      <c r="AAC85" s="18"/>
      <c r="AAD85" s="18"/>
      <c r="AAE85" s="18"/>
      <c r="AAF85" s="18"/>
      <c r="AAG85" s="18"/>
      <c r="AAH85" s="18"/>
      <c r="AAI85" s="18"/>
      <c r="AAJ85" s="18"/>
      <c r="AAK85" s="18"/>
      <c r="AAL85" s="18"/>
      <c r="AAM85" s="18"/>
      <c r="AAN85" s="18"/>
      <c r="AAO85" s="18"/>
      <c r="AAP85" s="18"/>
      <c r="AAQ85" s="18"/>
      <c r="AAR85" s="18"/>
      <c r="AAS85" s="18"/>
      <c r="AAT85" s="18"/>
      <c r="AAU85" s="18"/>
      <c r="AAV85" s="18"/>
      <c r="AAW85" s="18"/>
      <c r="AAX85" s="18"/>
      <c r="AAY85" s="18"/>
      <c r="AAZ85" s="18"/>
      <c r="ABA85" s="18"/>
      <c r="ABB85" s="18"/>
      <c r="ABC85" s="18"/>
      <c r="ABD85" s="18"/>
      <c r="ABE85" s="18"/>
      <c r="ABF85" s="18"/>
      <c r="ABG85" s="18"/>
      <c r="ABH85" s="18"/>
      <c r="ABI85" s="18"/>
      <c r="ABJ85" s="18"/>
      <c r="ABK85" s="18"/>
      <c r="ABL85" s="18"/>
      <c r="ABM85" s="18"/>
      <c r="ABN85" s="18"/>
      <c r="ABO85" s="18"/>
      <c r="ABP85" s="18"/>
      <c r="ABQ85" s="18"/>
      <c r="ABR85" s="18"/>
      <c r="ABS85" s="18"/>
      <c r="ABT85" s="18"/>
      <c r="ABU85" s="18"/>
      <c r="ABV85" s="18"/>
      <c r="ABW85" s="18"/>
      <c r="ABX85" s="18"/>
      <c r="ABY85" s="18"/>
      <c r="ABZ85" s="18"/>
      <c r="ACA85" s="18"/>
      <c r="ACB85" s="18"/>
      <c r="ACC85" s="18"/>
      <c r="ACD85" s="18"/>
      <c r="ACE85" s="18"/>
      <c r="ACF85" s="18"/>
      <c r="ACG85" s="18"/>
      <c r="ACH85" s="18"/>
      <c r="ACI85" s="18"/>
      <c r="ACJ85" s="18"/>
      <c r="ACK85" s="18"/>
      <c r="ACL85" s="18"/>
      <c r="ACM85" s="18"/>
      <c r="ACN85" s="18"/>
      <c r="ACO85" s="18"/>
      <c r="ACP85" s="18"/>
      <c r="ACQ85" s="18"/>
      <c r="ACR85" s="18"/>
      <c r="ACS85" s="18"/>
      <c r="ACT85" s="18"/>
      <c r="ACU85" s="18"/>
      <c r="ACV85" s="18"/>
      <c r="ACW85" s="18"/>
      <c r="ACX85" s="18"/>
      <c r="ACY85" s="18"/>
      <c r="ACZ85" s="18"/>
      <c r="ADA85" s="18"/>
      <c r="ADB85" s="18"/>
      <c r="ADC85" s="18"/>
      <c r="ADD85" s="18"/>
      <c r="ADE85" s="18"/>
      <c r="ADF85" s="18"/>
      <c r="ADG85" s="18"/>
      <c r="ADH85" s="18"/>
      <c r="ADI85" s="18"/>
      <c r="ADJ85" s="18"/>
      <c r="ADK85" s="18"/>
      <c r="ADL85" s="18"/>
      <c r="ADM85" s="18"/>
      <c r="ADN85" s="18"/>
      <c r="ADO85" s="18"/>
      <c r="ADP85" s="18"/>
      <c r="ADQ85" s="18"/>
      <c r="ADR85" s="18"/>
      <c r="ADS85" s="18"/>
      <c r="ADT85" s="18"/>
      <c r="ADU85" s="18"/>
      <c r="ADV85" s="18"/>
      <c r="ADW85" s="18"/>
      <c r="ADX85" s="18"/>
      <c r="ADY85" s="18"/>
      <c r="ADZ85" s="18"/>
      <c r="AEA85" s="18"/>
      <c r="AEB85" s="18"/>
      <c r="AEC85" s="18"/>
      <c r="AED85" s="18"/>
      <c r="AEE85" s="18"/>
      <c r="AEF85" s="18"/>
      <c r="AEG85" s="18"/>
      <c r="AEH85" s="18"/>
      <c r="AEI85" s="18"/>
      <c r="AEJ85" s="18"/>
      <c r="AEK85" s="18"/>
      <c r="AEL85" s="18"/>
      <c r="AEM85" s="18"/>
      <c r="AEN85" s="18"/>
      <c r="AEO85" s="18"/>
      <c r="AEP85" s="18"/>
      <c r="AEQ85" s="18"/>
      <c r="AER85" s="18"/>
      <c r="AES85" s="18"/>
      <c r="AET85" s="18"/>
      <c r="AEU85" s="18"/>
      <c r="AEV85" s="18"/>
      <c r="AEW85" s="18"/>
      <c r="AEX85" s="18"/>
      <c r="AEY85" s="18"/>
      <c r="AEZ85" s="18"/>
      <c r="AFA85" s="18"/>
      <c r="AFB85" s="18"/>
      <c r="AFC85" s="18"/>
      <c r="AFD85" s="18"/>
      <c r="AFE85" s="18"/>
      <c r="AFF85" s="18"/>
      <c r="AFG85" s="18"/>
      <c r="AFH85" s="18"/>
      <c r="AFI85" s="18"/>
      <c r="AFJ85" s="18"/>
      <c r="AFK85" s="18"/>
      <c r="AFL85" s="18"/>
      <c r="AFM85" s="18"/>
      <c r="AFN85" s="18"/>
      <c r="AFO85" s="18"/>
      <c r="AFP85" s="18"/>
      <c r="AFQ85" s="18"/>
      <c r="AFR85" s="18"/>
      <c r="AFS85" s="18"/>
      <c r="AFT85" s="18"/>
      <c r="AFU85" s="18"/>
      <c r="AFV85" s="18"/>
      <c r="AFW85" s="18"/>
      <c r="AFX85" s="18"/>
      <c r="AFY85" s="18"/>
      <c r="AFZ85" s="18"/>
      <c r="AGA85" s="18"/>
      <c r="AGB85" s="18"/>
      <c r="AGC85" s="18"/>
      <c r="AGD85" s="18"/>
      <c r="AGE85" s="18"/>
      <c r="AGF85" s="18"/>
      <c r="AGG85" s="18"/>
      <c r="AGH85" s="18"/>
      <c r="AGI85" s="18"/>
      <c r="AGJ85" s="18"/>
      <c r="AGK85" s="18"/>
      <c r="AGL85" s="18"/>
      <c r="AGM85" s="18"/>
      <c r="AGN85" s="18"/>
      <c r="AGO85" s="18"/>
      <c r="AGP85" s="18"/>
      <c r="AGQ85" s="18"/>
      <c r="AGR85" s="18"/>
      <c r="AGS85" s="18"/>
      <c r="AGT85" s="18"/>
      <c r="AGU85" s="18"/>
      <c r="AGV85" s="18"/>
      <c r="AGW85" s="18"/>
      <c r="AGX85" s="18"/>
      <c r="AGY85" s="18"/>
      <c r="AGZ85" s="18"/>
      <c r="AHA85" s="18"/>
      <c r="AHB85" s="18"/>
      <c r="AHC85" s="18"/>
      <c r="AHD85" s="18"/>
      <c r="AHE85" s="18"/>
      <c r="AHF85" s="18"/>
      <c r="AHG85" s="18"/>
      <c r="AHH85" s="18"/>
      <c r="AHI85" s="18"/>
      <c r="AHJ85" s="18"/>
      <c r="AHK85" s="18"/>
      <c r="AHL85" s="18"/>
      <c r="AHM85" s="18"/>
      <c r="AHN85" s="18"/>
      <c r="AHO85" s="18"/>
      <c r="AHP85" s="18"/>
      <c r="AHQ85" s="18"/>
      <c r="AHR85" s="18"/>
      <c r="AHS85" s="18"/>
      <c r="AHT85" s="18"/>
      <c r="AHU85" s="18"/>
      <c r="AHV85" s="18"/>
      <c r="AHW85" s="18"/>
      <c r="AHX85" s="18"/>
      <c r="AHY85" s="18"/>
      <c r="AHZ85" s="18"/>
      <c r="AIA85" s="18"/>
      <c r="AIB85" s="18"/>
      <c r="AIC85" s="18"/>
      <c r="AID85" s="18"/>
      <c r="AIE85" s="18"/>
      <c r="AIF85" s="18"/>
      <c r="AIG85" s="18"/>
      <c r="AIH85" s="18"/>
      <c r="AII85" s="18"/>
      <c r="AIJ85" s="18"/>
      <c r="AIK85" s="18"/>
      <c r="AIL85" s="18"/>
      <c r="AIM85" s="18"/>
      <c r="AIN85" s="18"/>
      <c r="AIO85" s="18"/>
      <c r="AIP85" s="18"/>
      <c r="AIQ85" s="18"/>
      <c r="AIR85" s="18"/>
      <c r="AIS85" s="18"/>
      <c r="AIT85" s="18"/>
      <c r="AIU85" s="18"/>
      <c r="AIV85" s="18"/>
      <c r="AIW85" s="18"/>
      <c r="AIX85" s="18"/>
      <c r="AIY85" s="18"/>
      <c r="AIZ85" s="18"/>
      <c r="AJA85" s="18"/>
      <c r="AJB85" s="18"/>
      <c r="AJC85" s="18"/>
      <c r="AJD85" s="18"/>
      <c r="AJE85" s="18"/>
      <c r="AJF85" s="18"/>
      <c r="AJG85" s="18"/>
      <c r="AJH85" s="18"/>
      <c r="AJI85" s="18"/>
      <c r="AJJ85" s="18"/>
      <c r="AJK85" s="18"/>
      <c r="AJL85" s="18"/>
      <c r="AJM85" s="18"/>
      <c r="AJN85" s="18"/>
      <c r="AJO85" s="18"/>
      <c r="AJP85" s="18"/>
      <c r="AJQ85" s="18"/>
      <c r="AJR85" s="18"/>
      <c r="AJS85" s="18"/>
      <c r="AJT85" s="18"/>
      <c r="AJU85" s="18"/>
      <c r="AJV85" s="18"/>
      <c r="AJW85" s="18"/>
      <c r="AJX85" s="18"/>
      <c r="AJY85" s="18"/>
      <c r="AJZ85" s="18"/>
      <c r="AKA85" s="18"/>
      <c r="AKB85" s="18"/>
      <c r="AKC85" s="18"/>
      <c r="AKD85" s="18"/>
      <c r="AKE85" s="18"/>
      <c r="AKF85" s="18"/>
      <c r="AKG85" s="18"/>
      <c r="AKH85" s="18"/>
      <c r="AKI85" s="18"/>
      <c r="AKJ85" s="18"/>
      <c r="AKK85" s="18"/>
      <c r="AKL85" s="18"/>
      <c r="AKM85" s="18"/>
      <c r="AKN85" s="18"/>
      <c r="AKO85" s="18"/>
      <c r="AKP85" s="18"/>
      <c r="AKQ85" s="18"/>
      <c r="AKR85" s="18"/>
      <c r="AKS85" s="18"/>
      <c r="AKT85" s="18"/>
      <c r="AKU85" s="18"/>
      <c r="AKV85" s="18"/>
      <c r="AKW85" s="18"/>
      <c r="AKX85" s="18"/>
      <c r="AKY85" s="18"/>
      <c r="AKZ85" s="18"/>
      <c r="ALA85" s="18"/>
      <c r="ALB85" s="18"/>
      <c r="ALC85" s="18"/>
      <c r="ALD85" s="18"/>
      <c r="ALE85" s="18"/>
      <c r="ALF85" s="18"/>
      <c r="ALG85" s="18"/>
      <c r="ALH85" s="18"/>
      <c r="ALI85" s="18"/>
      <c r="ALJ85" s="18"/>
      <c r="ALK85" s="18"/>
      <c r="ALL85" s="18"/>
      <c r="ALM85" s="18"/>
      <c r="ALN85" s="18"/>
      <c r="ALO85" s="18"/>
      <c r="ALP85" s="18"/>
      <c r="ALQ85" s="18"/>
      <c r="ALR85" s="18"/>
      <c r="ALS85" s="18"/>
      <c r="ALT85" s="18"/>
      <c r="ALU85" s="18"/>
      <c r="ALV85" s="18"/>
      <c r="ALW85" s="18"/>
      <c r="ALX85" s="18"/>
      <c r="ALY85" s="18"/>
      <c r="ALZ85" s="18"/>
      <c r="AMA85" s="18"/>
      <c r="AMB85" s="18"/>
      <c r="AMC85" s="18"/>
      <c r="AMD85" s="18"/>
      <c r="AME85" s="18"/>
      <c r="AMF85" s="18"/>
      <c r="AMG85" s="18"/>
      <c r="AMH85" s="18"/>
    </row>
    <row r="86" spans="1:1022" s="23" customFormat="1" x14ac:dyDescent="0.3">
      <c r="A86" s="33">
        <v>182</v>
      </c>
      <c r="B86" s="19"/>
      <c r="C86" s="19"/>
      <c r="D86" s="34" t="s">
        <v>355</v>
      </c>
      <c r="E86" s="34" t="s">
        <v>505</v>
      </c>
      <c r="F86" s="43">
        <v>72</v>
      </c>
      <c r="G86" s="19"/>
      <c r="H86" s="38" t="s">
        <v>281</v>
      </c>
      <c r="I86" s="31"/>
      <c r="J86" s="31"/>
      <c r="K86" s="31"/>
      <c r="L86" s="31"/>
      <c r="M86" s="32"/>
      <c r="N86" s="32"/>
      <c r="O86" s="18"/>
      <c r="P86" s="36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18"/>
      <c r="BK86" s="18"/>
      <c r="BL86" s="18"/>
      <c r="BM86" s="18"/>
      <c r="BN86" s="18"/>
      <c r="BO86" s="18"/>
      <c r="BP86" s="18"/>
      <c r="BQ86" s="18"/>
      <c r="BR86" s="18"/>
      <c r="BS86" s="18"/>
      <c r="BT86" s="18"/>
      <c r="BU86" s="18"/>
      <c r="BV86" s="18"/>
      <c r="BW86" s="18"/>
      <c r="BX86" s="18"/>
      <c r="BY86" s="18"/>
      <c r="BZ86" s="18"/>
      <c r="CA86" s="18"/>
      <c r="CB86" s="18"/>
      <c r="CC86" s="18"/>
      <c r="CD86" s="18"/>
      <c r="CE86" s="18"/>
      <c r="CF86" s="18"/>
      <c r="CG86" s="18"/>
      <c r="CH86" s="18"/>
      <c r="CI86" s="18"/>
      <c r="CJ86" s="18"/>
      <c r="CK86" s="18"/>
      <c r="CL86" s="18"/>
      <c r="CM86" s="18"/>
      <c r="CN86" s="18"/>
      <c r="CO86" s="18"/>
      <c r="CP86" s="18"/>
      <c r="CQ86" s="18"/>
      <c r="CR86" s="18"/>
      <c r="CS86" s="18"/>
      <c r="CT86" s="18"/>
      <c r="CU86" s="18"/>
      <c r="CV86" s="18"/>
      <c r="CW86" s="18"/>
      <c r="CX86" s="18"/>
      <c r="CY86" s="18"/>
      <c r="CZ86" s="18"/>
      <c r="DA86" s="18"/>
      <c r="DB86" s="18"/>
      <c r="DC86" s="18"/>
      <c r="DD86" s="18"/>
      <c r="DE86" s="18"/>
      <c r="DF86" s="18"/>
      <c r="DG86" s="18"/>
      <c r="DH86" s="18"/>
      <c r="DI86" s="18"/>
      <c r="DJ86" s="18"/>
      <c r="DK86" s="18"/>
      <c r="DL86" s="18"/>
      <c r="DM86" s="18"/>
      <c r="DN86" s="18"/>
      <c r="DO86" s="18"/>
      <c r="DP86" s="18"/>
      <c r="DQ86" s="18"/>
      <c r="DR86" s="18"/>
      <c r="DS86" s="18"/>
      <c r="DT86" s="18"/>
      <c r="DU86" s="18"/>
      <c r="DV86" s="18"/>
      <c r="DW86" s="18"/>
      <c r="DX86" s="18"/>
      <c r="DY86" s="18"/>
      <c r="DZ86" s="18"/>
      <c r="EA86" s="18"/>
      <c r="EB86" s="18"/>
      <c r="EC86" s="18"/>
      <c r="ED86" s="18"/>
      <c r="EE86" s="18"/>
      <c r="EF86" s="18"/>
      <c r="EG86" s="18"/>
      <c r="EH86" s="18"/>
      <c r="EI86" s="18"/>
      <c r="EJ86" s="18"/>
      <c r="EK86" s="18"/>
      <c r="EL86" s="18"/>
      <c r="EM86" s="18"/>
      <c r="EN86" s="18"/>
      <c r="EO86" s="18"/>
      <c r="EP86" s="18"/>
      <c r="EQ86" s="18"/>
      <c r="ER86" s="18"/>
      <c r="ES86" s="18"/>
      <c r="ET86" s="18"/>
      <c r="EU86" s="18"/>
      <c r="EV86" s="18"/>
      <c r="EW86" s="18"/>
      <c r="EX86" s="18"/>
      <c r="EY86" s="18"/>
      <c r="EZ86" s="18"/>
      <c r="FA86" s="18"/>
      <c r="FB86" s="18"/>
      <c r="FC86" s="18"/>
      <c r="FD86" s="18"/>
      <c r="FE86" s="18"/>
      <c r="FF86" s="18"/>
      <c r="FG86" s="18"/>
      <c r="FH86" s="18"/>
      <c r="FI86" s="18"/>
      <c r="FJ86" s="18"/>
      <c r="FK86" s="18"/>
      <c r="FL86" s="18"/>
      <c r="FM86" s="18"/>
      <c r="FN86" s="18"/>
      <c r="FO86" s="18"/>
      <c r="FP86" s="18"/>
      <c r="FQ86" s="18"/>
      <c r="FR86" s="18"/>
      <c r="FS86" s="18"/>
      <c r="FT86" s="18"/>
      <c r="FU86" s="18"/>
      <c r="FV86" s="18"/>
      <c r="FW86" s="18"/>
      <c r="FX86" s="18"/>
      <c r="FY86" s="18"/>
      <c r="FZ86" s="18"/>
      <c r="GA86" s="18"/>
      <c r="GB86" s="18"/>
      <c r="GC86" s="18"/>
      <c r="GD86" s="18"/>
      <c r="GE86" s="18"/>
      <c r="GF86" s="18"/>
      <c r="GG86" s="18"/>
      <c r="GH86" s="18"/>
      <c r="GI86" s="18"/>
      <c r="GJ86" s="18"/>
      <c r="GK86" s="18"/>
      <c r="GL86" s="18"/>
      <c r="GM86" s="18"/>
      <c r="GN86" s="18"/>
      <c r="GO86" s="18"/>
      <c r="GP86" s="18"/>
      <c r="GQ86" s="18"/>
      <c r="GR86" s="18"/>
      <c r="GS86" s="18"/>
      <c r="GT86" s="18"/>
      <c r="GU86" s="18"/>
      <c r="GV86" s="18"/>
      <c r="GW86" s="18"/>
      <c r="GX86" s="18"/>
      <c r="GY86" s="18"/>
      <c r="GZ86" s="18"/>
      <c r="HA86" s="18"/>
      <c r="HB86" s="18"/>
      <c r="HC86" s="18"/>
      <c r="HD86" s="18"/>
      <c r="HE86" s="18"/>
      <c r="HF86" s="18"/>
      <c r="HG86" s="18"/>
      <c r="HH86" s="18"/>
      <c r="HI86" s="18"/>
      <c r="HJ86" s="18"/>
      <c r="HK86" s="18"/>
      <c r="HL86" s="18"/>
      <c r="HM86" s="18"/>
      <c r="HN86" s="18"/>
      <c r="HO86" s="18"/>
      <c r="HP86" s="18"/>
      <c r="HQ86" s="18"/>
      <c r="HR86" s="18"/>
      <c r="HS86" s="18"/>
      <c r="HT86" s="18"/>
      <c r="HU86" s="18"/>
      <c r="HV86" s="18"/>
      <c r="HW86" s="18"/>
      <c r="HX86" s="18"/>
      <c r="HY86" s="18"/>
      <c r="HZ86" s="18"/>
      <c r="IA86" s="18"/>
      <c r="IB86" s="18"/>
      <c r="IC86" s="18"/>
      <c r="ID86" s="18"/>
      <c r="IE86" s="18"/>
      <c r="IF86" s="18"/>
      <c r="IG86" s="18"/>
      <c r="IH86" s="18"/>
      <c r="II86" s="18"/>
      <c r="IJ86" s="18"/>
      <c r="IK86" s="18"/>
      <c r="IL86" s="18"/>
      <c r="IM86" s="18"/>
      <c r="IN86" s="18"/>
      <c r="IO86" s="18"/>
      <c r="IP86" s="18"/>
      <c r="IQ86" s="18"/>
      <c r="IR86" s="18"/>
      <c r="IS86" s="18"/>
      <c r="IT86" s="18"/>
      <c r="IU86" s="18"/>
      <c r="IV86" s="18"/>
      <c r="IW86" s="18"/>
      <c r="IX86" s="18"/>
      <c r="IY86" s="18"/>
      <c r="IZ86" s="18"/>
      <c r="JA86" s="18"/>
      <c r="JB86" s="18"/>
      <c r="JC86" s="18"/>
      <c r="JD86" s="18"/>
      <c r="JE86" s="18"/>
      <c r="JF86" s="18"/>
      <c r="JG86" s="18"/>
      <c r="JH86" s="18"/>
      <c r="JI86" s="18"/>
      <c r="JJ86" s="18"/>
      <c r="JK86" s="18"/>
      <c r="JL86" s="18"/>
      <c r="JM86" s="18"/>
      <c r="JN86" s="18"/>
      <c r="JO86" s="18"/>
      <c r="JP86" s="18"/>
      <c r="JQ86" s="18"/>
      <c r="JR86" s="18"/>
      <c r="JS86" s="18"/>
      <c r="JT86" s="18"/>
      <c r="JU86" s="18"/>
      <c r="JV86" s="18"/>
      <c r="JW86" s="18"/>
      <c r="JX86" s="18"/>
      <c r="JY86" s="18"/>
      <c r="JZ86" s="18"/>
      <c r="KA86" s="18"/>
      <c r="KB86" s="18"/>
      <c r="KC86" s="18"/>
      <c r="KD86" s="18"/>
      <c r="KE86" s="18"/>
      <c r="KF86" s="18"/>
      <c r="KG86" s="18"/>
      <c r="KH86" s="18"/>
      <c r="KI86" s="18"/>
      <c r="KJ86" s="18"/>
      <c r="KK86" s="18"/>
      <c r="KL86" s="18"/>
      <c r="KM86" s="18"/>
      <c r="KN86" s="18"/>
      <c r="KO86" s="18"/>
      <c r="KP86" s="18"/>
      <c r="KQ86" s="18"/>
      <c r="KR86" s="18"/>
      <c r="KS86" s="18"/>
      <c r="KT86" s="18"/>
      <c r="KU86" s="18"/>
      <c r="KV86" s="18"/>
      <c r="KW86" s="18"/>
      <c r="KX86" s="18"/>
      <c r="KY86" s="18"/>
      <c r="KZ86" s="18"/>
      <c r="LA86" s="18"/>
      <c r="LB86" s="18"/>
      <c r="LC86" s="18"/>
      <c r="LD86" s="18"/>
      <c r="LE86" s="18"/>
      <c r="LF86" s="18"/>
      <c r="LG86" s="18"/>
      <c r="LH86" s="18"/>
      <c r="LI86" s="18"/>
      <c r="LJ86" s="18"/>
      <c r="LK86" s="18"/>
      <c r="LL86" s="18"/>
      <c r="LM86" s="18"/>
      <c r="LN86" s="18"/>
      <c r="LO86" s="18"/>
      <c r="LP86" s="18"/>
      <c r="LQ86" s="18"/>
      <c r="LR86" s="18"/>
      <c r="LS86" s="18"/>
      <c r="LT86" s="18"/>
      <c r="LU86" s="18"/>
      <c r="LV86" s="18"/>
      <c r="LW86" s="18"/>
      <c r="LX86" s="18"/>
      <c r="LY86" s="18"/>
      <c r="LZ86" s="18"/>
      <c r="MA86" s="18"/>
      <c r="MB86" s="18"/>
      <c r="MC86" s="18"/>
      <c r="MD86" s="18"/>
      <c r="ME86" s="18"/>
      <c r="MF86" s="18"/>
      <c r="MG86" s="18"/>
      <c r="MH86" s="18"/>
      <c r="MI86" s="18"/>
      <c r="MJ86" s="18"/>
      <c r="MK86" s="18"/>
      <c r="ML86" s="18"/>
      <c r="MM86" s="18"/>
      <c r="MN86" s="18"/>
      <c r="MO86" s="18"/>
      <c r="MP86" s="18"/>
      <c r="MQ86" s="18"/>
      <c r="MR86" s="18"/>
      <c r="MS86" s="18"/>
      <c r="MT86" s="18"/>
      <c r="MU86" s="18"/>
      <c r="MV86" s="18"/>
      <c r="MW86" s="18"/>
      <c r="MX86" s="18"/>
      <c r="MY86" s="18"/>
      <c r="MZ86" s="18"/>
      <c r="NA86" s="18"/>
      <c r="NB86" s="18"/>
      <c r="NC86" s="18"/>
      <c r="ND86" s="18"/>
      <c r="NE86" s="18"/>
      <c r="NF86" s="18"/>
      <c r="NG86" s="18"/>
      <c r="NH86" s="18"/>
      <c r="NI86" s="18"/>
      <c r="NJ86" s="18"/>
      <c r="NK86" s="18"/>
      <c r="NL86" s="18"/>
      <c r="NM86" s="18"/>
      <c r="NN86" s="18"/>
      <c r="NO86" s="18"/>
      <c r="NP86" s="18"/>
      <c r="NQ86" s="18"/>
      <c r="NR86" s="18"/>
      <c r="NS86" s="18"/>
      <c r="NT86" s="18"/>
      <c r="NU86" s="18"/>
      <c r="NV86" s="18"/>
      <c r="NW86" s="18"/>
      <c r="NX86" s="18"/>
      <c r="NY86" s="18"/>
      <c r="NZ86" s="18"/>
      <c r="OA86" s="18"/>
      <c r="OB86" s="18"/>
      <c r="OC86" s="18"/>
      <c r="OD86" s="18"/>
      <c r="OE86" s="18"/>
      <c r="OF86" s="18"/>
      <c r="OG86" s="18"/>
      <c r="OH86" s="18"/>
      <c r="OI86" s="18"/>
      <c r="OJ86" s="18"/>
      <c r="OK86" s="18"/>
      <c r="OL86" s="18"/>
      <c r="OM86" s="18"/>
      <c r="ON86" s="18"/>
      <c r="OO86" s="18"/>
      <c r="OP86" s="18"/>
      <c r="OQ86" s="18"/>
      <c r="OR86" s="18"/>
      <c r="OS86" s="18"/>
      <c r="OT86" s="18"/>
      <c r="OU86" s="18"/>
      <c r="OV86" s="18"/>
      <c r="OW86" s="18"/>
      <c r="OX86" s="18"/>
      <c r="OY86" s="18"/>
      <c r="OZ86" s="18"/>
      <c r="PA86" s="18"/>
      <c r="PB86" s="18"/>
      <c r="PC86" s="18"/>
      <c r="PD86" s="18"/>
      <c r="PE86" s="18"/>
      <c r="PF86" s="18"/>
      <c r="PG86" s="18"/>
      <c r="PH86" s="18"/>
      <c r="PI86" s="18"/>
      <c r="PJ86" s="18"/>
      <c r="PK86" s="18"/>
      <c r="PL86" s="18"/>
      <c r="PM86" s="18"/>
      <c r="PN86" s="18"/>
      <c r="PO86" s="18"/>
      <c r="PP86" s="18"/>
      <c r="PQ86" s="18"/>
      <c r="PR86" s="18"/>
      <c r="PS86" s="18"/>
      <c r="PT86" s="18"/>
      <c r="PU86" s="18"/>
      <c r="PV86" s="18"/>
      <c r="PW86" s="18"/>
      <c r="PX86" s="18"/>
      <c r="PY86" s="18"/>
      <c r="PZ86" s="18"/>
      <c r="QA86" s="18"/>
      <c r="QB86" s="18"/>
      <c r="QC86" s="18"/>
      <c r="QD86" s="18"/>
      <c r="QE86" s="18"/>
      <c r="QF86" s="18"/>
      <c r="QG86" s="18"/>
      <c r="QH86" s="18"/>
      <c r="QI86" s="18"/>
      <c r="QJ86" s="18"/>
      <c r="QK86" s="18"/>
      <c r="QL86" s="18"/>
      <c r="QM86" s="18"/>
      <c r="QN86" s="18"/>
      <c r="QO86" s="18"/>
      <c r="QP86" s="18"/>
      <c r="QQ86" s="18"/>
      <c r="QR86" s="18"/>
      <c r="QS86" s="18"/>
      <c r="QT86" s="18"/>
      <c r="QU86" s="18"/>
      <c r="QV86" s="18"/>
      <c r="QW86" s="18"/>
      <c r="QX86" s="18"/>
      <c r="QY86" s="18"/>
      <c r="QZ86" s="18"/>
      <c r="RA86" s="18"/>
      <c r="RB86" s="18"/>
      <c r="RC86" s="18"/>
      <c r="RD86" s="18"/>
      <c r="RE86" s="18"/>
      <c r="RF86" s="18"/>
      <c r="RG86" s="18"/>
      <c r="RH86" s="18"/>
      <c r="RI86" s="18"/>
      <c r="RJ86" s="18"/>
      <c r="RK86" s="18"/>
      <c r="RL86" s="18"/>
      <c r="RM86" s="18"/>
      <c r="RN86" s="18"/>
      <c r="RO86" s="18"/>
      <c r="RP86" s="18"/>
      <c r="RQ86" s="18"/>
      <c r="RR86" s="18"/>
      <c r="RS86" s="18"/>
      <c r="RT86" s="18"/>
      <c r="RU86" s="18"/>
      <c r="RV86" s="18"/>
      <c r="RW86" s="18"/>
      <c r="RX86" s="18"/>
      <c r="RY86" s="18"/>
      <c r="RZ86" s="18"/>
      <c r="SA86" s="18"/>
      <c r="SB86" s="18"/>
      <c r="SC86" s="18"/>
      <c r="SD86" s="18"/>
      <c r="SE86" s="18"/>
      <c r="SF86" s="18"/>
      <c r="SG86" s="18"/>
      <c r="SH86" s="18"/>
      <c r="SI86" s="18"/>
      <c r="SJ86" s="18"/>
      <c r="SK86" s="18"/>
      <c r="SL86" s="18"/>
      <c r="SM86" s="18"/>
      <c r="SN86" s="18"/>
      <c r="SO86" s="18"/>
      <c r="SP86" s="18"/>
      <c r="SQ86" s="18"/>
      <c r="SR86" s="18"/>
      <c r="SS86" s="18"/>
      <c r="ST86" s="18"/>
      <c r="SU86" s="18"/>
      <c r="SV86" s="18"/>
      <c r="SW86" s="18"/>
      <c r="SX86" s="18"/>
      <c r="SY86" s="18"/>
      <c r="SZ86" s="18"/>
      <c r="TA86" s="18"/>
      <c r="TB86" s="18"/>
      <c r="TC86" s="18"/>
      <c r="TD86" s="18"/>
      <c r="TE86" s="18"/>
      <c r="TF86" s="18"/>
      <c r="TG86" s="18"/>
      <c r="TH86" s="18"/>
      <c r="TI86" s="18"/>
      <c r="TJ86" s="18"/>
      <c r="TK86" s="18"/>
      <c r="TL86" s="18"/>
      <c r="TM86" s="18"/>
      <c r="TN86" s="18"/>
      <c r="TO86" s="18"/>
      <c r="TP86" s="18"/>
      <c r="TQ86" s="18"/>
      <c r="TR86" s="18"/>
      <c r="TS86" s="18"/>
      <c r="TT86" s="18"/>
      <c r="TU86" s="18"/>
      <c r="TV86" s="18"/>
      <c r="TW86" s="18"/>
      <c r="TX86" s="18"/>
      <c r="TY86" s="18"/>
      <c r="TZ86" s="18"/>
      <c r="UA86" s="18"/>
      <c r="UB86" s="18"/>
      <c r="UC86" s="18"/>
      <c r="UD86" s="18"/>
      <c r="UE86" s="18"/>
      <c r="UF86" s="18"/>
      <c r="UG86" s="18"/>
      <c r="UH86" s="18"/>
      <c r="UI86" s="18"/>
      <c r="UJ86" s="18"/>
      <c r="UK86" s="18"/>
      <c r="UL86" s="18"/>
      <c r="UM86" s="18"/>
      <c r="UN86" s="18"/>
      <c r="UO86" s="18"/>
      <c r="UP86" s="18"/>
      <c r="UQ86" s="18"/>
      <c r="UR86" s="18"/>
      <c r="US86" s="18"/>
      <c r="UT86" s="18"/>
      <c r="UU86" s="18"/>
      <c r="UV86" s="18"/>
      <c r="UW86" s="18"/>
      <c r="UX86" s="18"/>
      <c r="UY86" s="18"/>
      <c r="UZ86" s="18"/>
      <c r="VA86" s="18"/>
      <c r="VB86" s="18"/>
      <c r="VC86" s="18"/>
      <c r="VD86" s="18"/>
      <c r="VE86" s="18"/>
      <c r="VF86" s="18"/>
      <c r="VG86" s="18"/>
      <c r="VH86" s="18"/>
      <c r="VI86" s="18"/>
      <c r="VJ86" s="18"/>
      <c r="VK86" s="18"/>
      <c r="VL86" s="18"/>
      <c r="VM86" s="18"/>
      <c r="VN86" s="18"/>
      <c r="VO86" s="18"/>
      <c r="VP86" s="18"/>
      <c r="VQ86" s="18"/>
      <c r="VR86" s="18"/>
      <c r="VS86" s="18"/>
      <c r="VT86" s="18"/>
      <c r="VU86" s="18"/>
      <c r="VV86" s="18"/>
      <c r="VW86" s="18"/>
      <c r="VX86" s="18"/>
      <c r="VY86" s="18"/>
      <c r="VZ86" s="18"/>
      <c r="WA86" s="18"/>
      <c r="WB86" s="18"/>
      <c r="WC86" s="18"/>
      <c r="WD86" s="18"/>
      <c r="WE86" s="18"/>
      <c r="WF86" s="18"/>
      <c r="WG86" s="18"/>
      <c r="WH86" s="18"/>
      <c r="WI86" s="18"/>
      <c r="WJ86" s="18"/>
      <c r="WK86" s="18"/>
      <c r="WL86" s="18"/>
      <c r="WM86" s="18"/>
      <c r="WN86" s="18"/>
      <c r="WO86" s="18"/>
      <c r="WP86" s="18"/>
      <c r="WQ86" s="18"/>
      <c r="WR86" s="18"/>
      <c r="WS86" s="18"/>
      <c r="WT86" s="18"/>
      <c r="WU86" s="18"/>
      <c r="WV86" s="18"/>
      <c r="WW86" s="18"/>
      <c r="WX86" s="18"/>
      <c r="WY86" s="18"/>
      <c r="WZ86" s="18"/>
      <c r="XA86" s="18"/>
      <c r="XB86" s="18"/>
      <c r="XC86" s="18"/>
      <c r="XD86" s="18"/>
      <c r="XE86" s="18"/>
      <c r="XF86" s="18"/>
      <c r="XG86" s="18"/>
      <c r="XH86" s="18"/>
      <c r="XI86" s="18"/>
      <c r="XJ86" s="18"/>
      <c r="XK86" s="18"/>
      <c r="XL86" s="18"/>
      <c r="XM86" s="18"/>
      <c r="XN86" s="18"/>
      <c r="XO86" s="18"/>
      <c r="XP86" s="18"/>
      <c r="XQ86" s="18"/>
      <c r="XR86" s="18"/>
      <c r="XS86" s="18"/>
      <c r="XT86" s="18"/>
      <c r="XU86" s="18"/>
      <c r="XV86" s="18"/>
      <c r="XW86" s="18"/>
      <c r="XX86" s="18"/>
      <c r="XY86" s="18"/>
      <c r="XZ86" s="18"/>
      <c r="YA86" s="18"/>
      <c r="YB86" s="18"/>
      <c r="YC86" s="18"/>
      <c r="YD86" s="18"/>
      <c r="YE86" s="18"/>
      <c r="YF86" s="18"/>
      <c r="YG86" s="18"/>
      <c r="YH86" s="18"/>
      <c r="YI86" s="18"/>
      <c r="YJ86" s="18"/>
      <c r="YK86" s="18"/>
      <c r="YL86" s="18"/>
      <c r="YM86" s="18"/>
      <c r="YN86" s="18"/>
      <c r="YO86" s="18"/>
      <c r="YP86" s="18"/>
      <c r="YQ86" s="18"/>
      <c r="YR86" s="18"/>
      <c r="YS86" s="18"/>
      <c r="YT86" s="18"/>
      <c r="YU86" s="18"/>
      <c r="YV86" s="18"/>
      <c r="YW86" s="18"/>
      <c r="YX86" s="18"/>
      <c r="YY86" s="18"/>
      <c r="YZ86" s="18"/>
      <c r="ZA86" s="18"/>
      <c r="ZB86" s="18"/>
      <c r="ZC86" s="18"/>
      <c r="ZD86" s="18"/>
      <c r="ZE86" s="18"/>
      <c r="ZF86" s="18"/>
      <c r="ZG86" s="18"/>
      <c r="ZH86" s="18"/>
      <c r="ZI86" s="18"/>
      <c r="ZJ86" s="18"/>
      <c r="ZK86" s="18"/>
      <c r="ZL86" s="18"/>
      <c r="ZM86" s="18"/>
      <c r="ZN86" s="18"/>
      <c r="ZO86" s="18"/>
      <c r="ZP86" s="18"/>
      <c r="ZQ86" s="18"/>
      <c r="ZR86" s="18"/>
      <c r="ZS86" s="18"/>
      <c r="ZT86" s="18"/>
      <c r="ZU86" s="18"/>
      <c r="ZV86" s="18"/>
      <c r="ZW86" s="18"/>
      <c r="ZX86" s="18"/>
      <c r="ZY86" s="18"/>
      <c r="ZZ86" s="18"/>
      <c r="AAA86" s="18"/>
      <c r="AAB86" s="18"/>
      <c r="AAC86" s="18"/>
      <c r="AAD86" s="18"/>
      <c r="AAE86" s="18"/>
      <c r="AAF86" s="18"/>
      <c r="AAG86" s="18"/>
      <c r="AAH86" s="18"/>
      <c r="AAI86" s="18"/>
      <c r="AAJ86" s="18"/>
      <c r="AAK86" s="18"/>
      <c r="AAL86" s="18"/>
      <c r="AAM86" s="18"/>
      <c r="AAN86" s="18"/>
      <c r="AAO86" s="18"/>
      <c r="AAP86" s="18"/>
      <c r="AAQ86" s="18"/>
      <c r="AAR86" s="18"/>
      <c r="AAS86" s="18"/>
      <c r="AAT86" s="18"/>
      <c r="AAU86" s="18"/>
      <c r="AAV86" s="18"/>
      <c r="AAW86" s="18"/>
      <c r="AAX86" s="18"/>
      <c r="AAY86" s="18"/>
      <c r="AAZ86" s="18"/>
      <c r="ABA86" s="18"/>
      <c r="ABB86" s="18"/>
      <c r="ABC86" s="18"/>
      <c r="ABD86" s="18"/>
      <c r="ABE86" s="18"/>
      <c r="ABF86" s="18"/>
      <c r="ABG86" s="18"/>
      <c r="ABH86" s="18"/>
      <c r="ABI86" s="18"/>
      <c r="ABJ86" s="18"/>
      <c r="ABK86" s="18"/>
      <c r="ABL86" s="18"/>
      <c r="ABM86" s="18"/>
      <c r="ABN86" s="18"/>
      <c r="ABO86" s="18"/>
      <c r="ABP86" s="18"/>
      <c r="ABQ86" s="18"/>
      <c r="ABR86" s="18"/>
      <c r="ABS86" s="18"/>
      <c r="ABT86" s="18"/>
      <c r="ABU86" s="18"/>
      <c r="ABV86" s="18"/>
      <c r="ABW86" s="18"/>
      <c r="ABX86" s="18"/>
      <c r="ABY86" s="18"/>
      <c r="ABZ86" s="18"/>
      <c r="ACA86" s="18"/>
      <c r="ACB86" s="18"/>
      <c r="ACC86" s="18"/>
      <c r="ACD86" s="18"/>
      <c r="ACE86" s="18"/>
      <c r="ACF86" s="18"/>
      <c r="ACG86" s="18"/>
      <c r="ACH86" s="18"/>
      <c r="ACI86" s="18"/>
      <c r="ACJ86" s="18"/>
      <c r="ACK86" s="18"/>
      <c r="ACL86" s="18"/>
      <c r="ACM86" s="18"/>
      <c r="ACN86" s="18"/>
      <c r="ACO86" s="18"/>
      <c r="ACP86" s="18"/>
      <c r="ACQ86" s="18"/>
      <c r="ACR86" s="18"/>
      <c r="ACS86" s="18"/>
      <c r="ACT86" s="18"/>
      <c r="ACU86" s="18"/>
      <c r="ACV86" s="18"/>
      <c r="ACW86" s="18"/>
      <c r="ACX86" s="18"/>
      <c r="ACY86" s="18"/>
      <c r="ACZ86" s="18"/>
      <c r="ADA86" s="18"/>
      <c r="ADB86" s="18"/>
      <c r="ADC86" s="18"/>
      <c r="ADD86" s="18"/>
      <c r="ADE86" s="18"/>
      <c r="ADF86" s="18"/>
      <c r="ADG86" s="18"/>
      <c r="ADH86" s="18"/>
      <c r="ADI86" s="18"/>
      <c r="ADJ86" s="18"/>
      <c r="ADK86" s="18"/>
      <c r="ADL86" s="18"/>
      <c r="ADM86" s="18"/>
      <c r="ADN86" s="18"/>
      <c r="ADO86" s="18"/>
      <c r="ADP86" s="18"/>
      <c r="ADQ86" s="18"/>
      <c r="ADR86" s="18"/>
      <c r="ADS86" s="18"/>
      <c r="ADT86" s="18"/>
      <c r="ADU86" s="18"/>
      <c r="ADV86" s="18"/>
      <c r="ADW86" s="18"/>
      <c r="ADX86" s="18"/>
      <c r="ADY86" s="18"/>
      <c r="ADZ86" s="18"/>
      <c r="AEA86" s="18"/>
      <c r="AEB86" s="18"/>
      <c r="AEC86" s="18"/>
      <c r="AED86" s="18"/>
      <c r="AEE86" s="18"/>
      <c r="AEF86" s="18"/>
      <c r="AEG86" s="18"/>
      <c r="AEH86" s="18"/>
      <c r="AEI86" s="18"/>
      <c r="AEJ86" s="18"/>
      <c r="AEK86" s="18"/>
      <c r="AEL86" s="18"/>
      <c r="AEM86" s="18"/>
      <c r="AEN86" s="18"/>
      <c r="AEO86" s="18"/>
      <c r="AEP86" s="18"/>
      <c r="AEQ86" s="18"/>
      <c r="AER86" s="18"/>
      <c r="AES86" s="18"/>
      <c r="AET86" s="18"/>
      <c r="AEU86" s="18"/>
      <c r="AEV86" s="18"/>
      <c r="AEW86" s="18"/>
      <c r="AEX86" s="18"/>
      <c r="AEY86" s="18"/>
      <c r="AEZ86" s="18"/>
      <c r="AFA86" s="18"/>
      <c r="AFB86" s="18"/>
      <c r="AFC86" s="18"/>
      <c r="AFD86" s="18"/>
      <c r="AFE86" s="18"/>
      <c r="AFF86" s="18"/>
      <c r="AFG86" s="18"/>
      <c r="AFH86" s="18"/>
      <c r="AFI86" s="18"/>
      <c r="AFJ86" s="18"/>
      <c r="AFK86" s="18"/>
      <c r="AFL86" s="18"/>
      <c r="AFM86" s="18"/>
      <c r="AFN86" s="18"/>
      <c r="AFO86" s="18"/>
      <c r="AFP86" s="18"/>
      <c r="AFQ86" s="18"/>
      <c r="AFR86" s="18"/>
      <c r="AFS86" s="18"/>
      <c r="AFT86" s="18"/>
      <c r="AFU86" s="18"/>
      <c r="AFV86" s="18"/>
      <c r="AFW86" s="18"/>
      <c r="AFX86" s="18"/>
      <c r="AFY86" s="18"/>
      <c r="AFZ86" s="18"/>
      <c r="AGA86" s="18"/>
      <c r="AGB86" s="18"/>
      <c r="AGC86" s="18"/>
      <c r="AGD86" s="18"/>
      <c r="AGE86" s="18"/>
      <c r="AGF86" s="18"/>
      <c r="AGG86" s="18"/>
      <c r="AGH86" s="18"/>
      <c r="AGI86" s="18"/>
      <c r="AGJ86" s="18"/>
      <c r="AGK86" s="18"/>
      <c r="AGL86" s="18"/>
      <c r="AGM86" s="18"/>
      <c r="AGN86" s="18"/>
      <c r="AGO86" s="18"/>
      <c r="AGP86" s="18"/>
      <c r="AGQ86" s="18"/>
      <c r="AGR86" s="18"/>
      <c r="AGS86" s="18"/>
      <c r="AGT86" s="18"/>
      <c r="AGU86" s="18"/>
      <c r="AGV86" s="18"/>
      <c r="AGW86" s="18"/>
      <c r="AGX86" s="18"/>
      <c r="AGY86" s="18"/>
      <c r="AGZ86" s="18"/>
      <c r="AHA86" s="18"/>
      <c r="AHB86" s="18"/>
      <c r="AHC86" s="18"/>
      <c r="AHD86" s="18"/>
      <c r="AHE86" s="18"/>
      <c r="AHF86" s="18"/>
      <c r="AHG86" s="18"/>
      <c r="AHH86" s="18"/>
      <c r="AHI86" s="18"/>
      <c r="AHJ86" s="18"/>
      <c r="AHK86" s="18"/>
      <c r="AHL86" s="18"/>
      <c r="AHM86" s="18"/>
      <c r="AHN86" s="18"/>
      <c r="AHO86" s="18"/>
      <c r="AHP86" s="18"/>
      <c r="AHQ86" s="18"/>
      <c r="AHR86" s="18"/>
      <c r="AHS86" s="18"/>
      <c r="AHT86" s="18"/>
      <c r="AHU86" s="18"/>
      <c r="AHV86" s="18"/>
      <c r="AHW86" s="18"/>
      <c r="AHX86" s="18"/>
      <c r="AHY86" s="18"/>
      <c r="AHZ86" s="18"/>
      <c r="AIA86" s="18"/>
      <c r="AIB86" s="18"/>
      <c r="AIC86" s="18"/>
      <c r="AID86" s="18"/>
      <c r="AIE86" s="18"/>
      <c r="AIF86" s="18"/>
      <c r="AIG86" s="18"/>
      <c r="AIH86" s="18"/>
      <c r="AII86" s="18"/>
      <c r="AIJ86" s="18"/>
      <c r="AIK86" s="18"/>
      <c r="AIL86" s="18"/>
      <c r="AIM86" s="18"/>
      <c r="AIN86" s="18"/>
      <c r="AIO86" s="18"/>
      <c r="AIP86" s="18"/>
      <c r="AIQ86" s="18"/>
      <c r="AIR86" s="18"/>
      <c r="AIS86" s="18"/>
      <c r="AIT86" s="18"/>
      <c r="AIU86" s="18"/>
      <c r="AIV86" s="18"/>
      <c r="AIW86" s="18"/>
      <c r="AIX86" s="18"/>
      <c r="AIY86" s="18"/>
      <c r="AIZ86" s="18"/>
      <c r="AJA86" s="18"/>
      <c r="AJB86" s="18"/>
      <c r="AJC86" s="18"/>
      <c r="AJD86" s="18"/>
      <c r="AJE86" s="18"/>
      <c r="AJF86" s="18"/>
      <c r="AJG86" s="18"/>
      <c r="AJH86" s="18"/>
      <c r="AJI86" s="18"/>
      <c r="AJJ86" s="18"/>
      <c r="AJK86" s="18"/>
      <c r="AJL86" s="18"/>
      <c r="AJM86" s="18"/>
      <c r="AJN86" s="18"/>
      <c r="AJO86" s="18"/>
      <c r="AJP86" s="18"/>
      <c r="AJQ86" s="18"/>
      <c r="AJR86" s="18"/>
      <c r="AJS86" s="18"/>
      <c r="AJT86" s="18"/>
      <c r="AJU86" s="18"/>
      <c r="AJV86" s="18"/>
      <c r="AJW86" s="18"/>
      <c r="AJX86" s="18"/>
      <c r="AJY86" s="18"/>
      <c r="AJZ86" s="18"/>
      <c r="AKA86" s="18"/>
      <c r="AKB86" s="18"/>
      <c r="AKC86" s="18"/>
      <c r="AKD86" s="18"/>
      <c r="AKE86" s="18"/>
      <c r="AKF86" s="18"/>
      <c r="AKG86" s="18"/>
      <c r="AKH86" s="18"/>
      <c r="AKI86" s="18"/>
      <c r="AKJ86" s="18"/>
      <c r="AKK86" s="18"/>
      <c r="AKL86" s="18"/>
      <c r="AKM86" s="18"/>
      <c r="AKN86" s="18"/>
      <c r="AKO86" s="18"/>
      <c r="AKP86" s="18"/>
      <c r="AKQ86" s="18"/>
      <c r="AKR86" s="18"/>
      <c r="AKS86" s="18"/>
      <c r="AKT86" s="18"/>
      <c r="AKU86" s="18"/>
      <c r="AKV86" s="18"/>
      <c r="AKW86" s="18"/>
      <c r="AKX86" s="18"/>
      <c r="AKY86" s="18"/>
      <c r="AKZ86" s="18"/>
      <c r="ALA86" s="18"/>
      <c r="ALB86" s="18"/>
      <c r="ALC86" s="18"/>
      <c r="ALD86" s="18"/>
      <c r="ALE86" s="18"/>
      <c r="ALF86" s="18"/>
      <c r="ALG86" s="18"/>
      <c r="ALH86" s="18"/>
      <c r="ALI86" s="18"/>
      <c r="ALJ86" s="18"/>
      <c r="ALK86" s="18"/>
      <c r="ALL86" s="18"/>
      <c r="ALM86" s="18"/>
      <c r="ALN86" s="18"/>
      <c r="ALO86" s="18"/>
      <c r="ALP86" s="18"/>
      <c r="ALQ86" s="18"/>
      <c r="ALR86" s="18"/>
      <c r="ALS86" s="18"/>
      <c r="ALT86" s="18"/>
      <c r="ALU86" s="18"/>
      <c r="ALV86" s="18"/>
      <c r="ALW86" s="18"/>
      <c r="ALX86" s="18"/>
      <c r="ALY86" s="18"/>
      <c r="ALZ86" s="18"/>
      <c r="AMA86" s="18"/>
      <c r="AMB86" s="18"/>
      <c r="AMC86" s="18"/>
      <c r="AMD86" s="18"/>
      <c r="AME86" s="18"/>
      <c r="AMF86" s="18"/>
      <c r="AMG86" s="18"/>
      <c r="AMH86" s="18"/>
    </row>
    <row r="87" spans="1:1022" s="23" customFormat="1" x14ac:dyDescent="0.3">
      <c r="A87" s="33">
        <v>183</v>
      </c>
      <c r="B87" s="19"/>
      <c r="C87" s="19"/>
      <c r="D87" s="34" t="s">
        <v>356</v>
      </c>
      <c r="E87" s="34" t="s">
        <v>506</v>
      </c>
      <c r="F87" s="43">
        <v>30</v>
      </c>
      <c r="G87" s="19"/>
      <c r="H87" s="38" t="s">
        <v>281</v>
      </c>
      <c r="I87" s="31"/>
      <c r="J87" s="31"/>
      <c r="K87" s="31"/>
      <c r="L87" s="31"/>
      <c r="M87" s="32"/>
      <c r="N87" s="32"/>
      <c r="O87" s="18"/>
      <c r="P87" s="36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18"/>
      <c r="BK87" s="18"/>
      <c r="BL87" s="18"/>
      <c r="BM87" s="18"/>
      <c r="BN87" s="18"/>
      <c r="BO87" s="18"/>
      <c r="BP87" s="18"/>
      <c r="BQ87" s="18"/>
      <c r="BR87" s="18"/>
      <c r="BS87" s="18"/>
      <c r="BT87" s="18"/>
      <c r="BU87" s="18"/>
      <c r="BV87" s="18"/>
      <c r="BW87" s="18"/>
      <c r="BX87" s="18"/>
      <c r="BY87" s="18"/>
      <c r="BZ87" s="18"/>
      <c r="CA87" s="18"/>
      <c r="CB87" s="18"/>
      <c r="CC87" s="18"/>
      <c r="CD87" s="18"/>
      <c r="CE87" s="18"/>
      <c r="CF87" s="18"/>
      <c r="CG87" s="18"/>
      <c r="CH87" s="18"/>
      <c r="CI87" s="18"/>
      <c r="CJ87" s="18"/>
      <c r="CK87" s="18"/>
      <c r="CL87" s="18"/>
      <c r="CM87" s="18"/>
      <c r="CN87" s="18"/>
      <c r="CO87" s="18"/>
      <c r="CP87" s="18"/>
      <c r="CQ87" s="18"/>
      <c r="CR87" s="18"/>
      <c r="CS87" s="18"/>
      <c r="CT87" s="18"/>
      <c r="CU87" s="18"/>
      <c r="CV87" s="18"/>
      <c r="CW87" s="18"/>
      <c r="CX87" s="18"/>
      <c r="CY87" s="18"/>
      <c r="CZ87" s="18"/>
      <c r="DA87" s="18"/>
      <c r="DB87" s="18"/>
      <c r="DC87" s="18"/>
      <c r="DD87" s="18"/>
      <c r="DE87" s="18"/>
      <c r="DF87" s="18"/>
      <c r="DG87" s="18"/>
      <c r="DH87" s="18"/>
      <c r="DI87" s="18"/>
      <c r="DJ87" s="18"/>
      <c r="DK87" s="18"/>
      <c r="DL87" s="18"/>
      <c r="DM87" s="18"/>
      <c r="DN87" s="18"/>
      <c r="DO87" s="18"/>
      <c r="DP87" s="18"/>
      <c r="DQ87" s="18"/>
      <c r="DR87" s="18"/>
      <c r="DS87" s="18"/>
      <c r="DT87" s="18"/>
      <c r="DU87" s="18"/>
      <c r="DV87" s="18"/>
      <c r="DW87" s="18"/>
      <c r="DX87" s="18"/>
      <c r="DY87" s="18"/>
      <c r="DZ87" s="18"/>
      <c r="EA87" s="18"/>
      <c r="EB87" s="18"/>
      <c r="EC87" s="18"/>
      <c r="ED87" s="18"/>
      <c r="EE87" s="18"/>
      <c r="EF87" s="18"/>
      <c r="EG87" s="18"/>
      <c r="EH87" s="18"/>
      <c r="EI87" s="18"/>
      <c r="EJ87" s="18"/>
      <c r="EK87" s="18"/>
      <c r="EL87" s="18"/>
      <c r="EM87" s="18"/>
      <c r="EN87" s="18"/>
      <c r="EO87" s="18"/>
      <c r="EP87" s="18"/>
      <c r="EQ87" s="18"/>
      <c r="ER87" s="18"/>
      <c r="ES87" s="18"/>
      <c r="ET87" s="18"/>
      <c r="EU87" s="18"/>
      <c r="EV87" s="18"/>
      <c r="EW87" s="18"/>
      <c r="EX87" s="18"/>
      <c r="EY87" s="18"/>
      <c r="EZ87" s="18"/>
      <c r="FA87" s="18"/>
      <c r="FB87" s="18"/>
      <c r="FC87" s="18"/>
      <c r="FD87" s="18"/>
      <c r="FE87" s="18"/>
      <c r="FF87" s="18"/>
      <c r="FG87" s="18"/>
      <c r="FH87" s="18"/>
      <c r="FI87" s="18"/>
      <c r="FJ87" s="18"/>
      <c r="FK87" s="18"/>
      <c r="FL87" s="18"/>
      <c r="FM87" s="18"/>
      <c r="FN87" s="18"/>
      <c r="FO87" s="18"/>
      <c r="FP87" s="18"/>
      <c r="FQ87" s="18"/>
      <c r="FR87" s="18"/>
      <c r="FS87" s="18"/>
      <c r="FT87" s="18"/>
      <c r="FU87" s="18"/>
      <c r="FV87" s="18"/>
      <c r="FW87" s="18"/>
      <c r="FX87" s="18"/>
      <c r="FY87" s="18"/>
      <c r="FZ87" s="18"/>
      <c r="GA87" s="18"/>
      <c r="GB87" s="18"/>
      <c r="GC87" s="18"/>
      <c r="GD87" s="18"/>
      <c r="GE87" s="18"/>
      <c r="GF87" s="18"/>
      <c r="GG87" s="18"/>
      <c r="GH87" s="18"/>
      <c r="GI87" s="18"/>
      <c r="GJ87" s="18"/>
      <c r="GK87" s="18"/>
      <c r="GL87" s="18"/>
      <c r="GM87" s="18"/>
      <c r="GN87" s="18"/>
      <c r="GO87" s="18"/>
      <c r="GP87" s="18"/>
      <c r="GQ87" s="18"/>
      <c r="GR87" s="18"/>
      <c r="GS87" s="18"/>
      <c r="GT87" s="18"/>
      <c r="GU87" s="18"/>
      <c r="GV87" s="18"/>
      <c r="GW87" s="18"/>
      <c r="GX87" s="18"/>
      <c r="GY87" s="18"/>
      <c r="GZ87" s="18"/>
      <c r="HA87" s="18"/>
      <c r="HB87" s="18"/>
      <c r="HC87" s="18"/>
      <c r="HD87" s="18"/>
      <c r="HE87" s="18"/>
      <c r="HF87" s="18"/>
      <c r="HG87" s="18"/>
      <c r="HH87" s="18"/>
      <c r="HI87" s="18"/>
      <c r="HJ87" s="18"/>
      <c r="HK87" s="18"/>
      <c r="HL87" s="18"/>
      <c r="HM87" s="18"/>
      <c r="HN87" s="18"/>
      <c r="HO87" s="18"/>
      <c r="HP87" s="18"/>
      <c r="HQ87" s="18"/>
      <c r="HR87" s="18"/>
      <c r="HS87" s="18"/>
      <c r="HT87" s="18"/>
      <c r="HU87" s="18"/>
      <c r="HV87" s="18"/>
      <c r="HW87" s="18"/>
      <c r="HX87" s="18"/>
      <c r="HY87" s="18"/>
      <c r="HZ87" s="18"/>
      <c r="IA87" s="18"/>
      <c r="IB87" s="18"/>
      <c r="IC87" s="18"/>
      <c r="ID87" s="18"/>
      <c r="IE87" s="18"/>
      <c r="IF87" s="18"/>
      <c r="IG87" s="18"/>
      <c r="IH87" s="18"/>
      <c r="II87" s="18"/>
      <c r="IJ87" s="18"/>
      <c r="IK87" s="18"/>
      <c r="IL87" s="18"/>
      <c r="IM87" s="18"/>
      <c r="IN87" s="18"/>
      <c r="IO87" s="18"/>
      <c r="IP87" s="18"/>
      <c r="IQ87" s="18"/>
      <c r="IR87" s="18"/>
      <c r="IS87" s="18"/>
      <c r="IT87" s="18"/>
      <c r="IU87" s="18"/>
      <c r="IV87" s="18"/>
      <c r="IW87" s="18"/>
      <c r="IX87" s="18"/>
      <c r="IY87" s="18"/>
      <c r="IZ87" s="18"/>
      <c r="JA87" s="18"/>
      <c r="JB87" s="18"/>
      <c r="JC87" s="18"/>
      <c r="JD87" s="18"/>
      <c r="JE87" s="18"/>
      <c r="JF87" s="18"/>
      <c r="JG87" s="18"/>
      <c r="JH87" s="18"/>
      <c r="JI87" s="18"/>
      <c r="JJ87" s="18"/>
      <c r="JK87" s="18"/>
      <c r="JL87" s="18"/>
      <c r="JM87" s="18"/>
      <c r="JN87" s="18"/>
      <c r="JO87" s="18"/>
      <c r="JP87" s="18"/>
      <c r="JQ87" s="18"/>
      <c r="JR87" s="18"/>
      <c r="JS87" s="18"/>
      <c r="JT87" s="18"/>
      <c r="JU87" s="18"/>
      <c r="JV87" s="18"/>
      <c r="JW87" s="18"/>
      <c r="JX87" s="18"/>
      <c r="JY87" s="18"/>
      <c r="JZ87" s="18"/>
      <c r="KA87" s="18"/>
      <c r="KB87" s="18"/>
      <c r="KC87" s="18"/>
      <c r="KD87" s="18"/>
      <c r="KE87" s="18"/>
      <c r="KF87" s="18"/>
      <c r="KG87" s="18"/>
      <c r="KH87" s="18"/>
      <c r="KI87" s="18"/>
      <c r="KJ87" s="18"/>
      <c r="KK87" s="18"/>
      <c r="KL87" s="18"/>
      <c r="KM87" s="18"/>
      <c r="KN87" s="18"/>
      <c r="KO87" s="18"/>
      <c r="KP87" s="18"/>
      <c r="KQ87" s="18"/>
      <c r="KR87" s="18"/>
      <c r="KS87" s="18"/>
      <c r="KT87" s="18"/>
      <c r="KU87" s="18"/>
      <c r="KV87" s="18"/>
      <c r="KW87" s="18"/>
      <c r="KX87" s="18"/>
      <c r="KY87" s="18"/>
      <c r="KZ87" s="18"/>
      <c r="LA87" s="18"/>
      <c r="LB87" s="18"/>
      <c r="LC87" s="18"/>
      <c r="LD87" s="18"/>
      <c r="LE87" s="18"/>
      <c r="LF87" s="18"/>
      <c r="LG87" s="18"/>
      <c r="LH87" s="18"/>
      <c r="LI87" s="18"/>
      <c r="LJ87" s="18"/>
      <c r="LK87" s="18"/>
      <c r="LL87" s="18"/>
      <c r="LM87" s="18"/>
      <c r="LN87" s="18"/>
      <c r="LO87" s="18"/>
      <c r="LP87" s="18"/>
      <c r="LQ87" s="18"/>
      <c r="LR87" s="18"/>
      <c r="LS87" s="18"/>
      <c r="LT87" s="18"/>
      <c r="LU87" s="18"/>
      <c r="LV87" s="18"/>
      <c r="LW87" s="18"/>
      <c r="LX87" s="18"/>
      <c r="LY87" s="18"/>
      <c r="LZ87" s="18"/>
      <c r="MA87" s="18"/>
      <c r="MB87" s="18"/>
      <c r="MC87" s="18"/>
      <c r="MD87" s="18"/>
      <c r="ME87" s="18"/>
      <c r="MF87" s="18"/>
      <c r="MG87" s="18"/>
      <c r="MH87" s="18"/>
      <c r="MI87" s="18"/>
      <c r="MJ87" s="18"/>
      <c r="MK87" s="18"/>
      <c r="ML87" s="18"/>
      <c r="MM87" s="18"/>
      <c r="MN87" s="18"/>
      <c r="MO87" s="18"/>
      <c r="MP87" s="18"/>
      <c r="MQ87" s="18"/>
      <c r="MR87" s="18"/>
      <c r="MS87" s="18"/>
      <c r="MT87" s="18"/>
      <c r="MU87" s="18"/>
      <c r="MV87" s="18"/>
      <c r="MW87" s="18"/>
      <c r="MX87" s="18"/>
      <c r="MY87" s="18"/>
      <c r="MZ87" s="18"/>
      <c r="NA87" s="18"/>
      <c r="NB87" s="18"/>
      <c r="NC87" s="18"/>
      <c r="ND87" s="18"/>
      <c r="NE87" s="18"/>
      <c r="NF87" s="18"/>
      <c r="NG87" s="18"/>
      <c r="NH87" s="18"/>
      <c r="NI87" s="18"/>
      <c r="NJ87" s="18"/>
      <c r="NK87" s="18"/>
      <c r="NL87" s="18"/>
      <c r="NM87" s="18"/>
      <c r="NN87" s="18"/>
      <c r="NO87" s="18"/>
      <c r="NP87" s="18"/>
      <c r="NQ87" s="18"/>
      <c r="NR87" s="18"/>
      <c r="NS87" s="18"/>
      <c r="NT87" s="18"/>
      <c r="NU87" s="18"/>
      <c r="NV87" s="18"/>
      <c r="NW87" s="18"/>
      <c r="NX87" s="18"/>
      <c r="NY87" s="18"/>
      <c r="NZ87" s="18"/>
      <c r="OA87" s="18"/>
      <c r="OB87" s="18"/>
      <c r="OC87" s="18"/>
      <c r="OD87" s="18"/>
      <c r="OE87" s="18"/>
      <c r="OF87" s="18"/>
      <c r="OG87" s="18"/>
      <c r="OH87" s="18"/>
      <c r="OI87" s="18"/>
      <c r="OJ87" s="18"/>
      <c r="OK87" s="18"/>
      <c r="OL87" s="18"/>
      <c r="OM87" s="18"/>
      <c r="ON87" s="18"/>
      <c r="OO87" s="18"/>
      <c r="OP87" s="18"/>
      <c r="OQ87" s="18"/>
      <c r="OR87" s="18"/>
      <c r="OS87" s="18"/>
      <c r="OT87" s="18"/>
      <c r="OU87" s="18"/>
      <c r="OV87" s="18"/>
      <c r="OW87" s="18"/>
      <c r="OX87" s="18"/>
      <c r="OY87" s="18"/>
      <c r="OZ87" s="18"/>
      <c r="PA87" s="18"/>
      <c r="PB87" s="18"/>
      <c r="PC87" s="18"/>
      <c r="PD87" s="18"/>
      <c r="PE87" s="18"/>
      <c r="PF87" s="18"/>
      <c r="PG87" s="18"/>
      <c r="PH87" s="18"/>
      <c r="PI87" s="18"/>
      <c r="PJ87" s="18"/>
      <c r="PK87" s="18"/>
      <c r="PL87" s="18"/>
      <c r="PM87" s="18"/>
      <c r="PN87" s="18"/>
      <c r="PO87" s="18"/>
      <c r="PP87" s="18"/>
      <c r="PQ87" s="18"/>
      <c r="PR87" s="18"/>
      <c r="PS87" s="18"/>
      <c r="PT87" s="18"/>
      <c r="PU87" s="18"/>
      <c r="PV87" s="18"/>
      <c r="PW87" s="18"/>
      <c r="PX87" s="18"/>
      <c r="PY87" s="18"/>
      <c r="PZ87" s="18"/>
      <c r="QA87" s="18"/>
      <c r="QB87" s="18"/>
      <c r="QC87" s="18"/>
      <c r="QD87" s="18"/>
      <c r="QE87" s="18"/>
      <c r="QF87" s="18"/>
      <c r="QG87" s="18"/>
      <c r="QH87" s="18"/>
      <c r="QI87" s="18"/>
      <c r="QJ87" s="18"/>
      <c r="QK87" s="18"/>
      <c r="QL87" s="18"/>
      <c r="QM87" s="18"/>
      <c r="QN87" s="18"/>
      <c r="QO87" s="18"/>
      <c r="QP87" s="18"/>
      <c r="QQ87" s="18"/>
      <c r="QR87" s="18"/>
      <c r="QS87" s="18"/>
      <c r="QT87" s="18"/>
      <c r="QU87" s="18"/>
      <c r="QV87" s="18"/>
      <c r="QW87" s="18"/>
      <c r="QX87" s="18"/>
      <c r="QY87" s="18"/>
      <c r="QZ87" s="18"/>
      <c r="RA87" s="18"/>
      <c r="RB87" s="18"/>
      <c r="RC87" s="18"/>
      <c r="RD87" s="18"/>
      <c r="RE87" s="18"/>
      <c r="RF87" s="18"/>
      <c r="RG87" s="18"/>
      <c r="RH87" s="18"/>
      <c r="RI87" s="18"/>
      <c r="RJ87" s="18"/>
      <c r="RK87" s="18"/>
      <c r="RL87" s="18"/>
      <c r="RM87" s="18"/>
      <c r="RN87" s="18"/>
      <c r="RO87" s="18"/>
      <c r="RP87" s="18"/>
      <c r="RQ87" s="18"/>
      <c r="RR87" s="18"/>
      <c r="RS87" s="18"/>
      <c r="RT87" s="18"/>
      <c r="RU87" s="18"/>
      <c r="RV87" s="18"/>
      <c r="RW87" s="18"/>
      <c r="RX87" s="18"/>
      <c r="RY87" s="18"/>
      <c r="RZ87" s="18"/>
      <c r="SA87" s="18"/>
      <c r="SB87" s="18"/>
      <c r="SC87" s="18"/>
      <c r="SD87" s="18"/>
      <c r="SE87" s="18"/>
      <c r="SF87" s="18"/>
      <c r="SG87" s="18"/>
      <c r="SH87" s="18"/>
      <c r="SI87" s="18"/>
      <c r="SJ87" s="18"/>
      <c r="SK87" s="18"/>
      <c r="SL87" s="18"/>
      <c r="SM87" s="18"/>
      <c r="SN87" s="18"/>
      <c r="SO87" s="18"/>
      <c r="SP87" s="18"/>
      <c r="SQ87" s="18"/>
      <c r="SR87" s="18"/>
      <c r="SS87" s="18"/>
      <c r="ST87" s="18"/>
      <c r="SU87" s="18"/>
      <c r="SV87" s="18"/>
      <c r="SW87" s="18"/>
      <c r="SX87" s="18"/>
      <c r="SY87" s="18"/>
      <c r="SZ87" s="18"/>
      <c r="TA87" s="18"/>
      <c r="TB87" s="18"/>
      <c r="TC87" s="18"/>
      <c r="TD87" s="18"/>
      <c r="TE87" s="18"/>
      <c r="TF87" s="18"/>
      <c r="TG87" s="18"/>
      <c r="TH87" s="18"/>
      <c r="TI87" s="18"/>
      <c r="TJ87" s="18"/>
      <c r="TK87" s="18"/>
      <c r="TL87" s="18"/>
      <c r="TM87" s="18"/>
      <c r="TN87" s="18"/>
      <c r="TO87" s="18"/>
      <c r="TP87" s="18"/>
      <c r="TQ87" s="18"/>
      <c r="TR87" s="18"/>
      <c r="TS87" s="18"/>
      <c r="TT87" s="18"/>
      <c r="TU87" s="18"/>
      <c r="TV87" s="18"/>
      <c r="TW87" s="18"/>
      <c r="TX87" s="18"/>
      <c r="TY87" s="18"/>
      <c r="TZ87" s="18"/>
      <c r="UA87" s="18"/>
      <c r="UB87" s="18"/>
      <c r="UC87" s="18"/>
      <c r="UD87" s="18"/>
      <c r="UE87" s="18"/>
      <c r="UF87" s="18"/>
      <c r="UG87" s="18"/>
      <c r="UH87" s="18"/>
      <c r="UI87" s="18"/>
      <c r="UJ87" s="18"/>
      <c r="UK87" s="18"/>
      <c r="UL87" s="18"/>
      <c r="UM87" s="18"/>
      <c r="UN87" s="18"/>
      <c r="UO87" s="18"/>
      <c r="UP87" s="18"/>
      <c r="UQ87" s="18"/>
      <c r="UR87" s="18"/>
      <c r="US87" s="18"/>
      <c r="UT87" s="18"/>
      <c r="UU87" s="18"/>
      <c r="UV87" s="18"/>
      <c r="UW87" s="18"/>
      <c r="UX87" s="18"/>
      <c r="UY87" s="18"/>
      <c r="UZ87" s="18"/>
      <c r="VA87" s="18"/>
      <c r="VB87" s="18"/>
      <c r="VC87" s="18"/>
      <c r="VD87" s="18"/>
      <c r="VE87" s="18"/>
      <c r="VF87" s="18"/>
      <c r="VG87" s="18"/>
      <c r="VH87" s="18"/>
      <c r="VI87" s="18"/>
      <c r="VJ87" s="18"/>
      <c r="VK87" s="18"/>
      <c r="VL87" s="18"/>
      <c r="VM87" s="18"/>
      <c r="VN87" s="18"/>
      <c r="VO87" s="18"/>
      <c r="VP87" s="18"/>
      <c r="VQ87" s="18"/>
      <c r="VR87" s="18"/>
      <c r="VS87" s="18"/>
      <c r="VT87" s="18"/>
      <c r="VU87" s="18"/>
      <c r="VV87" s="18"/>
      <c r="VW87" s="18"/>
      <c r="VX87" s="18"/>
      <c r="VY87" s="18"/>
      <c r="VZ87" s="18"/>
      <c r="WA87" s="18"/>
      <c r="WB87" s="18"/>
      <c r="WC87" s="18"/>
      <c r="WD87" s="18"/>
      <c r="WE87" s="18"/>
      <c r="WF87" s="18"/>
      <c r="WG87" s="18"/>
      <c r="WH87" s="18"/>
      <c r="WI87" s="18"/>
      <c r="WJ87" s="18"/>
      <c r="WK87" s="18"/>
      <c r="WL87" s="18"/>
      <c r="WM87" s="18"/>
      <c r="WN87" s="18"/>
      <c r="WO87" s="18"/>
      <c r="WP87" s="18"/>
      <c r="WQ87" s="18"/>
      <c r="WR87" s="18"/>
      <c r="WS87" s="18"/>
      <c r="WT87" s="18"/>
      <c r="WU87" s="18"/>
      <c r="WV87" s="18"/>
      <c r="WW87" s="18"/>
      <c r="WX87" s="18"/>
      <c r="WY87" s="18"/>
      <c r="WZ87" s="18"/>
      <c r="XA87" s="18"/>
      <c r="XB87" s="18"/>
      <c r="XC87" s="18"/>
      <c r="XD87" s="18"/>
      <c r="XE87" s="18"/>
      <c r="XF87" s="18"/>
      <c r="XG87" s="18"/>
      <c r="XH87" s="18"/>
      <c r="XI87" s="18"/>
      <c r="XJ87" s="18"/>
      <c r="XK87" s="18"/>
      <c r="XL87" s="18"/>
      <c r="XM87" s="18"/>
      <c r="XN87" s="18"/>
      <c r="XO87" s="18"/>
      <c r="XP87" s="18"/>
      <c r="XQ87" s="18"/>
      <c r="XR87" s="18"/>
      <c r="XS87" s="18"/>
      <c r="XT87" s="18"/>
      <c r="XU87" s="18"/>
      <c r="XV87" s="18"/>
      <c r="XW87" s="18"/>
      <c r="XX87" s="18"/>
      <c r="XY87" s="18"/>
      <c r="XZ87" s="18"/>
      <c r="YA87" s="18"/>
      <c r="YB87" s="18"/>
      <c r="YC87" s="18"/>
      <c r="YD87" s="18"/>
      <c r="YE87" s="18"/>
      <c r="YF87" s="18"/>
      <c r="YG87" s="18"/>
      <c r="YH87" s="18"/>
      <c r="YI87" s="18"/>
      <c r="YJ87" s="18"/>
      <c r="YK87" s="18"/>
      <c r="YL87" s="18"/>
      <c r="YM87" s="18"/>
      <c r="YN87" s="18"/>
      <c r="YO87" s="18"/>
      <c r="YP87" s="18"/>
      <c r="YQ87" s="18"/>
      <c r="YR87" s="18"/>
      <c r="YS87" s="18"/>
      <c r="YT87" s="18"/>
      <c r="YU87" s="18"/>
      <c r="YV87" s="18"/>
      <c r="YW87" s="18"/>
      <c r="YX87" s="18"/>
      <c r="YY87" s="18"/>
      <c r="YZ87" s="18"/>
      <c r="ZA87" s="18"/>
      <c r="ZB87" s="18"/>
      <c r="ZC87" s="18"/>
      <c r="ZD87" s="18"/>
      <c r="ZE87" s="18"/>
      <c r="ZF87" s="18"/>
      <c r="ZG87" s="18"/>
      <c r="ZH87" s="18"/>
      <c r="ZI87" s="18"/>
      <c r="ZJ87" s="18"/>
      <c r="ZK87" s="18"/>
      <c r="ZL87" s="18"/>
      <c r="ZM87" s="18"/>
      <c r="ZN87" s="18"/>
      <c r="ZO87" s="18"/>
      <c r="ZP87" s="18"/>
      <c r="ZQ87" s="18"/>
      <c r="ZR87" s="18"/>
      <c r="ZS87" s="18"/>
      <c r="ZT87" s="18"/>
      <c r="ZU87" s="18"/>
      <c r="ZV87" s="18"/>
      <c r="ZW87" s="18"/>
      <c r="ZX87" s="18"/>
      <c r="ZY87" s="18"/>
      <c r="ZZ87" s="18"/>
      <c r="AAA87" s="18"/>
      <c r="AAB87" s="18"/>
      <c r="AAC87" s="18"/>
      <c r="AAD87" s="18"/>
      <c r="AAE87" s="18"/>
      <c r="AAF87" s="18"/>
      <c r="AAG87" s="18"/>
      <c r="AAH87" s="18"/>
      <c r="AAI87" s="18"/>
      <c r="AAJ87" s="18"/>
      <c r="AAK87" s="18"/>
      <c r="AAL87" s="18"/>
      <c r="AAM87" s="18"/>
      <c r="AAN87" s="18"/>
      <c r="AAO87" s="18"/>
      <c r="AAP87" s="18"/>
      <c r="AAQ87" s="18"/>
      <c r="AAR87" s="18"/>
      <c r="AAS87" s="18"/>
      <c r="AAT87" s="18"/>
      <c r="AAU87" s="18"/>
      <c r="AAV87" s="18"/>
      <c r="AAW87" s="18"/>
      <c r="AAX87" s="18"/>
      <c r="AAY87" s="18"/>
      <c r="AAZ87" s="18"/>
      <c r="ABA87" s="18"/>
      <c r="ABB87" s="18"/>
      <c r="ABC87" s="18"/>
      <c r="ABD87" s="18"/>
      <c r="ABE87" s="18"/>
      <c r="ABF87" s="18"/>
      <c r="ABG87" s="18"/>
      <c r="ABH87" s="18"/>
      <c r="ABI87" s="18"/>
      <c r="ABJ87" s="18"/>
      <c r="ABK87" s="18"/>
      <c r="ABL87" s="18"/>
      <c r="ABM87" s="18"/>
      <c r="ABN87" s="18"/>
      <c r="ABO87" s="18"/>
      <c r="ABP87" s="18"/>
      <c r="ABQ87" s="18"/>
      <c r="ABR87" s="18"/>
      <c r="ABS87" s="18"/>
      <c r="ABT87" s="18"/>
      <c r="ABU87" s="18"/>
      <c r="ABV87" s="18"/>
      <c r="ABW87" s="18"/>
      <c r="ABX87" s="18"/>
      <c r="ABY87" s="18"/>
      <c r="ABZ87" s="18"/>
      <c r="ACA87" s="18"/>
      <c r="ACB87" s="18"/>
      <c r="ACC87" s="18"/>
      <c r="ACD87" s="18"/>
      <c r="ACE87" s="18"/>
      <c r="ACF87" s="18"/>
      <c r="ACG87" s="18"/>
      <c r="ACH87" s="18"/>
      <c r="ACI87" s="18"/>
      <c r="ACJ87" s="18"/>
      <c r="ACK87" s="18"/>
      <c r="ACL87" s="18"/>
      <c r="ACM87" s="18"/>
      <c r="ACN87" s="18"/>
      <c r="ACO87" s="18"/>
      <c r="ACP87" s="18"/>
      <c r="ACQ87" s="18"/>
      <c r="ACR87" s="18"/>
      <c r="ACS87" s="18"/>
      <c r="ACT87" s="18"/>
      <c r="ACU87" s="18"/>
      <c r="ACV87" s="18"/>
      <c r="ACW87" s="18"/>
      <c r="ACX87" s="18"/>
      <c r="ACY87" s="18"/>
      <c r="ACZ87" s="18"/>
      <c r="ADA87" s="18"/>
      <c r="ADB87" s="18"/>
      <c r="ADC87" s="18"/>
      <c r="ADD87" s="18"/>
      <c r="ADE87" s="18"/>
      <c r="ADF87" s="18"/>
      <c r="ADG87" s="18"/>
      <c r="ADH87" s="18"/>
      <c r="ADI87" s="18"/>
      <c r="ADJ87" s="18"/>
      <c r="ADK87" s="18"/>
      <c r="ADL87" s="18"/>
      <c r="ADM87" s="18"/>
      <c r="ADN87" s="18"/>
      <c r="ADO87" s="18"/>
      <c r="ADP87" s="18"/>
      <c r="ADQ87" s="18"/>
      <c r="ADR87" s="18"/>
      <c r="ADS87" s="18"/>
      <c r="ADT87" s="18"/>
      <c r="ADU87" s="18"/>
      <c r="ADV87" s="18"/>
      <c r="ADW87" s="18"/>
      <c r="ADX87" s="18"/>
      <c r="ADY87" s="18"/>
      <c r="ADZ87" s="18"/>
      <c r="AEA87" s="18"/>
      <c r="AEB87" s="18"/>
      <c r="AEC87" s="18"/>
      <c r="AED87" s="18"/>
      <c r="AEE87" s="18"/>
      <c r="AEF87" s="18"/>
      <c r="AEG87" s="18"/>
      <c r="AEH87" s="18"/>
      <c r="AEI87" s="18"/>
      <c r="AEJ87" s="18"/>
      <c r="AEK87" s="18"/>
      <c r="AEL87" s="18"/>
      <c r="AEM87" s="18"/>
      <c r="AEN87" s="18"/>
      <c r="AEO87" s="18"/>
      <c r="AEP87" s="18"/>
      <c r="AEQ87" s="18"/>
      <c r="AER87" s="18"/>
      <c r="AES87" s="18"/>
      <c r="AET87" s="18"/>
      <c r="AEU87" s="18"/>
      <c r="AEV87" s="18"/>
      <c r="AEW87" s="18"/>
      <c r="AEX87" s="18"/>
      <c r="AEY87" s="18"/>
      <c r="AEZ87" s="18"/>
      <c r="AFA87" s="18"/>
      <c r="AFB87" s="18"/>
      <c r="AFC87" s="18"/>
      <c r="AFD87" s="18"/>
      <c r="AFE87" s="18"/>
      <c r="AFF87" s="18"/>
      <c r="AFG87" s="18"/>
      <c r="AFH87" s="18"/>
      <c r="AFI87" s="18"/>
      <c r="AFJ87" s="18"/>
      <c r="AFK87" s="18"/>
      <c r="AFL87" s="18"/>
      <c r="AFM87" s="18"/>
      <c r="AFN87" s="18"/>
      <c r="AFO87" s="18"/>
      <c r="AFP87" s="18"/>
      <c r="AFQ87" s="18"/>
      <c r="AFR87" s="18"/>
      <c r="AFS87" s="18"/>
      <c r="AFT87" s="18"/>
      <c r="AFU87" s="18"/>
      <c r="AFV87" s="18"/>
      <c r="AFW87" s="18"/>
      <c r="AFX87" s="18"/>
      <c r="AFY87" s="18"/>
      <c r="AFZ87" s="18"/>
      <c r="AGA87" s="18"/>
      <c r="AGB87" s="18"/>
      <c r="AGC87" s="18"/>
      <c r="AGD87" s="18"/>
      <c r="AGE87" s="18"/>
      <c r="AGF87" s="18"/>
      <c r="AGG87" s="18"/>
      <c r="AGH87" s="18"/>
      <c r="AGI87" s="18"/>
      <c r="AGJ87" s="18"/>
      <c r="AGK87" s="18"/>
      <c r="AGL87" s="18"/>
      <c r="AGM87" s="18"/>
      <c r="AGN87" s="18"/>
      <c r="AGO87" s="18"/>
      <c r="AGP87" s="18"/>
      <c r="AGQ87" s="18"/>
      <c r="AGR87" s="18"/>
      <c r="AGS87" s="18"/>
      <c r="AGT87" s="18"/>
      <c r="AGU87" s="18"/>
      <c r="AGV87" s="18"/>
      <c r="AGW87" s="18"/>
      <c r="AGX87" s="18"/>
      <c r="AGY87" s="18"/>
      <c r="AGZ87" s="18"/>
      <c r="AHA87" s="18"/>
      <c r="AHB87" s="18"/>
      <c r="AHC87" s="18"/>
      <c r="AHD87" s="18"/>
      <c r="AHE87" s="18"/>
      <c r="AHF87" s="18"/>
      <c r="AHG87" s="18"/>
      <c r="AHH87" s="18"/>
      <c r="AHI87" s="18"/>
      <c r="AHJ87" s="18"/>
      <c r="AHK87" s="18"/>
      <c r="AHL87" s="18"/>
      <c r="AHM87" s="18"/>
      <c r="AHN87" s="18"/>
      <c r="AHO87" s="18"/>
      <c r="AHP87" s="18"/>
      <c r="AHQ87" s="18"/>
      <c r="AHR87" s="18"/>
      <c r="AHS87" s="18"/>
      <c r="AHT87" s="18"/>
      <c r="AHU87" s="18"/>
      <c r="AHV87" s="18"/>
      <c r="AHW87" s="18"/>
      <c r="AHX87" s="18"/>
      <c r="AHY87" s="18"/>
      <c r="AHZ87" s="18"/>
      <c r="AIA87" s="18"/>
      <c r="AIB87" s="18"/>
      <c r="AIC87" s="18"/>
      <c r="AID87" s="18"/>
      <c r="AIE87" s="18"/>
      <c r="AIF87" s="18"/>
      <c r="AIG87" s="18"/>
      <c r="AIH87" s="18"/>
      <c r="AII87" s="18"/>
      <c r="AIJ87" s="18"/>
      <c r="AIK87" s="18"/>
      <c r="AIL87" s="18"/>
      <c r="AIM87" s="18"/>
      <c r="AIN87" s="18"/>
      <c r="AIO87" s="18"/>
      <c r="AIP87" s="18"/>
      <c r="AIQ87" s="18"/>
      <c r="AIR87" s="18"/>
      <c r="AIS87" s="18"/>
      <c r="AIT87" s="18"/>
      <c r="AIU87" s="18"/>
      <c r="AIV87" s="18"/>
      <c r="AIW87" s="18"/>
      <c r="AIX87" s="18"/>
      <c r="AIY87" s="18"/>
      <c r="AIZ87" s="18"/>
      <c r="AJA87" s="18"/>
      <c r="AJB87" s="18"/>
      <c r="AJC87" s="18"/>
      <c r="AJD87" s="18"/>
      <c r="AJE87" s="18"/>
      <c r="AJF87" s="18"/>
      <c r="AJG87" s="18"/>
      <c r="AJH87" s="18"/>
      <c r="AJI87" s="18"/>
      <c r="AJJ87" s="18"/>
      <c r="AJK87" s="18"/>
      <c r="AJL87" s="18"/>
      <c r="AJM87" s="18"/>
      <c r="AJN87" s="18"/>
      <c r="AJO87" s="18"/>
      <c r="AJP87" s="18"/>
      <c r="AJQ87" s="18"/>
      <c r="AJR87" s="18"/>
      <c r="AJS87" s="18"/>
      <c r="AJT87" s="18"/>
      <c r="AJU87" s="18"/>
      <c r="AJV87" s="18"/>
      <c r="AJW87" s="18"/>
      <c r="AJX87" s="18"/>
      <c r="AJY87" s="18"/>
      <c r="AJZ87" s="18"/>
      <c r="AKA87" s="18"/>
      <c r="AKB87" s="18"/>
      <c r="AKC87" s="18"/>
      <c r="AKD87" s="18"/>
      <c r="AKE87" s="18"/>
      <c r="AKF87" s="18"/>
      <c r="AKG87" s="18"/>
      <c r="AKH87" s="18"/>
      <c r="AKI87" s="18"/>
      <c r="AKJ87" s="18"/>
      <c r="AKK87" s="18"/>
      <c r="AKL87" s="18"/>
      <c r="AKM87" s="18"/>
      <c r="AKN87" s="18"/>
      <c r="AKO87" s="18"/>
      <c r="AKP87" s="18"/>
      <c r="AKQ87" s="18"/>
      <c r="AKR87" s="18"/>
      <c r="AKS87" s="18"/>
      <c r="AKT87" s="18"/>
      <c r="AKU87" s="18"/>
      <c r="AKV87" s="18"/>
      <c r="AKW87" s="18"/>
      <c r="AKX87" s="18"/>
      <c r="AKY87" s="18"/>
      <c r="AKZ87" s="18"/>
      <c r="ALA87" s="18"/>
      <c r="ALB87" s="18"/>
      <c r="ALC87" s="18"/>
      <c r="ALD87" s="18"/>
      <c r="ALE87" s="18"/>
      <c r="ALF87" s="18"/>
      <c r="ALG87" s="18"/>
      <c r="ALH87" s="18"/>
      <c r="ALI87" s="18"/>
      <c r="ALJ87" s="18"/>
      <c r="ALK87" s="18"/>
      <c r="ALL87" s="18"/>
      <c r="ALM87" s="18"/>
      <c r="ALN87" s="18"/>
      <c r="ALO87" s="18"/>
      <c r="ALP87" s="18"/>
      <c r="ALQ87" s="18"/>
      <c r="ALR87" s="18"/>
      <c r="ALS87" s="18"/>
      <c r="ALT87" s="18"/>
      <c r="ALU87" s="18"/>
      <c r="ALV87" s="18"/>
      <c r="ALW87" s="18"/>
      <c r="ALX87" s="18"/>
      <c r="ALY87" s="18"/>
      <c r="ALZ87" s="18"/>
      <c r="AMA87" s="18"/>
      <c r="AMB87" s="18"/>
      <c r="AMC87" s="18"/>
      <c r="AMD87" s="18"/>
      <c r="AME87" s="18"/>
      <c r="AMF87" s="18"/>
      <c r="AMG87" s="18"/>
      <c r="AMH87" s="18"/>
    </row>
    <row r="88" spans="1:1022" s="23" customFormat="1" x14ac:dyDescent="0.3">
      <c r="A88" s="33">
        <v>184</v>
      </c>
      <c r="B88" s="19"/>
      <c r="C88" s="19"/>
      <c r="D88" s="34" t="s">
        <v>357</v>
      </c>
      <c r="E88" s="34" t="s">
        <v>507</v>
      </c>
      <c r="F88" s="43">
        <v>72</v>
      </c>
      <c r="G88" s="19"/>
      <c r="H88" s="38" t="s">
        <v>281</v>
      </c>
      <c r="I88" s="31"/>
      <c r="J88" s="31"/>
      <c r="K88" s="31"/>
      <c r="L88" s="31"/>
      <c r="M88" s="32"/>
      <c r="N88" s="32"/>
      <c r="O88" s="18"/>
      <c r="P88" s="36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18"/>
      <c r="BK88" s="18"/>
      <c r="BL88" s="18"/>
      <c r="BM88" s="18"/>
      <c r="BN88" s="18"/>
      <c r="BO88" s="18"/>
      <c r="BP88" s="18"/>
      <c r="BQ88" s="18"/>
      <c r="BR88" s="18"/>
      <c r="BS88" s="18"/>
      <c r="BT88" s="18"/>
      <c r="BU88" s="18"/>
      <c r="BV88" s="18"/>
      <c r="BW88" s="18"/>
      <c r="BX88" s="18"/>
      <c r="BY88" s="18"/>
      <c r="BZ88" s="18"/>
      <c r="CA88" s="18"/>
      <c r="CB88" s="18"/>
      <c r="CC88" s="18"/>
      <c r="CD88" s="18"/>
      <c r="CE88" s="18"/>
      <c r="CF88" s="18"/>
      <c r="CG88" s="18"/>
      <c r="CH88" s="18"/>
      <c r="CI88" s="18"/>
      <c r="CJ88" s="18"/>
      <c r="CK88" s="18"/>
      <c r="CL88" s="18"/>
      <c r="CM88" s="18"/>
      <c r="CN88" s="18"/>
      <c r="CO88" s="18"/>
      <c r="CP88" s="18"/>
      <c r="CQ88" s="18"/>
      <c r="CR88" s="18"/>
      <c r="CS88" s="18"/>
      <c r="CT88" s="18"/>
      <c r="CU88" s="18"/>
      <c r="CV88" s="18"/>
      <c r="CW88" s="18"/>
      <c r="CX88" s="18"/>
      <c r="CY88" s="18"/>
      <c r="CZ88" s="18"/>
      <c r="DA88" s="18"/>
      <c r="DB88" s="18"/>
      <c r="DC88" s="18"/>
      <c r="DD88" s="18"/>
      <c r="DE88" s="18"/>
      <c r="DF88" s="18"/>
      <c r="DG88" s="18"/>
      <c r="DH88" s="18"/>
      <c r="DI88" s="18"/>
      <c r="DJ88" s="18"/>
      <c r="DK88" s="18"/>
      <c r="DL88" s="18"/>
      <c r="DM88" s="18"/>
      <c r="DN88" s="18"/>
      <c r="DO88" s="18"/>
      <c r="DP88" s="18"/>
      <c r="DQ88" s="18"/>
      <c r="DR88" s="18"/>
      <c r="DS88" s="18"/>
      <c r="DT88" s="18"/>
      <c r="DU88" s="18"/>
      <c r="DV88" s="18"/>
      <c r="DW88" s="18"/>
      <c r="DX88" s="18"/>
      <c r="DY88" s="18"/>
      <c r="DZ88" s="18"/>
      <c r="EA88" s="18"/>
      <c r="EB88" s="18"/>
      <c r="EC88" s="18"/>
      <c r="ED88" s="18"/>
      <c r="EE88" s="18"/>
      <c r="EF88" s="18"/>
      <c r="EG88" s="18"/>
      <c r="EH88" s="18"/>
      <c r="EI88" s="18"/>
      <c r="EJ88" s="18"/>
      <c r="EK88" s="18"/>
      <c r="EL88" s="18"/>
      <c r="EM88" s="18"/>
      <c r="EN88" s="18"/>
      <c r="EO88" s="18"/>
      <c r="EP88" s="18"/>
      <c r="EQ88" s="18"/>
      <c r="ER88" s="18"/>
      <c r="ES88" s="18"/>
      <c r="ET88" s="18"/>
      <c r="EU88" s="18"/>
      <c r="EV88" s="18"/>
      <c r="EW88" s="18"/>
      <c r="EX88" s="18"/>
      <c r="EY88" s="18"/>
      <c r="EZ88" s="18"/>
      <c r="FA88" s="18"/>
      <c r="FB88" s="18"/>
      <c r="FC88" s="18"/>
      <c r="FD88" s="18"/>
      <c r="FE88" s="18"/>
      <c r="FF88" s="18"/>
      <c r="FG88" s="18"/>
      <c r="FH88" s="18"/>
      <c r="FI88" s="18"/>
      <c r="FJ88" s="18"/>
      <c r="FK88" s="18"/>
      <c r="FL88" s="18"/>
      <c r="FM88" s="18"/>
      <c r="FN88" s="18"/>
      <c r="FO88" s="18"/>
      <c r="FP88" s="18"/>
      <c r="FQ88" s="18"/>
      <c r="FR88" s="18"/>
      <c r="FS88" s="18"/>
      <c r="FT88" s="18"/>
      <c r="FU88" s="18"/>
      <c r="FV88" s="18"/>
      <c r="FW88" s="18"/>
      <c r="FX88" s="18"/>
      <c r="FY88" s="18"/>
      <c r="FZ88" s="18"/>
      <c r="GA88" s="18"/>
      <c r="GB88" s="18"/>
      <c r="GC88" s="18"/>
      <c r="GD88" s="18"/>
      <c r="GE88" s="18"/>
      <c r="GF88" s="18"/>
      <c r="GG88" s="18"/>
      <c r="GH88" s="18"/>
      <c r="GI88" s="18"/>
      <c r="GJ88" s="18"/>
      <c r="GK88" s="18"/>
      <c r="GL88" s="18"/>
      <c r="GM88" s="18"/>
      <c r="GN88" s="18"/>
      <c r="GO88" s="18"/>
      <c r="GP88" s="18"/>
      <c r="GQ88" s="18"/>
      <c r="GR88" s="18"/>
      <c r="GS88" s="18"/>
      <c r="GT88" s="18"/>
      <c r="GU88" s="18"/>
      <c r="GV88" s="18"/>
      <c r="GW88" s="18"/>
      <c r="GX88" s="18"/>
      <c r="GY88" s="18"/>
      <c r="GZ88" s="18"/>
      <c r="HA88" s="18"/>
      <c r="HB88" s="18"/>
      <c r="HC88" s="18"/>
      <c r="HD88" s="18"/>
      <c r="HE88" s="18"/>
      <c r="HF88" s="18"/>
      <c r="HG88" s="18"/>
      <c r="HH88" s="18"/>
      <c r="HI88" s="18"/>
      <c r="HJ88" s="18"/>
      <c r="HK88" s="18"/>
      <c r="HL88" s="18"/>
      <c r="HM88" s="18"/>
      <c r="HN88" s="18"/>
      <c r="HO88" s="18"/>
      <c r="HP88" s="18"/>
      <c r="HQ88" s="18"/>
      <c r="HR88" s="18"/>
      <c r="HS88" s="18"/>
      <c r="HT88" s="18"/>
      <c r="HU88" s="18"/>
      <c r="HV88" s="18"/>
      <c r="HW88" s="18"/>
      <c r="HX88" s="18"/>
      <c r="HY88" s="18"/>
      <c r="HZ88" s="18"/>
      <c r="IA88" s="18"/>
      <c r="IB88" s="18"/>
      <c r="IC88" s="18"/>
      <c r="ID88" s="18"/>
      <c r="IE88" s="18"/>
      <c r="IF88" s="18"/>
      <c r="IG88" s="18"/>
      <c r="IH88" s="18"/>
      <c r="II88" s="18"/>
      <c r="IJ88" s="18"/>
      <c r="IK88" s="18"/>
      <c r="IL88" s="18"/>
      <c r="IM88" s="18"/>
      <c r="IN88" s="18"/>
      <c r="IO88" s="18"/>
      <c r="IP88" s="18"/>
      <c r="IQ88" s="18"/>
      <c r="IR88" s="18"/>
      <c r="IS88" s="18"/>
      <c r="IT88" s="18"/>
      <c r="IU88" s="18"/>
      <c r="IV88" s="18"/>
      <c r="IW88" s="18"/>
      <c r="IX88" s="18"/>
      <c r="IY88" s="18"/>
      <c r="IZ88" s="18"/>
      <c r="JA88" s="18"/>
      <c r="JB88" s="18"/>
      <c r="JC88" s="18"/>
      <c r="JD88" s="18"/>
      <c r="JE88" s="18"/>
      <c r="JF88" s="18"/>
      <c r="JG88" s="18"/>
      <c r="JH88" s="18"/>
      <c r="JI88" s="18"/>
      <c r="JJ88" s="18"/>
      <c r="JK88" s="18"/>
      <c r="JL88" s="18"/>
      <c r="JM88" s="18"/>
      <c r="JN88" s="18"/>
      <c r="JO88" s="18"/>
      <c r="JP88" s="18"/>
      <c r="JQ88" s="18"/>
      <c r="JR88" s="18"/>
      <c r="JS88" s="18"/>
      <c r="JT88" s="18"/>
      <c r="JU88" s="18"/>
      <c r="JV88" s="18"/>
      <c r="JW88" s="18"/>
      <c r="JX88" s="18"/>
      <c r="JY88" s="18"/>
      <c r="JZ88" s="18"/>
      <c r="KA88" s="18"/>
      <c r="KB88" s="18"/>
      <c r="KC88" s="18"/>
      <c r="KD88" s="18"/>
      <c r="KE88" s="18"/>
      <c r="KF88" s="18"/>
      <c r="KG88" s="18"/>
      <c r="KH88" s="18"/>
      <c r="KI88" s="18"/>
      <c r="KJ88" s="18"/>
      <c r="KK88" s="18"/>
      <c r="KL88" s="18"/>
      <c r="KM88" s="18"/>
      <c r="KN88" s="18"/>
      <c r="KO88" s="18"/>
      <c r="KP88" s="18"/>
      <c r="KQ88" s="18"/>
      <c r="KR88" s="18"/>
      <c r="KS88" s="18"/>
      <c r="KT88" s="18"/>
      <c r="KU88" s="18"/>
      <c r="KV88" s="18"/>
      <c r="KW88" s="18"/>
      <c r="KX88" s="18"/>
      <c r="KY88" s="18"/>
      <c r="KZ88" s="18"/>
      <c r="LA88" s="18"/>
      <c r="LB88" s="18"/>
      <c r="LC88" s="18"/>
      <c r="LD88" s="18"/>
      <c r="LE88" s="18"/>
      <c r="LF88" s="18"/>
      <c r="LG88" s="18"/>
      <c r="LH88" s="18"/>
      <c r="LI88" s="18"/>
      <c r="LJ88" s="18"/>
      <c r="LK88" s="18"/>
      <c r="LL88" s="18"/>
      <c r="LM88" s="18"/>
      <c r="LN88" s="18"/>
      <c r="LO88" s="18"/>
      <c r="LP88" s="18"/>
      <c r="LQ88" s="18"/>
      <c r="LR88" s="18"/>
      <c r="LS88" s="18"/>
      <c r="LT88" s="18"/>
      <c r="LU88" s="18"/>
      <c r="LV88" s="18"/>
      <c r="LW88" s="18"/>
      <c r="LX88" s="18"/>
      <c r="LY88" s="18"/>
      <c r="LZ88" s="18"/>
      <c r="MA88" s="18"/>
      <c r="MB88" s="18"/>
      <c r="MC88" s="18"/>
      <c r="MD88" s="18"/>
      <c r="ME88" s="18"/>
      <c r="MF88" s="18"/>
      <c r="MG88" s="18"/>
      <c r="MH88" s="18"/>
      <c r="MI88" s="18"/>
      <c r="MJ88" s="18"/>
      <c r="MK88" s="18"/>
      <c r="ML88" s="18"/>
      <c r="MM88" s="18"/>
      <c r="MN88" s="18"/>
      <c r="MO88" s="18"/>
      <c r="MP88" s="18"/>
      <c r="MQ88" s="18"/>
      <c r="MR88" s="18"/>
      <c r="MS88" s="18"/>
      <c r="MT88" s="18"/>
      <c r="MU88" s="18"/>
      <c r="MV88" s="18"/>
      <c r="MW88" s="18"/>
      <c r="MX88" s="18"/>
      <c r="MY88" s="18"/>
      <c r="MZ88" s="18"/>
      <c r="NA88" s="18"/>
      <c r="NB88" s="18"/>
      <c r="NC88" s="18"/>
      <c r="ND88" s="18"/>
      <c r="NE88" s="18"/>
      <c r="NF88" s="18"/>
      <c r="NG88" s="18"/>
      <c r="NH88" s="18"/>
      <c r="NI88" s="18"/>
      <c r="NJ88" s="18"/>
      <c r="NK88" s="18"/>
      <c r="NL88" s="18"/>
      <c r="NM88" s="18"/>
      <c r="NN88" s="18"/>
      <c r="NO88" s="18"/>
      <c r="NP88" s="18"/>
      <c r="NQ88" s="18"/>
      <c r="NR88" s="18"/>
      <c r="NS88" s="18"/>
      <c r="NT88" s="18"/>
      <c r="NU88" s="18"/>
      <c r="NV88" s="18"/>
      <c r="NW88" s="18"/>
      <c r="NX88" s="18"/>
      <c r="NY88" s="18"/>
      <c r="NZ88" s="18"/>
      <c r="OA88" s="18"/>
      <c r="OB88" s="18"/>
      <c r="OC88" s="18"/>
      <c r="OD88" s="18"/>
      <c r="OE88" s="18"/>
      <c r="OF88" s="18"/>
      <c r="OG88" s="18"/>
      <c r="OH88" s="18"/>
      <c r="OI88" s="18"/>
      <c r="OJ88" s="18"/>
      <c r="OK88" s="18"/>
      <c r="OL88" s="18"/>
      <c r="OM88" s="18"/>
      <c r="ON88" s="18"/>
      <c r="OO88" s="18"/>
      <c r="OP88" s="18"/>
      <c r="OQ88" s="18"/>
      <c r="OR88" s="18"/>
      <c r="OS88" s="18"/>
      <c r="OT88" s="18"/>
      <c r="OU88" s="18"/>
      <c r="OV88" s="18"/>
      <c r="OW88" s="18"/>
      <c r="OX88" s="18"/>
      <c r="OY88" s="18"/>
      <c r="OZ88" s="18"/>
      <c r="PA88" s="18"/>
      <c r="PB88" s="18"/>
      <c r="PC88" s="18"/>
      <c r="PD88" s="18"/>
      <c r="PE88" s="18"/>
      <c r="PF88" s="18"/>
      <c r="PG88" s="18"/>
      <c r="PH88" s="18"/>
      <c r="PI88" s="18"/>
      <c r="PJ88" s="18"/>
      <c r="PK88" s="18"/>
      <c r="PL88" s="18"/>
      <c r="PM88" s="18"/>
      <c r="PN88" s="18"/>
      <c r="PO88" s="18"/>
      <c r="PP88" s="18"/>
      <c r="PQ88" s="18"/>
      <c r="PR88" s="18"/>
      <c r="PS88" s="18"/>
      <c r="PT88" s="18"/>
      <c r="PU88" s="18"/>
      <c r="PV88" s="18"/>
      <c r="PW88" s="18"/>
      <c r="PX88" s="18"/>
      <c r="PY88" s="18"/>
      <c r="PZ88" s="18"/>
      <c r="QA88" s="18"/>
      <c r="QB88" s="18"/>
      <c r="QC88" s="18"/>
      <c r="QD88" s="18"/>
      <c r="QE88" s="18"/>
      <c r="QF88" s="18"/>
      <c r="QG88" s="18"/>
      <c r="QH88" s="18"/>
      <c r="QI88" s="18"/>
      <c r="QJ88" s="18"/>
      <c r="QK88" s="18"/>
      <c r="QL88" s="18"/>
      <c r="QM88" s="18"/>
      <c r="QN88" s="18"/>
      <c r="QO88" s="18"/>
      <c r="QP88" s="18"/>
      <c r="QQ88" s="18"/>
      <c r="QR88" s="18"/>
      <c r="QS88" s="18"/>
      <c r="QT88" s="18"/>
      <c r="QU88" s="18"/>
      <c r="QV88" s="18"/>
      <c r="QW88" s="18"/>
      <c r="QX88" s="18"/>
      <c r="QY88" s="18"/>
      <c r="QZ88" s="18"/>
      <c r="RA88" s="18"/>
      <c r="RB88" s="18"/>
      <c r="RC88" s="18"/>
      <c r="RD88" s="18"/>
      <c r="RE88" s="18"/>
      <c r="RF88" s="18"/>
      <c r="RG88" s="18"/>
      <c r="RH88" s="18"/>
      <c r="RI88" s="18"/>
      <c r="RJ88" s="18"/>
      <c r="RK88" s="18"/>
      <c r="RL88" s="18"/>
      <c r="RM88" s="18"/>
      <c r="RN88" s="18"/>
      <c r="RO88" s="18"/>
      <c r="RP88" s="18"/>
      <c r="RQ88" s="18"/>
      <c r="RR88" s="18"/>
      <c r="RS88" s="18"/>
      <c r="RT88" s="18"/>
      <c r="RU88" s="18"/>
      <c r="RV88" s="18"/>
      <c r="RW88" s="18"/>
      <c r="RX88" s="18"/>
      <c r="RY88" s="18"/>
      <c r="RZ88" s="18"/>
      <c r="SA88" s="18"/>
      <c r="SB88" s="18"/>
      <c r="SC88" s="18"/>
      <c r="SD88" s="18"/>
      <c r="SE88" s="18"/>
      <c r="SF88" s="18"/>
      <c r="SG88" s="18"/>
      <c r="SH88" s="18"/>
      <c r="SI88" s="18"/>
      <c r="SJ88" s="18"/>
      <c r="SK88" s="18"/>
      <c r="SL88" s="18"/>
      <c r="SM88" s="18"/>
      <c r="SN88" s="18"/>
      <c r="SO88" s="18"/>
      <c r="SP88" s="18"/>
      <c r="SQ88" s="18"/>
      <c r="SR88" s="18"/>
      <c r="SS88" s="18"/>
      <c r="ST88" s="18"/>
      <c r="SU88" s="18"/>
      <c r="SV88" s="18"/>
      <c r="SW88" s="18"/>
      <c r="SX88" s="18"/>
      <c r="SY88" s="18"/>
      <c r="SZ88" s="18"/>
      <c r="TA88" s="18"/>
      <c r="TB88" s="18"/>
      <c r="TC88" s="18"/>
      <c r="TD88" s="18"/>
      <c r="TE88" s="18"/>
      <c r="TF88" s="18"/>
      <c r="TG88" s="18"/>
      <c r="TH88" s="18"/>
      <c r="TI88" s="18"/>
      <c r="TJ88" s="18"/>
      <c r="TK88" s="18"/>
      <c r="TL88" s="18"/>
      <c r="TM88" s="18"/>
      <c r="TN88" s="18"/>
      <c r="TO88" s="18"/>
      <c r="TP88" s="18"/>
      <c r="TQ88" s="18"/>
      <c r="TR88" s="18"/>
      <c r="TS88" s="18"/>
      <c r="TT88" s="18"/>
      <c r="TU88" s="18"/>
      <c r="TV88" s="18"/>
      <c r="TW88" s="18"/>
      <c r="TX88" s="18"/>
      <c r="TY88" s="18"/>
      <c r="TZ88" s="18"/>
      <c r="UA88" s="18"/>
      <c r="UB88" s="18"/>
      <c r="UC88" s="18"/>
      <c r="UD88" s="18"/>
      <c r="UE88" s="18"/>
      <c r="UF88" s="18"/>
      <c r="UG88" s="18"/>
      <c r="UH88" s="18"/>
      <c r="UI88" s="18"/>
      <c r="UJ88" s="18"/>
      <c r="UK88" s="18"/>
      <c r="UL88" s="18"/>
      <c r="UM88" s="18"/>
      <c r="UN88" s="18"/>
      <c r="UO88" s="18"/>
      <c r="UP88" s="18"/>
      <c r="UQ88" s="18"/>
      <c r="UR88" s="18"/>
      <c r="US88" s="18"/>
      <c r="UT88" s="18"/>
      <c r="UU88" s="18"/>
      <c r="UV88" s="18"/>
      <c r="UW88" s="18"/>
      <c r="UX88" s="18"/>
      <c r="UY88" s="18"/>
      <c r="UZ88" s="18"/>
      <c r="VA88" s="18"/>
      <c r="VB88" s="18"/>
      <c r="VC88" s="18"/>
      <c r="VD88" s="18"/>
      <c r="VE88" s="18"/>
      <c r="VF88" s="18"/>
      <c r="VG88" s="18"/>
      <c r="VH88" s="18"/>
      <c r="VI88" s="18"/>
      <c r="VJ88" s="18"/>
      <c r="VK88" s="18"/>
      <c r="VL88" s="18"/>
      <c r="VM88" s="18"/>
      <c r="VN88" s="18"/>
      <c r="VO88" s="18"/>
      <c r="VP88" s="18"/>
      <c r="VQ88" s="18"/>
      <c r="VR88" s="18"/>
      <c r="VS88" s="18"/>
      <c r="VT88" s="18"/>
      <c r="VU88" s="18"/>
      <c r="VV88" s="18"/>
      <c r="VW88" s="18"/>
      <c r="VX88" s="18"/>
      <c r="VY88" s="18"/>
      <c r="VZ88" s="18"/>
      <c r="WA88" s="18"/>
      <c r="WB88" s="18"/>
      <c r="WC88" s="18"/>
      <c r="WD88" s="18"/>
      <c r="WE88" s="18"/>
      <c r="WF88" s="18"/>
      <c r="WG88" s="18"/>
      <c r="WH88" s="18"/>
      <c r="WI88" s="18"/>
      <c r="WJ88" s="18"/>
      <c r="WK88" s="18"/>
      <c r="WL88" s="18"/>
      <c r="WM88" s="18"/>
      <c r="WN88" s="18"/>
      <c r="WO88" s="18"/>
      <c r="WP88" s="18"/>
      <c r="WQ88" s="18"/>
      <c r="WR88" s="18"/>
      <c r="WS88" s="18"/>
      <c r="WT88" s="18"/>
      <c r="WU88" s="18"/>
      <c r="WV88" s="18"/>
      <c r="WW88" s="18"/>
      <c r="WX88" s="18"/>
      <c r="WY88" s="18"/>
      <c r="WZ88" s="18"/>
      <c r="XA88" s="18"/>
      <c r="XB88" s="18"/>
      <c r="XC88" s="18"/>
      <c r="XD88" s="18"/>
      <c r="XE88" s="18"/>
      <c r="XF88" s="18"/>
      <c r="XG88" s="18"/>
      <c r="XH88" s="18"/>
      <c r="XI88" s="18"/>
      <c r="XJ88" s="18"/>
      <c r="XK88" s="18"/>
      <c r="XL88" s="18"/>
      <c r="XM88" s="18"/>
      <c r="XN88" s="18"/>
      <c r="XO88" s="18"/>
      <c r="XP88" s="18"/>
      <c r="XQ88" s="18"/>
      <c r="XR88" s="18"/>
      <c r="XS88" s="18"/>
      <c r="XT88" s="18"/>
      <c r="XU88" s="18"/>
      <c r="XV88" s="18"/>
      <c r="XW88" s="18"/>
      <c r="XX88" s="18"/>
      <c r="XY88" s="18"/>
      <c r="XZ88" s="18"/>
      <c r="YA88" s="18"/>
      <c r="YB88" s="18"/>
      <c r="YC88" s="18"/>
      <c r="YD88" s="18"/>
      <c r="YE88" s="18"/>
      <c r="YF88" s="18"/>
      <c r="YG88" s="18"/>
      <c r="YH88" s="18"/>
      <c r="YI88" s="18"/>
      <c r="YJ88" s="18"/>
      <c r="YK88" s="18"/>
      <c r="YL88" s="18"/>
      <c r="YM88" s="18"/>
      <c r="YN88" s="18"/>
      <c r="YO88" s="18"/>
      <c r="YP88" s="18"/>
      <c r="YQ88" s="18"/>
      <c r="YR88" s="18"/>
      <c r="YS88" s="18"/>
      <c r="YT88" s="18"/>
      <c r="YU88" s="18"/>
      <c r="YV88" s="18"/>
      <c r="YW88" s="18"/>
      <c r="YX88" s="18"/>
      <c r="YY88" s="18"/>
      <c r="YZ88" s="18"/>
      <c r="ZA88" s="18"/>
      <c r="ZB88" s="18"/>
      <c r="ZC88" s="18"/>
      <c r="ZD88" s="18"/>
      <c r="ZE88" s="18"/>
      <c r="ZF88" s="18"/>
      <c r="ZG88" s="18"/>
      <c r="ZH88" s="18"/>
      <c r="ZI88" s="18"/>
      <c r="ZJ88" s="18"/>
      <c r="ZK88" s="18"/>
      <c r="ZL88" s="18"/>
      <c r="ZM88" s="18"/>
      <c r="ZN88" s="18"/>
      <c r="ZO88" s="18"/>
      <c r="ZP88" s="18"/>
      <c r="ZQ88" s="18"/>
      <c r="ZR88" s="18"/>
      <c r="ZS88" s="18"/>
      <c r="ZT88" s="18"/>
      <c r="ZU88" s="18"/>
      <c r="ZV88" s="18"/>
      <c r="ZW88" s="18"/>
      <c r="ZX88" s="18"/>
      <c r="ZY88" s="18"/>
      <c r="ZZ88" s="18"/>
      <c r="AAA88" s="18"/>
      <c r="AAB88" s="18"/>
      <c r="AAC88" s="18"/>
      <c r="AAD88" s="18"/>
      <c r="AAE88" s="18"/>
      <c r="AAF88" s="18"/>
      <c r="AAG88" s="18"/>
      <c r="AAH88" s="18"/>
      <c r="AAI88" s="18"/>
      <c r="AAJ88" s="18"/>
      <c r="AAK88" s="18"/>
      <c r="AAL88" s="18"/>
      <c r="AAM88" s="18"/>
      <c r="AAN88" s="18"/>
      <c r="AAO88" s="18"/>
      <c r="AAP88" s="18"/>
      <c r="AAQ88" s="18"/>
      <c r="AAR88" s="18"/>
      <c r="AAS88" s="18"/>
      <c r="AAT88" s="18"/>
      <c r="AAU88" s="18"/>
      <c r="AAV88" s="18"/>
      <c r="AAW88" s="18"/>
      <c r="AAX88" s="18"/>
      <c r="AAY88" s="18"/>
      <c r="AAZ88" s="18"/>
      <c r="ABA88" s="18"/>
      <c r="ABB88" s="18"/>
      <c r="ABC88" s="18"/>
      <c r="ABD88" s="18"/>
      <c r="ABE88" s="18"/>
      <c r="ABF88" s="18"/>
      <c r="ABG88" s="18"/>
      <c r="ABH88" s="18"/>
      <c r="ABI88" s="18"/>
      <c r="ABJ88" s="18"/>
      <c r="ABK88" s="18"/>
      <c r="ABL88" s="18"/>
      <c r="ABM88" s="18"/>
      <c r="ABN88" s="18"/>
      <c r="ABO88" s="18"/>
      <c r="ABP88" s="18"/>
      <c r="ABQ88" s="18"/>
      <c r="ABR88" s="18"/>
      <c r="ABS88" s="18"/>
      <c r="ABT88" s="18"/>
      <c r="ABU88" s="18"/>
      <c r="ABV88" s="18"/>
      <c r="ABW88" s="18"/>
      <c r="ABX88" s="18"/>
      <c r="ABY88" s="18"/>
      <c r="ABZ88" s="18"/>
      <c r="ACA88" s="18"/>
      <c r="ACB88" s="18"/>
      <c r="ACC88" s="18"/>
      <c r="ACD88" s="18"/>
      <c r="ACE88" s="18"/>
      <c r="ACF88" s="18"/>
      <c r="ACG88" s="18"/>
      <c r="ACH88" s="18"/>
      <c r="ACI88" s="18"/>
      <c r="ACJ88" s="18"/>
      <c r="ACK88" s="18"/>
      <c r="ACL88" s="18"/>
      <c r="ACM88" s="18"/>
      <c r="ACN88" s="18"/>
      <c r="ACO88" s="18"/>
      <c r="ACP88" s="18"/>
      <c r="ACQ88" s="18"/>
      <c r="ACR88" s="18"/>
      <c r="ACS88" s="18"/>
      <c r="ACT88" s="18"/>
      <c r="ACU88" s="18"/>
      <c r="ACV88" s="18"/>
      <c r="ACW88" s="18"/>
      <c r="ACX88" s="18"/>
      <c r="ACY88" s="18"/>
      <c r="ACZ88" s="18"/>
      <c r="ADA88" s="18"/>
      <c r="ADB88" s="18"/>
      <c r="ADC88" s="18"/>
      <c r="ADD88" s="18"/>
      <c r="ADE88" s="18"/>
      <c r="ADF88" s="18"/>
      <c r="ADG88" s="18"/>
      <c r="ADH88" s="18"/>
      <c r="ADI88" s="18"/>
      <c r="ADJ88" s="18"/>
      <c r="ADK88" s="18"/>
      <c r="ADL88" s="18"/>
      <c r="ADM88" s="18"/>
      <c r="ADN88" s="18"/>
      <c r="ADO88" s="18"/>
      <c r="ADP88" s="18"/>
      <c r="ADQ88" s="18"/>
      <c r="ADR88" s="18"/>
      <c r="ADS88" s="18"/>
      <c r="ADT88" s="18"/>
      <c r="ADU88" s="18"/>
      <c r="ADV88" s="18"/>
      <c r="ADW88" s="18"/>
      <c r="ADX88" s="18"/>
      <c r="ADY88" s="18"/>
      <c r="ADZ88" s="18"/>
      <c r="AEA88" s="18"/>
      <c r="AEB88" s="18"/>
      <c r="AEC88" s="18"/>
      <c r="AED88" s="18"/>
      <c r="AEE88" s="18"/>
      <c r="AEF88" s="18"/>
      <c r="AEG88" s="18"/>
      <c r="AEH88" s="18"/>
      <c r="AEI88" s="18"/>
      <c r="AEJ88" s="18"/>
      <c r="AEK88" s="18"/>
      <c r="AEL88" s="18"/>
      <c r="AEM88" s="18"/>
      <c r="AEN88" s="18"/>
      <c r="AEO88" s="18"/>
      <c r="AEP88" s="18"/>
      <c r="AEQ88" s="18"/>
      <c r="AER88" s="18"/>
      <c r="AES88" s="18"/>
      <c r="AET88" s="18"/>
      <c r="AEU88" s="18"/>
      <c r="AEV88" s="18"/>
      <c r="AEW88" s="18"/>
      <c r="AEX88" s="18"/>
      <c r="AEY88" s="18"/>
      <c r="AEZ88" s="18"/>
      <c r="AFA88" s="18"/>
      <c r="AFB88" s="18"/>
      <c r="AFC88" s="18"/>
      <c r="AFD88" s="18"/>
      <c r="AFE88" s="18"/>
      <c r="AFF88" s="18"/>
      <c r="AFG88" s="18"/>
      <c r="AFH88" s="18"/>
      <c r="AFI88" s="18"/>
      <c r="AFJ88" s="18"/>
      <c r="AFK88" s="18"/>
      <c r="AFL88" s="18"/>
      <c r="AFM88" s="18"/>
      <c r="AFN88" s="18"/>
      <c r="AFO88" s="18"/>
      <c r="AFP88" s="18"/>
      <c r="AFQ88" s="18"/>
      <c r="AFR88" s="18"/>
      <c r="AFS88" s="18"/>
      <c r="AFT88" s="18"/>
      <c r="AFU88" s="18"/>
      <c r="AFV88" s="18"/>
      <c r="AFW88" s="18"/>
      <c r="AFX88" s="18"/>
      <c r="AFY88" s="18"/>
      <c r="AFZ88" s="18"/>
      <c r="AGA88" s="18"/>
      <c r="AGB88" s="18"/>
      <c r="AGC88" s="18"/>
      <c r="AGD88" s="18"/>
      <c r="AGE88" s="18"/>
      <c r="AGF88" s="18"/>
      <c r="AGG88" s="18"/>
      <c r="AGH88" s="18"/>
      <c r="AGI88" s="18"/>
      <c r="AGJ88" s="18"/>
      <c r="AGK88" s="18"/>
      <c r="AGL88" s="18"/>
      <c r="AGM88" s="18"/>
      <c r="AGN88" s="18"/>
      <c r="AGO88" s="18"/>
      <c r="AGP88" s="18"/>
      <c r="AGQ88" s="18"/>
      <c r="AGR88" s="18"/>
      <c r="AGS88" s="18"/>
      <c r="AGT88" s="18"/>
      <c r="AGU88" s="18"/>
      <c r="AGV88" s="18"/>
      <c r="AGW88" s="18"/>
      <c r="AGX88" s="18"/>
      <c r="AGY88" s="18"/>
      <c r="AGZ88" s="18"/>
      <c r="AHA88" s="18"/>
      <c r="AHB88" s="18"/>
      <c r="AHC88" s="18"/>
      <c r="AHD88" s="18"/>
      <c r="AHE88" s="18"/>
      <c r="AHF88" s="18"/>
      <c r="AHG88" s="18"/>
      <c r="AHH88" s="18"/>
      <c r="AHI88" s="18"/>
      <c r="AHJ88" s="18"/>
      <c r="AHK88" s="18"/>
      <c r="AHL88" s="18"/>
      <c r="AHM88" s="18"/>
      <c r="AHN88" s="18"/>
      <c r="AHO88" s="18"/>
      <c r="AHP88" s="18"/>
      <c r="AHQ88" s="18"/>
      <c r="AHR88" s="18"/>
      <c r="AHS88" s="18"/>
      <c r="AHT88" s="18"/>
      <c r="AHU88" s="18"/>
      <c r="AHV88" s="18"/>
      <c r="AHW88" s="18"/>
      <c r="AHX88" s="18"/>
      <c r="AHY88" s="18"/>
      <c r="AHZ88" s="18"/>
      <c r="AIA88" s="18"/>
      <c r="AIB88" s="18"/>
      <c r="AIC88" s="18"/>
      <c r="AID88" s="18"/>
      <c r="AIE88" s="18"/>
      <c r="AIF88" s="18"/>
      <c r="AIG88" s="18"/>
      <c r="AIH88" s="18"/>
      <c r="AII88" s="18"/>
      <c r="AIJ88" s="18"/>
      <c r="AIK88" s="18"/>
      <c r="AIL88" s="18"/>
      <c r="AIM88" s="18"/>
      <c r="AIN88" s="18"/>
      <c r="AIO88" s="18"/>
      <c r="AIP88" s="18"/>
      <c r="AIQ88" s="18"/>
      <c r="AIR88" s="18"/>
      <c r="AIS88" s="18"/>
      <c r="AIT88" s="18"/>
      <c r="AIU88" s="18"/>
      <c r="AIV88" s="18"/>
      <c r="AIW88" s="18"/>
      <c r="AIX88" s="18"/>
      <c r="AIY88" s="18"/>
      <c r="AIZ88" s="18"/>
      <c r="AJA88" s="18"/>
      <c r="AJB88" s="18"/>
      <c r="AJC88" s="18"/>
      <c r="AJD88" s="18"/>
      <c r="AJE88" s="18"/>
      <c r="AJF88" s="18"/>
      <c r="AJG88" s="18"/>
      <c r="AJH88" s="18"/>
      <c r="AJI88" s="18"/>
      <c r="AJJ88" s="18"/>
      <c r="AJK88" s="18"/>
      <c r="AJL88" s="18"/>
      <c r="AJM88" s="18"/>
      <c r="AJN88" s="18"/>
      <c r="AJO88" s="18"/>
      <c r="AJP88" s="18"/>
      <c r="AJQ88" s="18"/>
      <c r="AJR88" s="18"/>
      <c r="AJS88" s="18"/>
      <c r="AJT88" s="18"/>
      <c r="AJU88" s="18"/>
      <c r="AJV88" s="18"/>
      <c r="AJW88" s="18"/>
      <c r="AJX88" s="18"/>
      <c r="AJY88" s="18"/>
      <c r="AJZ88" s="18"/>
      <c r="AKA88" s="18"/>
      <c r="AKB88" s="18"/>
      <c r="AKC88" s="18"/>
      <c r="AKD88" s="18"/>
      <c r="AKE88" s="18"/>
      <c r="AKF88" s="18"/>
      <c r="AKG88" s="18"/>
      <c r="AKH88" s="18"/>
      <c r="AKI88" s="18"/>
      <c r="AKJ88" s="18"/>
      <c r="AKK88" s="18"/>
      <c r="AKL88" s="18"/>
      <c r="AKM88" s="18"/>
      <c r="AKN88" s="18"/>
      <c r="AKO88" s="18"/>
      <c r="AKP88" s="18"/>
      <c r="AKQ88" s="18"/>
      <c r="AKR88" s="18"/>
      <c r="AKS88" s="18"/>
      <c r="AKT88" s="18"/>
      <c r="AKU88" s="18"/>
      <c r="AKV88" s="18"/>
      <c r="AKW88" s="18"/>
      <c r="AKX88" s="18"/>
      <c r="AKY88" s="18"/>
      <c r="AKZ88" s="18"/>
      <c r="ALA88" s="18"/>
      <c r="ALB88" s="18"/>
      <c r="ALC88" s="18"/>
      <c r="ALD88" s="18"/>
      <c r="ALE88" s="18"/>
      <c r="ALF88" s="18"/>
      <c r="ALG88" s="18"/>
      <c r="ALH88" s="18"/>
      <c r="ALI88" s="18"/>
      <c r="ALJ88" s="18"/>
      <c r="ALK88" s="18"/>
      <c r="ALL88" s="18"/>
      <c r="ALM88" s="18"/>
      <c r="ALN88" s="18"/>
      <c r="ALO88" s="18"/>
      <c r="ALP88" s="18"/>
      <c r="ALQ88" s="18"/>
      <c r="ALR88" s="18"/>
      <c r="ALS88" s="18"/>
      <c r="ALT88" s="18"/>
      <c r="ALU88" s="18"/>
      <c r="ALV88" s="18"/>
      <c r="ALW88" s="18"/>
      <c r="ALX88" s="18"/>
      <c r="ALY88" s="18"/>
      <c r="ALZ88" s="18"/>
      <c r="AMA88" s="18"/>
      <c r="AMB88" s="18"/>
      <c r="AMC88" s="18"/>
      <c r="AMD88" s="18"/>
      <c r="AME88" s="18"/>
      <c r="AMF88" s="18"/>
      <c r="AMG88" s="18"/>
      <c r="AMH88" s="18"/>
    </row>
    <row r="89" spans="1:1022" s="23" customFormat="1" x14ac:dyDescent="0.3">
      <c r="A89" s="33">
        <v>185</v>
      </c>
      <c r="B89" s="19"/>
      <c r="C89" s="19"/>
      <c r="D89" s="34" t="s">
        <v>358</v>
      </c>
      <c r="E89" s="34" t="s">
        <v>508</v>
      </c>
      <c r="F89" s="43">
        <v>156</v>
      </c>
      <c r="G89" s="19"/>
      <c r="H89" s="48" t="s">
        <v>281</v>
      </c>
      <c r="I89" s="31"/>
      <c r="J89" s="31"/>
      <c r="K89" s="31"/>
      <c r="L89" s="31"/>
      <c r="M89" s="32"/>
      <c r="N89" s="32"/>
      <c r="O89" s="18"/>
      <c r="P89" s="36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18"/>
      <c r="BK89" s="18"/>
      <c r="BL89" s="18"/>
      <c r="BM89" s="18"/>
      <c r="BN89" s="18"/>
      <c r="BO89" s="18"/>
      <c r="BP89" s="18"/>
      <c r="BQ89" s="18"/>
      <c r="BR89" s="18"/>
      <c r="BS89" s="18"/>
      <c r="BT89" s="18"/>
      <c r="BU89" s="18"/>
      <c r="BV89" s="18"/>
      <c r="BW89" s="18"/>
      <c r="BX89" s="18"/>
      <c r="BY89" s="18"/>
      <c r="BZ89" s="18"/>
      <c r="CA89" s="18"/>
      <c r="CB89" s="18"/>
      <c r="CC89" s="18"/>
      <c r="CD89" s="18"/>
      <c r="CE89" s="18"/>
      <c r="CF89" s="18"/>
      <c r="CG89" s="18"/>
      <c r="CH89" s="18"/>
      <c r="CI89" s="18"/>
      <c r="CJ89" s="18"/>
      <c r="CK89" s="18"/>
      <c r="CL89" s="18"/>
      <c r="CM89" s="18"/>
      <c r="CN89" s="18"/>
      <c r="CO89" s="18"/>
      <c r="CP89" s="18"/>
      <c r="CQ89" s="18"/>
      <c r="CR89" s="18"/>
      <c r="CS89" s="18"/>
      <c r="CT89" s="18"/>
      <c r="CU89" s="18"/>
      <c r="CV89" s="18"/>
      <c r="CW89" s="18"/>
      <c r="CX89" s="18"/>
      <c r="CY89" s="18"/>
      <c r="CZ89" s="18"/>
      <c r="DA89" s="18"/>
      <c r="DB89" s="18"/>
      <c r="DC89" s="18"/>
      <c r="DD89" s="18"/>
      <c r="DE89" s="18"/>
      <c r="DF89" s="18"/>
      <c r="DG89" s="18"/>
      <c r="DH89" s="18"/>
      <c r="DI89" s="18"/>
      <c r="DJ89" s="18"/>
      <c r="DK89" s="18"/>
      <c r="DL89" s="18"/>
      <c r="DM89" s="18"/>
      <c r="DN89" s="18"/>
      <c r="DO89" s="18"/>
      <c r="DP89" s="18"/>
      <c r="DQ89" s="18"/>
      <c r="DR89" s="18"/>
      <c r="DS89" s="18"/>
      <c r="DT89" s="18"/>
      <c r="DU89" s="18"/>
      <c r="DV89" s="18"/>
      <c r="DW89" s="18"/>
      <c r="DX89" s="18"/>
      <c r="DY89" s="18"/>
      <c r="DZ89" s="18"/>
      <c r="EA89" s="18"/>
      <c r="EB89" s="18"/>
      <c r="EC89" s="18"/>
      <c r="ED89" s="18"/>
      <c r="EE89" s="18"/>
      <c r="EF89" s="18"/>
      <c r="EG89" s="18"/>
      <c r="EH89" s="18"/>
      <c r="EI89" s="18"/>
      <c r="EJ89" s="18"/>
      <c r="EK89" s="18"/>
      <c r="EL89" s="18"/>
      <c r="EM89" s="18"/>
      <c r="EN89" s="18"/>
      <c r="EO89" s="18"/>
      <c r="EP89" s="18"/>
      <c r="EQ89" s="18"/>
      <c r="ER89" s="18"/>
      <c r="ES89" s="18"/>
      <c r="ET89" s="18"/>
      <c r="EU89" s="18"/>
      <c r="EV89" s="18"/>
      <c r="EW89" s="18"/>
      <c r="EX89" s="18"/>
      <c r="EY89" s="18"/>
      <c r="EZ89" s="18"/>
      <c r="FA89" s="18"/>
      <c r="FB89" s="18"/>
      <c r="FC89" s="18"/>
      <c r="FD89" s="18"/>
      <c r="FE89" s="18"/>
      <c r="FF89" s="18"/>
      <c r="FG89" s="18"/>
      <c r="FH89" s="18"/>
      <c r="FI89" s="18"/>
      <c r="FJ89" s="18"/>
      <c r="FK89" s="18"/>
      <c r="FL89" s="18"/>
      <c r="FM89" s="18"/>
      <c r="FN89" s="18"/>
      <c r="FO89" s="18"/>
      <c r="FP89" s="18"/>
      <c r="FQ89" s="18"/>
      <c r="FR89" s="18"/>
      <c r="FS89" s="18"/>
      <c r="FT89" s="18"/>
      <c r="FU89" s="18"/>
      <c r="FV89" s="18"/>
      <c r="FW89" s="18"/>
      <c r="FX89" s="18"/>
      <c r="FY89" s="18"/>
      <c r="FZ89" s="18"/>
      <c r="GA89" s="18"/>
      <c r="GB89" s="18"/>
      <c r="GC89" s="18"/>
      <c r="GD89" s="18"/>
      <c r="GE89" s="18"/>
      <c r="GF89" s="18"/>
      <c r="GG89" s="18"/>
      <c r="GH89" s="18"/>
      <c r="GI89" s="18"/>
      <c r="GJ89" s="18"/>
      <c r="GK89" s="18"/>
      <c r="GL89" s="18"/>
      <c r="GM89" s="18"/>
      <c r="GN89" s="18"/>
      <c r="GO89" s="18"/>
      <c r="GP89" s="18"/>
      <c r="GQ89" s="18"/>
      <c r="GR89" s="18"/>
      <c r="GS89" s="18"/>
      <c r="GT89" s="18"/>
      <c r="GU89" s="18"/>
      <c r="GV89" s="18"/>
      <c r="GW89" s="18"/>
      <c r="GX89" s="18"/>
      <c r="GY89" s="18"/>
      <c r="GZ89" s="18"/>
      <c r="HA89" s="18"/>
      <c r="HB89" s="18"/>
      <c r="HC89" s="18"/>
      <c r="HD89" s="18"/>
      <c r="HE89" s="18"/>
      <c r="HF89" s="18"/>
      <c r="HG89" s="18"/>
      <c r="HH89" s="18"/>
      <c r="HI89" s="18"/>
      <c r="HJ89" s="18"/>
      <c r="HK89" s="18"/>
      <c r="HL89" s="18"/>
      <c r="HM89" s="18"/>
      <c r="HN89" s="18"/>
      <c r="HO89" s="18"/>
      <c r="HP89" s="18"/>
      <c r="HQ89" s="18"/>
      <c r="HR89" s="18"/>
      <c r="HS89" s="18"/>
      <c r="HT89" s="18"/>
      <c r="HU89" s="18"/>
      <c r="HV89" s="18"/>
      <c r="HW89" s="18"/>
      <c r="HX89" s="18"/>
      <c r="HY89" s="18"/>
      <c r="HZ89" s="18"/>
      <c r="IA89" s="18"/>
      <c r="IB89" s="18"/>
      <c r="IC89" s="18"/>
      <c r="ID89" s="18"/>
      <c r="IE89" s="18"/>
      <c r="IF89" s="18"/>
      <c r="IG89" s="18"/>
      <c r="IH89" s="18"/>
      <c r="II89" s="18"/>
      <c r="IJ89" s="18"/>
      <c r="IK89" s="18"/>
      <c r="IL89" s="18"/>
      <c r="IM89" s="18"/>
      <c r="IN89" s="18"/>
      <c r="IO89" s="18"/>
      <c r="IP89" s="18"/>
      <c r="IQ89" s="18"/>
      <c r="IR89" s="18"/>
      <c r="IS89" s="18"/>
      <c r="IT89" s="18"/>
      <c r="IU89" s="18"/>
      <c r="IV89" s="18"/>
      <c r="IW89" s="18"/>
      <c r="IX89" s="18"/>
      <c r="IY89" s="18"/>
      <c r="IZ89" s="18"/>
      <c r="JA89" s="18"/>
      <c r="JB89" s="18"/>
      <c r="JC89" s="18"/>
      <c r="JD89" s="18"/>
      <c r="JE89" s="18"/>
      <c r="JF89" s="18"/>
      <c r="JG89" s="18"/>
      <c r="JH89" s="18"/>
      <c r="JI89" s="18"/>
      <c r="JJ89" s="18"/>
      <c r="JK89" s="18"/>
      <c r="JL89" s="18"/>
      <c r="JM89" s="18"/>
      <c r="JN89" s="18"/>
      <c r="JO89" s="18"/>
      <c r="JP89" s="18"/>
      <c r="JQ89" s="18"/>
      <c r="JR89" s="18"/>
      <c r="JS89" s="18"/>
      <c r="JT89" s="18"/>
      <c r="JU89" s="18"/>
      <c r="JV89" s="18"/>
      <c r="JW89" s="18"/>
      <c r="JX89" s="18"/>
      <c r="JY89" s="18"/>
      <c r="JZ89" s="18"/>
      <c r="KA89" s="18"/>
      <c r="KB89" s="18"/>
      <c r="KC89" s="18"/>
      <c r="KD89" s="18"/>
      <c r="KE89" s="18"/>
      <c r="KF89" s="18"/>
      <c r="KG89" s="18"/>
      <c r="KH89" s="18"/>
      <c r="KI89" s="18"/>
      <c r="KJ89" s="18"/>
      <c r="KK89" s="18"/>
      <c r="KL89" s="18"/>
      <c r="KM89" s="18"/>
      <c r="KN89" s="18"/>
      <c r="KO89" s="18"/>
      <c r="KP89" s="18"/>
      <c r="KQ89" s="18"/>
      <c r="KR89" s="18"/>
      <c r="KS89" s="18"/>
      <c r="KT89" s="18"/>
      <c r="KU89" s="18"/>
      <c r="KV89" s="18"/>
      <c r="KW89" s="18"/>
      <c r="KX89" s="18"/>
      <c r="KY89" s="18"/>
      <c r="KZ89" s="18"/>
      <c r="LA89" s="18"/>
      <c r="LB89" s="18"/>
      <c r="LC89" s="18"/>
      <c r="LD89" s="18"/>
      <c r="LE89" s="18"/>
      <c r="LF89" s="18"/>
      <c r="LG89" s="18"/>
      <c r="LH89" s="18"/>
      <c r="LI89" s="18"/>
      <c r="LJ89" s="18"/>
      <c r="LK89" s="18"/>
      <c r="LL89" s="18"/>
      <c r="LM89" s="18"/>
      <c r="LN89" s="18"/>
      <c r="LO89" s="18"/>
      <c r="LP89" s="18"/>
      <c r="LQ89" s="18"/>
      <c r="LR89" s="18"/>
      <c r="LS89" s="18"/>
      <c r="LT89" s="18"/>
      <c r="LU89" s="18"/>
      <c r="LV89" s="18"/>
      <c r="LW89" s="18"/>
      <c r="LX89" s="18"/>
      <c r="LY89" s="18"/>
      <c r="LZ89" s="18"/>
      <c r="MA89" s="18"/>
      <c r="MB89" s="18"/>
      <c r="MC89" s="18"/>
      <c r="MD89" s="18"/>
      <c r="ME89" s="18"/>
      <c r="MF89" s="18"/>
      <c r="MG89" s="18"/>
      <c r="MH89" s="18"/>
      <c r="MI89" s="18"/>
      <c r="MJ89" s="18"/>
      <c r="MK89" s="18"/>
      <c r="ML89" s="18"/>
      <c r="MM89" s="18"/>
      <c r="MN89" s="18"/>
      <c r="MO89" s="18"/>
      <c r="MP89" s="18"/>
      <c r="MQ89" s="18"/>
      <c r="MR89" s="18"/>
      <c r="MS89" s="18"/>
      <c r="MT89" s="18"/>
      <c r="MU89" s="18"/>
      <c r="MV89" s="18"/>
      <c r="MW89" s="18"/>
      <c r="MX89" s="18"/>
      <c r="MY89" s="18"/>
      <c r="MZ89" s="18"/>
      <c r="NA89" s="18"/>
      <c r="NB89" s="18"/>
      <c r="NC89" s="18"/>
      <c r="ND89" s="18"/>
      <c r="NE89" s="18"/>
      <c r="NF89" s="18"/>
      <c r="NG89" s="18"/>
      <c r="NH89" s="18"/>
      <c r="NI89" s="18"/>
      <c r="NJ89" s="18"/>
      <c r="NK89" s="18"/>
      <c r="NL89" s="18"/>
      <c r="NM89" s="18"/>
      <c r="NN89" s="18"/>
      <c r="NO89" s="18"/>
      <c r="NP89" s="18"/>
      <c r="NQ89" s="18"/>
      <c r="NR89" s="18"/>
      <c r="NS89" s="18"/>
      <c r="NT89" s="18"/>
      <c r="NU89" s="18"/>
      <c r="NV89" s="18"/>
      <c r="NW89" s="18"/>
      <c r="NX89" s="18"/>
      <c r="NY89" s="18"/>
      <c r="NZ89" s="18"/>
      <c r="OA89" s="18"/>
      <c r="OB89" s="18"/>
      <c r="OC89" s="18"/>
      <c r="OD89" s="18"/>
      <c r="OE89" s="18"/>
      <c r="OF89" s="18"/>
      <c r="OG89" s="18"/>
      <c r="OH89" s="18"/>
      <c r="OI89" s="18"/>
      <c r="OJ89" s="18"/>
      <c r="OK89" s="18"/>
      <c r="OL89" s="18"/>
      <c r="OM89" s="18"/>
      <c r="ON89" s="18"/>
      <c r="OO89" s="18"/>
      <c r="OP89" s="18"/>
      <c r="OQ89" s="18"/>
      <c r="OR89" s="18"/>
      <c r="OS89" s="18"/>
      <c r="OT89" s="18"/>
      <c r="OU89" s="18"/>
      <c r="OV89" s="18"/>
      <c r="OW89" s="18"/>
      <c r="OX89" s="18"/>
      <c r="OY89" s="18"/>
      <c r="OZ89" s="18"/>
      <c r="PA89" s="18"/>
      <c r="PB89" s="18"/>
      <c r="PC89" s="18"/>
      <c r="PD89" s="18"/>
      <c r="PE89" s="18"/>
      <c r="PF89" s="18"/>
      <c r="PG89" s="18"/>
      <c r="PH89" s="18"/>
      <c r="PI89" s="18"/>
      <c r="PJ89" s="18"/>
      <c r="PK89" s="18"/>
      <c r="PL89" s="18"/>
      <c r="PM89" s="18"/>
      <c r="PN89" s="18"/>
      <c r="PO89" s="18"/>
      <c r="PP89" s="18"/>
      <c r="PQ89" s="18"/>
      <c r="PR89" s="18"/>
      <c r="PS89" s="18"/>
      <c r="PT89" s="18"/>
      <c r="PU89" s="18"/>
      <c r="PV89" s="18"/>
      <c r="PW89" s="18"/>
      <c r="PX89" s="18"/>
      <c r="PY89" s="18"/>
      <c r="PZ89" s="18"/>
      <c r="QA89" s="18"/>
      <c r="QB89" s="18"/>
      <c r="QC89" s="18"/>
      <c r="QD89" s="18"/>
      <c r="QE89" s="18"/>
      <c r="QF89" s="18"/>
      <c r="QG89" s="18"/>
      <c r="QH89" s="18"/>
      <c r="QI89" s="18"/>
      <c r="QJ89" s="18"/>
      <c r="QK89" s="18"/>
      <c r="QL89" s="18"/>
      <c r="QM89" s="18"/>
      <c r="QN89" s="18"/>
      <c r="QO89" s="18"/>
      <c r="QP89" s="18"/>
      <c r="QQ89" s="18"/>
      <c r="QR89" s="18"/>
      <c r="QS89" s="18"/>
      <c r="QT89" s="18"/>
      <c r="QU89" s="18"/>
      <c r="QV89" s="18"/>
      <c r="QW89" s="18"/>
      <c r="QX89" s="18"/>
      <c r="QY89" s="18"/>
      <c r="QZ89" s="18"/>
      <c r="RA89" s="18"/>
      <c r="RB89" s="18"/>
      <c r="RC89" s="18"/>
      <c r="RD89" s="18"/>
      <c r="RE89" s="18"/>
      <c r="RF89" s="18"/>
      <c r="RG89" s="18"/>
      <c r="RH89" s="18"/>
      <c r="RI89" s="18"/>
      <c r="RJ89" s="18"/>
      <c r="RK89" s="18"/>
      <c r="RL89" s="18"/>
      <c r="RM89" s="18"/>
      <c r="RN89" s="18"/>
      <c r="RO89" s="18"/>
      <c r="RP89" s="18"/>
      <c r="RQ89" s="18"/>
      <c r="RR89" s="18"/>
      <c r="RS89" s="18"/>
      <c r="RT89" s="18"/>
      <c r="RU89" s="18"/>
      <c r="RV89" s="18"/>
      <c r="RW89" s="18"/>
      <c r="RX89" s="18"/>
      <c r="RY89" s="18"/>
      <c r="RZ89" s="18"/>
      <c r="SA89" s="18"/>
      <c r="SB89" s="18"/>
      <c r="SC89" s="18"/>
      <c r="SD89" s="18"/>
      <c r="SE89" s="18"/>
      <c r="SF89" s="18"/>
      <c r="SG89" s="18"/>
      <c r="SH89" s="18"/>
      <c r="SI89" s="18"/>
      <c r="SJ89" s="18"/>
      <c r="SK89" s="18"/>
      <c r="SL89" s="18"/>
      <c r="SM89" s="18"/>
      <c r="SN89" s="18"/>
      <c r="SO89" s="18"/>
      <c r="SP89" s="18"/>
      <c r="SQ89" s="18"/>
      <c r="SR89" s="18"/>
      <c r="SS89" s="18"/>
      <c r="ST89" s="18"/>
      <c r="SU89" s="18"/>
      <c r="SV89" s="18"/>
      <c r="SW89" s="18"/>
      <c r="SX89" s="18"/>
      <c r="SY89" s="18"/>
      <c r="SZ89" s="18"/>
      <c r="TA89" s="18"/>
      <c r="TB89" s="18"/>
      <c r="TC89" s="18"/>
      <c r="TD89" s="18"/>
      <c r="TE89" s="18"/>
      <c r="TF89" s="18"/>
      <c r="TG89" s="18"/>
      <c r="TH89" s="18"/>
      <c r="TI89" s="18"/>
      <c r="TJ89" s="18"/>
      <c r="TK89" s="18"/>
      <c r="TL89" s="18"/>
      <c r="TM89" s="18"/>
      <c r="TN89" s="18"/>
      <c r="TO89" s="18"/>
      <c r="TP89" s="18"/>
      <c r="TQ89" s="18"/>
      <c r="TR89" s="18"/>
      <c r="TS89" s="18"/>
      <c r="TT89" s="18"/>
      <c r="TU89" s="18"/>
      <c r="TV89" s="18"/>
      <c r="TW89" s="18"/>
      <c r="TX89" s="18"/>
      <c r="TY89" s="18"/>
      <c r="TZ89" s="18"/>
      <c r="UA89" s="18"/>
      <c r="UB89" s="18"/>
      <c r="UC89" s="18"/>
      <c r="UD89" s="18"/>
      <c r="UE89" s="18"/>
      <c r="UF89" s="18"/>
      <c r="UG89" s="18"/>
      <c r="UH89" s="18"/>
      <c r="UI89" s="18"/>
      <c r="UJ89" s="18"/>
      <c r="UK89" s="18"/>
      <c r="UL89" s="18"/>
      <c r="UM89" s="18"/>
      <c r="UN89" s="18"/>
      <c r="UO89" s="18"/>
      <c r="UP89" s="18"/>
      <c r="UQ89" s="18"/>
      <c r="UR89" s="18"/>
      <c r="US89" s="18"/>
      <c r="UT89" s="18"/>
      <c r="UU89" s="18"/>
      <c r="UV89" s="18"/>
      <c r="UW89" s="18"/>
      <c r="UX89" s="18"/>
      <c r="UY89" s="18"/>
      <c r="UZ89" s="18"/>
      <c r="VA89" s="18"/>
      <c r="VB89" s="18"/>
      <c r="VC89" s="18"/>
      <c r="VD89" s="18"/>
      <c r="VE89" s="18"/>
      <c r="VF89" s="18"/>
      <c r="VG89" s="18"/>
      <c r="VH89" s="18"/>
      <c r="VI89" s="18"/>
      <c r="VJ89" s="18"/>
      <c r="VK89" s="18"/>
      <c r="VL89" s="18"/>
      <c r="VM89" s="18"/>
      <c r="VN89" s="18"/>
      <c r="VO89" s="18"/>
      <c r="VP89" s="18"/>
      <c r="VQ89" s="18"/>
      <c r="VR89" s="18"/>
      <c r="VS89" s="18"/>
      <c r="VT89" s="18"/>
      <c r="VU89" s="18"/>
      <c r="VV89" s="18"/>
      <c r="VW89" s="18"/>
      <c r="VX89" s="18"/>
      <c r="VY89" s="18"/>
      <c r="VZ89" s="18"/>
      <c r="WA89" s="18"/>
      <c r="WB89" s="18"/>
      <c r="WC89" s="18"/>
      <c r="WD89" s="18"/>
      <c r="WE89" s="18"/>
      <c r="WF89" s="18"/>
      <c r="WG89" s="18"/>
      <c r="WH89" s="18"/>
      <c r="WI89" s="18"/>
      <c r="WJ89" s="18"/>
      <c r="WK89" s="18"/>
      <c r="WL89" s="18"/>
      <c r="WM89" s="18"/>
      <c r="WN89" s="18"/>
      <c r="WO89" s="18"/>
      <c r="WP89" s="18"/>
      <c r="WQ89" s="18"/>
      <c r="WR89" s="18"/>
      <c r="WS89" s="18"/>
      <c r="WT89" s="18"/>
      <c r="WU89" s="18"/>
      <c r="WV89" s="18"/>
      <c r="WW89" s="18"/>
      <c r="WX89" s="18"/>
      <c r="WY89" s="18"/>
      <c r="WZ89" s="18"/>
      <c r="XA89" s="18"/>
      <c r="XB89" s="18"/>
      <c r="XC89" s="18"/>
      <c r="XD89" s="18"/>
      <c r="XE89" s="18"/>
      <c r="XF89" s="18"/>
      <c r="XG89" s="18"/>
      <c r="XH89" s="18"/>
      <c r="XI89" s="18"/>
      <c r="XJ89" s="18"/>
      <c r="XK89" s="18"/>
      <c r="XL89" s="18"/>
      <c r="XM89" s="18"/>
      <c r="XN89" s="18"/>
      <c r="XO89" s="18"/>
      <c r="XP89" s="18"/>
      <c r="XQ89" s="18"/>
      <c r="XR89" s="18"/>
      <c r="XS89" s="18"/>
      <c r="XT89" s="18"/>
      <c r="XU89" s="18"/>
      <c r="XV89" s="18"/>
      <c r="XW89" s="18"/>
      <c r="XX89" s="18"/>
      <c r="XY89" s="18"/>
      <c r="XZ89" s="18"/>
      <c r="YA89" s="18"/>
      <c r="YB89" s="18"/>
      <c r="YC89" s="18"/>
      <c r="YD89" s="18"/>
      <c r="YE89" s="18"/>
      <c r="YF89" s="18"/>
      <c r="YG89" s="18"/>
      <c r="YH89" s="18"/>
      <c r="YI89" s="18"/>
      <c r="YJ89" s="18"/>
      <c r="YK89" s="18"/>
      <c r="YL89" s="18"/>
      <c r="YM89" s="18"/>
      <c r="YN89" s="18"/>
      <c r="YO89" s="18"/>
      <c r="YP89" s="18"/>
      <c r="YQ89" s="18"/>
      <c r="YR89" s="18"/>
      <c r="YS89" s="18"/>
      <c r="YT89" s="18"/>
      <c r="YU89" s="18"/>
      <c r="YV89" s="18"/>
      <c r="YW89" s="18"/>
      <c r="YX89" s="18"/>
      <c r="YY89" s="18"/>
      <c r="YZ89" s="18"/>
      <c r="ZA89" s="18"/>
      <c r="ZB89" s="18"/>
      <c r="ZC89" s="18"/>
      <c r="ZD89" s="18"/>
      <c r="ZE89" s="18"/>
      <c r="ZF89" s="18"/>
      <c r="ZG89" s="18"/>
      <c r="ZH89" s="18"/>
      <c r="ZI89" s="18"/>
      <c r="ZJ89" s="18"/>
      <c r="ZK89" s="18"/>
      <c r="ZL89" s="18"/>
      <c r="ZM89" s="18"/>
      <c r="ZN89" s="18"/>
      <c r="ZO89" s="18"/>
      <c r="ZP89" s="18"/>
      <c r="ZQ89" s="18"/>
      <c r="ZR89" s="18"/>
      <c r="ZS89" s="18"/>
      <c r="ZT89" s="18"/>
      <c r="ZU89" s="18"/>
      <c r="ZV89" s="18"/>
      <c r="ZW89" s="18"/>
      <c r="ZX89" s="18"/>
      <c r="ZY89" s="18"/>
      <c r="ZZ89" s="18"/>
      <c r="AAA89" s="18"/>
      <c r="AAB89" s="18"/>
      <c r="AAC89" s="18"/>
      <c r="AAD89" s="18"/>
      <c r="AAE89" s="18"/>
      <c r="AAF89" s="18"/>
      <c r="AAG89" s="18"/>
      <c r="AAH89" s="18"/>
      <c r="AAI89" s="18"/>
      <c r="AAJ89" s="18"/>
      <c r="AAK89" s="18"/>
      <c r="AAL89" s="18"/>
      <c r="AAM89" s="18"/>
      <c r="AAN89" s="18"/>
      <c r="AAO89" s="18"/>
      <c r="AAP89" s="18"/>
      <c r="AAQ89" s="18"/>
      <c r="AAR89" s="18"/>
      <c r="AAS89" s="18"/>
      <c r="AAT89" s="18"/>
      <c r="AAU89" s="18"/>
      <c r="AAV89" s="18"/>
      <c r="AAW89" s="18"/>
      <c r="AAX89" s="18"/>
      <c r="AAY89" s="18"/>
      <c r="AAZ89" s="18"/>
      <c r="ABA89" s="18"/>
      <c r="ABB89" s="18"/>
      <c r="ABC89" s="18"/>
      <c r="ABD89" s="18"/>
      <c r="ABE89" s="18"/>
      <c r="ABF89" s="18"/>
      <c r="ABG89" s="18"/>
      <c r="ABH89" s="18"/>
      <c r="ABI89" s="18"/>
      <c r="ABJ89" s="18"/>
      <c r="ABK89" s="18"/>
      <c r="ABL89" s="18"/>
      <c r="ABM89" s="18"/>
      <c r="ABN89" s="18"/>
      <c r="ABO89" s="18"/>
      <c r="ABP89" s="18"/>
      <c r="ABQ89" s="18"/>
      <c r="ABR89" s="18"/>
      <c r="ABS89" s="18"/>
      <c r="ABT89" s="18"/>
      <c r="ABU89" s="18"/>
      <c r="ABV89" s="18"/>
      <c r="ABW89" s="18"/>
      <c r="ABX89" s="18"/>
      <c r="ABY89" s="18"/>
      <c r="ABZ89" s="18"/>
      <c r="ACA89" s="18"/>
      <c r="ACB89" s="18"/>
      <c r="ACC89" s="18"/>
      <c r="ACD89" s="18"/>
      <c r="ACE89" s="18"/>
      <c r="ACF89" s="18"/>
      <c r="ACG89" s="18"/>
      <c r="ACH89" s="18"/>
      <c r="ACI89" s="18"/>
      <c r="ACJ89" s="18"/>
      <c r="ACK89" s="18"/>
      <c r="ACL89" s="18"/>
      <c r="ACM89" s="18"/>
      <c r="ACN89" s="18"/>
      <c r="ACO89" s="18"/>
      <c r="ACP89" s="18"/>
      <c r="ACQ89" s="18"/>
      <c r="ACR89" s="18"/>
      <c r="ACS89" s="18"/>
      <c r="ACT89" s="18"/>
      <c r="ACU89" s="18"/>
      <c r="ACV89" s="18"/>
      <c r="ACW89" s="18"/>
      <c r="ACX89" s="18"/>
      <c r="ACY89" s="18"/>
      <c r="ACZ89" s="18"/>
      <c r="ADA89" s="18"/>
      <c r="ADB89" s="18"/>
      <c r="ADC89" s="18"/>
      <c r="ADD89" s="18"/>
      <c r="ADE89" s="18"/>
      <c r="ADF89" s="18"/>
      <c r="ADG89" s="18"/>
      <c r="ADH89" s="18"/>
      <c r="ADI89" s="18"/>
      <c r="ADJ89" s="18"/>
      <c r="ADK89" s="18"/>
      <c r="ADL89" s="18"/>
      <c r="ADM89" s="18"/>
      <c r="ADN89" s="18"/>
      <c r="ADO89" s="18"/>
      <c r="ADP89" s="18"/>
      <c r="ADQ89" s="18"/>
      <c r="ADR89" s="18"/>
      <c r="ADS89" s="18"/>
      <c r="ADT89" s="18"/>
      <c r="ADU89" s="18"/>
      <c r="ADV89" s="18"/>
      <c r="ADW89" s="18"/>
      <c r="ADX89" s="18"/>
      <c r="ADY89" s="18"/>
      <c r="ADZ89" s="18"/>
      <c r="AEA89" s="18"/>
      <c r="AEB89" s="18"/>
      <c r="AEC89" s="18"/>
      <c r="AED89" s="18"/>
      <c r="AEE89" s="18"/>
      <c r="AEF89" s="18"/>
      <c r="AEG89" s="18"/>
      <c r="AEH89" s="18"/>
      <c r="AEI89" s="18"/>
      <c r="AEJ89" s="18"/>
      <c r="AEK89" s="18"/>
      <c r="AEL89" s="18"/>
      <c r="AEM89" s="18"/>
      <c r="AEN89" s="18"/>
      <c r="AEO89" s="18"/>
      <c r="AEP89" s="18"/>
      <c r="AEQ89" s="18"/>
      <c r="AER89" s="18"/>
      <c r="AES89" s="18"/>
      <c r="AET89" s="18"/>
      <c r="AEU89" s="18"/>
      <c r="AEV89" s="18"/>
      <c r="AEW89" s="18"/>
      <c r="AEX89" s="18"/>
      <c r="AEY89" s="18"/>
      <c r="AEZ89" s="18"/>
      <c r="AFA89" s="18"/>
      <c r="AFB89" s="18"/>
      <c r="AFC89" s="18"/>
      <c r="AFD89" s="18"/>
      <c r="AFE89" s="18"/>
      <c r="AFF89" s="18"/>
      <c r="AFG89" s="18"/>
      <c r="AFH89" s="18"/>
      <c r="AFI89" s="18"/>
      <c r="AFJ89" s="18"/>
      <c r="AFK89" s="18"/>
      <c r="AFL89" s="18"/>
      <c r="AFM89" s="18"/>
      <c r="AFN89" s="18"/>
      <c r="AFO89" s="18"/>
      <c r="AFP89" s="18"/>
      <c r="AFQ89" s="18"/>
      <c r="AFR89" s="18"/>
      <c r="AFS89" s="18"/>
      <c r="AFT89" s="18"/>
      <c r="AFU89" s="18"/>
      <c r="AFV89" s="18"/>
      <c r="AFW89" s="18"/>
      <c r="AFX89" s="18"/>
      <c r="AFY89" s="18"/>
      <c r="AFZ89" s="18"/>
      <c r="AGA89" s="18"/>
      <c r="AGB89" s="18"/>
      <c r="AGC89" s="18"/>
      <c r="AGD89" s="18"/>
      <c r="AGE89" s="18"/>
      <c r="AGF89" s="18"/>
      <c r="AGG89" s="18"/>
      <c r="AGH89" s="18"/>
      <c r="AGI89" s="18"/>
      <c r="AGJ89" s="18"/>
      <c r="AGK89" s="18"/>
      <c r="AGL89" s="18"/>
      <c r="AGM89" s="18"/>
      <c r="AGN89" s="18"/>
      <c r="AGO89" s="18"/>
      <c r="AGP89" s="18"/>
      <c r="AGQ89" s="18"/>
      <c r="AGR89" s="18"/>
      <c r="AGS89" s="18"/>
      <c r="AGT89" s="18"/>
      <c r="AGU89" s="18"/>
      <c r="AGV89" s="18"/>
      <c r="AGW89" s="18"/>
      <c r="AGX89" s="18"/>
      <c r="AGY89" s="18"/>
      <c r="AGZ89" s="18"/>
      <c r="AHA89" s="18"/>
      <c r="AHB89" s="18"/>
      <c r="AHC89" s="18"/>
      <c r="AHD89" s="18"/>
      <c r="AHE89" s="18"/>
      <c r="AHF89" s="18"/>
      <c r="AHG89" s="18"/>
      <c r="AHH89" s="18"/>
      <c r="AHI89" s="18"/>
      <c r="AHJ89" s="18"/>
      <c r="AHK89" s="18"/>
      <c r="AHL89" s="18"/>
      <c r="AHM89" s="18"/>
      <c r="AHN89" s="18"/>
      <c r="AHO89" s="18"/>
      <c r="AHP89" s="18"/>
      <c r="AHQ89" s="18"/>
      <c r="AHR89" s="18"/>
      <c r="AHS89" s="18"/>
      <c r="AHT89" s="18"/>
      <c r="AHU89" s="18"/>
      <c r="AHV89" s="18"/>
      <c r="AHW89" s="18"/>
      <c r="AHX89" s="18"/>
      <c r="AHY89" s="18"/>
      <c r="AHZ89" s="18"/>
      <c r="AIA89" s="18"/>
      <c r="AIB89" s="18"/>
      <c r="AIC89" s="18"/>
      <c r="AID89" s="18"/>
      <c r="AIE89" s="18"/>
      <c r="AIF89" s="18"/>
      <c r="AIG89" s="18"/>
      <c r="AIH89" s="18"/>
      <c r="AII89" s="18"/>
      <c r="AIJ89" s="18"/>
      <c r="AIK89" s="18"/>
      <c r="AIL89" s="18"/>
      <c r="AIM89" s="18"/>
      <c r="AIN89" s="18"/>
      <c r="AIO89" s="18"/>
      <c r="AIP89" s="18"/>
      <c r="AIQ89" s="18"/>
      <c r="AIR89" s="18"/>
      <c r="AIS89" s="18"/>
      <c r="AIT89" s="18"/>
      <c r="AIU89" s="18"/>
      <c r="AIV89" s="18"/>
      <c r="AIW89" s="18"/>
      <c r="AIX89" s="18"/>
      <c r="AIY89" s="18"/>
      <c r="AIZ89" s="18"/>
      <c r="AJA89" s="18"/>
      <c r="AJB89" s="18"/>
      <c r="AJC89" s="18"/>
      <c r="AJD89" s="18"/>
      <c r="AJE89" s="18"/>
      <c r="AJF89" s="18"/>
      <c r="AJG89" s="18"/>
      <c r="AJH89" s="18"/>
      <c r="AJI89" s="18"/>
      <c r="AJJ89" s="18"/>
      <c r="AJK89" s="18"/>
      <c r="AJL89" s="18"/>
      <c r="AJM89" s="18"/>
      <c r="AJN89" s="18"/>
      <c r="AJO89" s="18"/>
      <c r="AJP89" s="18"/>
      <c r="AJQ89" s="18"/>
      <c r="AJR89" s="18"/>
      <c r="AJS89" s="18"/>
      <c r="AJT89" s="18"/>
      <c r="AJU89" s="18"/>
      <c r="AJV89" s="18"/>
      <c r="AJW89" s="18"/>
      <c r="AJX89" s="18"/>
      <c r="AJY89" s="18"/>
      <c r="AJZ89" s="18"/>
      <c r="AKA89" s="18"/>
      <c r="AKB89" s="18"/>
      <c r="AKC89" s="18"/>
      <c r="AKD89" s="18"/>
      <c r="AKE89" s="18"/>
      <c r="AKF89" s="18"/>
      <c r="AKG89" s="18"/>
      <c r="AKH89" s="18"/>
      <c r="AKI89" s="18"/>
      <c r="AKJ89" s="18"/>
      <c r="AKK89" s="18"/>
      <c r="AKL89" s="18"/>
      <c r="AKM89" s="18"/>
      <c r="AKN89" s="18"/>
      <c r="AKO89" s="18"/>
      <c r="AKP89" s="18"/>
      <c r="AKQ89" s="18"/>
      <c r="AKR89" s="18"/>
      <c r="AKS89" s="18"/>
      <c r="AKT89" s="18"/>
      <c r="AKU89" s="18"/>
      <c r="AKV89" s="18"/>
      <c r="AKW89" s="18"/>
      <c r="AKX89" s="18"/>
      <c r="AKY89" s="18"/>
      <c r="AKZ89" s="18"/>
      <c r="ALA89" s="18"/>
      <c r="ALB89" s="18"/>
      <c r="ALC89" s="18"/>
      <c r="ALD89" s="18"/>
      <c r="ALE89" s="18"/>
      <c r="ALF89" s="18"/>
      <c r="ALG89" s="18"/>
      <c r="ALH89" s="18"/>
      <c r="ALI89" s="18"/>
      <c r="ALJ89" s="18"/>
      <c r="ALK89" s="18"/>
      <c r="ALL89" s="18"/>
      <c r="ALM89" s="18"/>
      <c r="ALN89" s="18"/>
      <c r="ALO89" s="18"/>
      <c r="ALP89" s="18"/>
      <c r="ALQ89" s="18"/>
      <c r="ALR89" s="18"/>
      <c r="ALS89" s="18"/>
      <c r="ALT89" s="18"/>
      <c r="ALU89" s="18"/>
      <c r="ALV89" s="18"/>
      <c r="ALW89" s="18"/>
      <c r="ALX89" s="18"/>
      <c r="ALY89" s="18"/>
      <c r="ALZ89" s="18"/>
      <c r="AMA89" s="18"/>
      <c r="AMB89" s="18"/>
      <c r="AMC89" s="18"/>
      <c r="AMD89" s="18"/>
      <c r="AME89" s="18"/>
      <c r="AMF89" s="18"/>
      <c r="AMG89" s="18"/>
      <c r="AMH89" s="18"/>
    </row>
    <row r="90" spans="1:1022" s="23" customFormat="1" x14ac:dyDescent="0.3">
      <c r="A90" s="33">
        <v>186</v>
      </c>
      <c r="B90" s="19"/>
      <c r="C90" s="19"/>
      <c r="D90" s="57" t="s">
        <v>359</v>
      </c>
      <c r="E90" s="34" t="s">
        <v>509</v>
      </c>
      <c r="F90" s="43">
        <v>56</v>
      </c>
      <c r="G90" s="19"/>
      <c r="H90" s="38" t="s">
        <v>281</v>
      </c>
      <c r="I90" s="31"/>
      <c r="J90" s="31"/>
      <c r="K90" s="31"/>
      <c r="L90" s="31"/>
      <c r="M90" s="32"/>
      <c r="N90" s="32"/>
      <c r="O90" s="18"/>
      <c r="P90" s="36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  <c r="CH90" s="18"/>
      <c r="CI90" s="18"/>
      <c r="CJ90" s="18"/>
      <c r="CK90" s="18"/>
      <c r="CL90" s="18"/>
      <c r="CM90" s="18"/>
      <c r="CN90" s="18"/>
      <c r="CO90" s="18"/>
      <c r="CP90" s="18"/>
      <c r="CQ90" s="18"/>
      <c r="CR90" s="18"/>
      <c r="CS90" s="18"/>
      <c r="CT90" s="18"/>
      <c r="CU90" s="18"/>
      <c r="CV90" s="18"/>
      <c r="CW90" s="18"/>
      <c r="CX90" s="18"/>
      <c r="CY90" s="18"/>
      <c r="CZ90" s="18"/>
      <c r="DA90" s="18"/>
      <c r="DB90" s="18"/>
      <c r="DC90" s="18"/>
      <c r="DD90" s="18"/>
      <c r="DE90" s="18"/>
      <c r="DF90" s="18"/>
      <c r="DG90" s="18"/>
      <c r="DH90" s="18"/>
      <c r="DI90" s="18"/>
      <c r="DJ90" s="18"/>
      <c r="DK90" s="18"/>
      <c r="DL90" s="18"/>
      <c r="DM90" s="18"/>
      <c r="DN90" s="18"/>
      <c r="DO90" s="18"/>
      <c r="DP90" s="18"/>
      <c r="DQ90" s="18"/>
      <c r="DR90" s="18"/>
      <c r="DS90" s="18"/>
      <c r="DT90" s="18"/>
      <c r="DU90" s="18"/>
      <c r="DV90" s="18"/>
      <c r="DW90" s="18"/>
      <c r="DX90" s="18"/>
      <c r="DY90" s="18"/>
      <c r="DZ90" s="18"/>
      <c r="EA90" s="18"/>
      <c r="EB90" s="18"/>
      <c r="EC90" s="18"/>
      <c r="ED90" s="18"/>
      <c r="EE90" s="18"/>
      <c r="EF90" s="18"/>
      <c r="EG90" s="18"/>
      <c r="EH90" s="18"/>
      <c r="EI90" s="18"/>
      <c r="EJ90" s="18"/>
      <c r="EK90" s="18"/>
      <c r="EL90" s="18"/>
      <c r="EM90" s="18"/>
      <c r="EN90" s="18"/>
      <c r="EO90" s="18"/>
      <c r="EP90" s="18"/>
      <c r="EQ90" s="18"/>
      <c r="ER90" s="18"/>
      <c r="ES90" s="18"/>
      <c r="ET90" s="18"/>
      <c r="EU90" s="18"/>
      <c r="EV90" s="18"/>
      <c r="EW90" s="18"/>
      <c r="EX90" s="18"/>
      <c r="EY90" s="18"/>
      <c r="EZ90" s="18"/>
      <c r="FA90" s="18"/>
      <c r="FB90" s="18"/>
      <c r="FC90" s="18"/>
      <c r="FD90" s="18"/>
      <c r="FE90" s="18"/>
      <c r="FF90" s="18"/>
      <c r="FG90" s="18"/>
      <c r="FH90" s="18"/>
      <c r="FI90" s="18"/>
      <c r="FJ90" s="18"/>
      <c r="FK90" s="18"/>
      <c r="FL90" s="18"/>
      <c r="FM90" s="18"/>
      <c r="FN90" s="18"/>
      <c r="FO90" s="18"/>
      <c r="FP90" s="18"/>
      <c r="FQ90" s="18"/>
      <c r="FR90" s="18"/>
      <c r="FS90" s="18"/>
      <c r="FT90" s="18"/>
      <c r="FU90" s="18"/>
      <c r="FV90" s="18"/>
      <c r="FW90" s="18"/>
      <c r="FX90" s="18"/>
      <c r="FY90" s="18"/>
      <c r="FZ90" s="18"/>
      <c r="GA90" s="18"/>
      <c r="GB90" s="18"/>
      <c r="GC90" s="18"/>
      <c r="GD90" s="18"/>
      <c r="GE90" s="18"/>
      <c r="GF90" s="18"/>
      <c r="GG90" s="18"/>
      <c r="GH90" s="18"/>
      <c r="GI90" s="18"/>
      <c r="GJ90" s="18"/>
      <c r="GK90" s="18"/>
      <c r="GL90" s="18"/>
      <c r="GM90" s="18"/>
      <c r="GN90" s="18"/>
      <c r="GO90" s="18"/>
      <c r="GP90" s="18"/>
      <c r="GQ90" s="18"/>
      <c r="GR90" s="18"/>
      <c r="GS90" s="18"/>
      <c r="GT90" s="18"/>
      <c r="GU90" s="18"/>
      <c r="GV90" s="18"/>
      <c r="GW90" s="18"/>
      <c r="GX90" s="18"/>
      <c r="GY90" s="18"/>
      <c r="GZ90" s="18"/>
      <c r="HA90" s="18"/>
      <c r="HB90" s="18"/>
      <c r="HC90" s="18"/>
      <c r="HD90" s="18"/>
      <c r="HE90" s="18"/>
      <c r="HF90" s="18"/>
      <c r="HG90" s="18"/>
      <c r="HH90" s="18"/>
      <c r="HI90" s="18"/>
      <c r="HJ90" s="18"/>
      <c r="HK90" s="18"/>
      <c r="HL90" s="18"/>
      <c r="HM90" s="18"/>
      <c r="HN90" s="18"/>
      <c r="HO90" s="18"/>
      <c r="HP90" s="18"/>
      <c r="HQ90" s="18"/>
      <c r="HR90" s="18"/>
      <c r="HS90" s="18"/>
      <c r="HT90" s="18"/>
      <c r="HU90" s="18"/>
      <c r="HV90" s="18"/>
      <c r="HW90" s="18"/>
      <c r="HX90" s="18"/>
      <c r="HY90" s="18"/>
      <c r="HZ90" s="18"/>
      <c r="IA90" s="18"/>
      <c r="IB90" s="18"/>
      <c r="IC90" s="18"/>
      <c r="ID90" s="18"/>
      <c r="IE90" s="18"/>
      <c r="IF90" s="18"/>
      <c r="IG90" s="18"/>
      <c r="IH90" s="18"/>
      <c r="II90" s="18"/>
      <c r="IJ90" s="18"/>
      <c r="IK90" s="18"/>
      <c r="IL90" s="18"/>
      <c r="IM90" s="18"/>
      <c r="IN90" s="18"/>
      <c r="IO90" s="18"/>
      <c r="IP90" s="18"/>
      <c r="IQ90" s="18"/>
      <c r="IR90" s="18"/>
      <c r="IS90" s="18"/>
      <c r="IT90" s="18"/>
      <c r="IU90" s="18"/>
      <c r="IV90" s="18"/>
      <c r="IW90" s="18"/>
      <c r="IX90" s="18"/>
      <c r="IY90" s="18"/>
      <c r="IZ90" s="18"/>
      <c r="JA90" s="18"/>
      <c r="JB90" s="18"/>
      <c r="JC90" s="18"/>
      <c r="JD90" s="18"/>
      <c r="JE90" s="18"/>
      <c r="JF90" s="18"/>
      <c r="JG90" s="18"/>
      <c r="JH90" s="18"/>
      <c r="JI90" s="18"/>
      <c r="JJ90" s="18"/>
      <c r="JK90" s="18"/>
      <c r="JL90" s="18"/>
      <c r="JM90" s="18"/>
      <c r="JN90" s="18"/>
      <c r="JO90" s="18"/>
      <c r="JP90" s="18"/>
      <c r="JQ90" s="18"/>
      <c r="JR90" s="18"/>
      <c r="JS90" s="18"/>
      <c r="JT90" s="18"/>
      <c r="JU90" s="18"/>
      <c r="JV90" s="18"/>
      <c r="JW90" s="18"/>
      <c r="JX90" s="18"/>
      <c r="JY90" s="18"/>
      <c r="JZ90" s="18"/>
      <c r="KA90" s="18"/>
      <c r="KB90" s="18"/>
      <c r="KC90" s="18"/>
      <c r="KD90" s="18"/>
      <c r="KE90" s="18"/>
      <c r="KF90" s="18"/>
      <c r="KG90" s="18"/>
      <c r="KH90" s="18"/>
      <c r="KI90" s="18"/>
      <c r="KJ90" s="18"/>
      <c r="KK90" s="18"/>
      <c r="KL90" s="18"/>
      <c r="KM90" s="18"/>
      <c r="KN90" s="18"/>
      <c r="KO90" s="18"/>
      <c r="KP90" s="18"/>
      <c r="KQ90" s="18"/>
      <c r="KR90" s="18"/>
      <c r="KS90" s="18"/>
      <c r="KT90" s="18"/>
      <c r="KU90" s="18"/>
      <c r="KV90" s="18"/>
      <c r="KW90" s="18"/>
      <c r="KX90" s="18"/>
      <c r="KY90" s="18"/>
      <c r="KZ90" s="18"/>
      <c r="LA90" s="18"/>
      <c r="LB90" s="18"/>
      <c r="LC90" s="18"/>
      <c r="LD90" s="18"/>
      <c r="LE90" s="18"/>
      <c r="LF90" s="18"/>
      <c r="LG90" s="18"/>
      <c r="LH90" s="18"/>
      <c r="LI90" s="18"/>
      <c r="LJ90" s="18"/>
      <c r="LK90" s="18"/>
      <c r="LL90" s="18"/>
      <c r="LM90" s="18"/>
      <c r="LN90" s="18"/>
      <c r="LO90" s="18"/>
      <c r="LP90" s="18"/>
      <c r="LQ90" s="18"/>
      <c r="LR90" s="18"/>
      <c r="LS90" s="18"/>
      <c r="LT90" s="18"/>
      <c r="LU90" s="18"/>
      <c r="LV90" s="18"/>
      <c r="LW90" s="18"/>
      <c r="LX90" s="18"/>
      <c r="LY90" s="18"/>
      <c r="LZ90" s="18"/>
      <c r="MA90" s="18"/>
      <c r="MB90" s="18"/>
      <c r="MC90" s="18"/>
      <c r="MD90" s="18"/>
      <c r="ME90" s="18"/>
      <c r="MF90" s="18"/>
      <c r="MG90" s="18"/>
      <c r="MH90" s="18"/>
      <c r="MI90" s="18"/>
      <c r="MJ90" s="18"/>
      <c r="MK90" s="18"/>
      <c r="ML90" s="18"/>
      <c r="MM90" s="18"/>
      <c r="MN90" s="18"/>
      <c r="MO90" s="18"/>
      <c r="MP90" s="18"/>
      <c r="MQ90" s="18"/>
      <c r="MR90" s="18"/>
      <c r="MS90" s="18"/>
      <c r="MT90" s="18"/>
      <c r="MU90" s="18"/>
      <c r="MV90" s="18"/>
      <c r="MW90" s="18"/>
      <c r="MX90" s="18"/>
      <c r="MY90" s="18"/>
      <c r="MZ90" s="18"/>
      <c r="NA90" s="18"/>
      <c r="NB90" s="18"/>
      <c r="NC90" s="18"/>
      <c r="ND90" s="18"/>
      <c r="NE90" s="18"/>
      <c r="NF90" s="18"/>
      <c r="NG90" s="18"/>
      <c r="NH90" s="18"/>
      <c r="NI90" s="18"/>
      <c r="NJ90" s="18"/>
      <c r="NK90" s="18"/>
      <c r="NL90" s="18"/>
      <c r="NM90" s="18"/>
      <c r="NN90" s="18"/>
      <c r="NO90" s="18"/>
      <c r="NP90" s="18"/>
      <c r="NQ90" s="18"/>
      <c r="NR90" s="18"/>
      <c r="NS90" s="18"/>
      <c r="NT90" s="18"/>
      <c r="NU90" s="18"/>
      <c r="NV90" s="18"/>
      <c r="NW90" s="18"/>
      <c r="NX90" s="18"/>
      <c r="NY90" s="18"/>
      <c r="NZ90" s="18"/>
      <c r="OA90" s="18"/>
      <c r="OB90" s="18"/>
      <c r="OC90" s="18"/>
      <c r="OD90" s="18"/>
      <c r="OE90" s="18"/>
      <c r="OF90" s="18"/>
      <c r="OG90" s="18"/>
      <c r="OH90" s="18"/>
      <c r="OI90" s="18"/>
      <c r="OJ90" s="18"/>
      <c r="OK90" s="18"/>
      <c r="OL90" s="18"/>
      <c r="OM90" s="18"/>
      <c r="ON90" s="18"/>
      <c r="OO90" s="18"/>
      <c r="OP90" s="18"/>
      <c r="OQ90" s="18"/>
      <c r="OR90" s="18"/>
      <c r="OS90" s="18"/>
      <c r="OT90" s="18"/>
      <c r="OU90" s="18"/>
      <c r="OV90" s="18"/>
      <c r="OW90" s="18"/>
      <c r="OX90" s="18"/>
      <c r="OY90" s="18"/>
      <c r="OZ90" s="18"/>
      <c r="PA90" s="18"/>
      <c r="PB90" s="18"/>
      <c r="PC90" s="18"/>
      <c r="PD90" s="18"/>
      <c r="PE90" s="18"/>
      <c r="PF90" s="18"/>
      <c r="PG90" s="18"/>
      <c r="PH90" s="18"/>
      <c r="PI90" s="18"/>
      <c r="PJ90" s="18"/>
      <c r="PK90" s="18"/>
      <c r="PL90" s="18"/>
      <c r="PM90" s="18"/>
      <c r="PN90" s="18"/>
      <c r="PO90" s="18"/>
      <c r="PP90" s="18"/>
      <c r="PQ90" s="18"/>
      <c r="PR90" s="18"/>
      <c r="PS90" s="18"/>
      <c r="PT90" s="18"/>
      <c r="PU90" s="18"/>
      <c r="PV90" s="18"/>
      <c r="PW90" s="18"/>
      <c r="PX90" s="18"/>
      <c r="PY90" s="18"/>
      <c r="PZ90" s="18"/>
      <c r="QA90" s="18"/>
      <c r="QB90" s="18"/>
      <c r="QC90" s="18"/>
      <c r="QD90" s="18"/>
      <c r="QE90" s="18"/>
      <c r="QF90" s="18"/>
      <c r="QG90" s="18"/>
      <c r="QH90" s="18"/>
      <c r="QI90" s="18"/>
      <c r="QJ90" s="18"/>
      <c r="QK90" s="18"/>
      <c r="QL90" s="18"/>
      <c r="QM90" s="18"/>
      <c r="QN90" s="18"/>
      <c r="QO90" s="18"/>
      <c r="QP90" s="18"/>
      <c r="QQ90" s="18"/>
      <c r="QR90" s="18"/>
      <c r="QS90" s="18"/>
      <c r="QT90" s="18"/>
      <c r="QU90" s="18"/>
      <c r="QV90" s="18"/>
      <c r="QW90" s="18"/>
      <c r="QX90" s="18"/>
      <c r="QY90" s="18"/>
      <c r="QZ90" s="18"/>
      <c r="RA90" s="18"/>
      <c r="RB90" s="18"/>
      <c r="RC90" s="18"/>
      <c r="RD90" s="18"/>
      <c r="RE90" s="18"/>
      <c r="RF90" s="18"/>
      <c r="RG90" s="18"/>
      <c r="RH90" s="18"/>
      <c r="RI90" s="18"/>
      <c r="RJ90" s="18"/>
      <c r="RK90" s="18"/>
      <c r="RL90" s="18"/>
      <c r="RM90" s="18"/>
      <c r="RN90" s="18"/>
      <c r="RO90" s="18"/>
      <c r="RP90" s="18"/>
      <c r="RQ90" s="18"/>
      <c r="RR90" s="18"/>
      <c r="RS90" s="18"/>
      <c r="RT90" s="18"/>
      <c r="RU90" s="18"/>
      <c r="RV90" s="18"/>
      <c r="RW90" s="18"/>
      <c r="RX90" s="18"/>
      <c r="RY90" s="18"/>
      <c r="RZ90" s="18"/>
      <c r="SA90" s="18"/>
      <c r="SB90" s="18"/>
      <c r="SC90" s="18"/>
      <c r="SD90" s="18"/>
      <c r="SE90" s="18"/>
      <c r="SF90" s="18"/>
      <c r="SG90" s="18"/>
      <c r="SH90" s="18"/>
      <c r="SI90" s="18"/>
      <c r="SJ90" s="18"/>
      <c r="SK90" s="18"/>
      <c r="SL90" s="18"/>
      <c r="SM90" s="18"/>
      <c r="SN90" s="18"/>
      <c r="SO90" s="18"/>
      <c r="SP90" s="18"/>
      <c r="SQ90" s="18"/>
      <c r="SR90" s="18"/>
      <c r="SS90" s="18"/>
      <c r="ST90" s="18"/>
      <c r="SU90" s="18"/>
      <c r="SV90" s="18"/>
      <c r="SW90" s="18"/>
      <c r="SX90" s="18"/>
      <c r="SY90" s="18"/>
      <c r="SZ90" s="18"/>
      <c r="TA90" s="18"/>
      <c r="TB90" s="18"/>
      <c r="TC90" s="18"/>
      <c r="TD90" s="18"/>
      <c r="TE90" s="18"/>
      <c r="TF90" s="18"/>
      <c r="TG90" s="18"/>
      <c r="TH90" s="18"/>
      <c r="TI90" s="18"/>
      <c r="TJ90" s="18"/>
      <c r="TK90" s="18"/>
      <c r="TL90" s="18"/>
      <c r="TM90" s="18"/>
      <c r="TN90" s="18"/>
      <c r="TO90" s="18"/>
      <c r="TP90" s="18"/>
      <c r="TQ90" s="18"/>
      <c r="TR90" s="18"/>
      <c r="TS90" s="18"/>
      <c r="TT90" s="18"/>
      <c r="TU90" s="18"/>
      <c r="TV90" s="18"/>
      <c r="TW90" s="18"/>
      <c r="TX90" s="18"/>
      <c r="TY90" s="18"/>
      <c r="TZ90" s="18"/>
      <c r="UA90" s="18"/>
      <c r="UB90" s="18"/>
      <c r="UC90" s="18"/>
      <c r="UD90" s="18"/>
      <c r="UE90" s="18"/>
      <c r="UF90" s="18"/>
      <c r="UG90" s="18"/>
      <c r="UH90" s="18"/>
      <c r="UI90" s="18"/>
      <c r="UJ90" s="18"/>
      <c r="UK90" s="18"/>
      <c r="UL90" s="18"/>
      <c r="UM90" s="18"/>
      <c r="UN90" s="18"/>
      <c r="UO90" s="18"/>
      <c r="UP90" s="18"/>
      <c r="UQ90" s="18"/>
      <c r="UR90" s="18"/>
      <c r="US90" s="18"/>
      <c r="UT90" s="18"/>
      <c r="UU90" s="18"/>
      <c r="UV90" s="18"/>
      <c r="UW90" s="18"/>
      <c r="UX90" s="18"/>
      <c r="UY90" s="18"/>
      <c r="UZ90" s="18"/>
      <c r="VA90" s="18"/>
      <c r="VB90" s="18"/>
      <c r="VC90" s="18"/>
      <c r="VD90" s="18"/>
      <c r="VE90" s="18"/>
      <c r="VF90" s="18"/>
      <c r="VG90" s="18"/>
      <c r="VH90" s="18"/>
      <c r="VI90" s="18"/>
      <c r="VJ90" s="18"/>
      <c r="VK90" s="18"/>
      <c r="VL90" s="18"/>
      <c r="VM90" s="18"/>
      <c r="VN90" s="18"/>
      <c r="VO90" s="18"/>
      <c r="VP90" s="18"/>
      <c r="VQ90" s="18"/>
      <c r="VR90" s="18"/>
      <c r="VS90" s="18"/>
      <c r="VT90" s="18"/>
      <c r="VU90" s="18"/>
      <c r="VV90" s="18"/>
      <c r="VW90" s="18"/>
      <c r="VX90" s="18"/>
      <c r="VY90" s="18"/>
      <c r="VZ90" s="18"/>
      <c r="WA90" s="18"/>
      <c r="WB90" s="18"/>
      <c r="WC90" s="18"/>
      <c r="WD90" s="18"/>
      <c r="WE90" s="18"/>
      <c r="WF90" s="18"/>
      <c r="WG90" s="18"/>
      <c r="WH90" s="18"/>
      <c r="WI90" s="18"/>
      <c r="WJ90" s="18"/>
      <c r="WK90" s="18"/>
      <c r="WL90" s="18"/>
      <c r="WM90" s="18"/>
      <c r="WN90" s="18"/>
      <c r="WO90" s="18"/>
      <c r="WP90" s="18"/>
      <c r="WQ90" s="18"/>
      <c r="WR90" s="18"/>
      <c r="WS90" s="18"/>
      <c r="WT90" s="18"/>
      <c r="WU90" s="18"/>
      <c r="WV90" s="18"/>
      <c r="WW90" s="18"/>
      <c r="WX90" s="18"/>
      <c r="WY90" s="18"/>
      <c r="WZ90" s="18"/>
      <c r="XA90" s="18"/>
      <c r="XB90" s="18"/>
      <c r="XC90" s="18"/>
      <c r="XD90" s="18"/>
      <c r="XE90" s="18"/>
      <c r="XF90" s="18"/>
      <c r="XG90" s="18"/>
      <c r="XH90" s="18"/>
      <c r="XI90" s="18"/>
      <c r="XJ90" s="18"/>
      <c r="XK90" s="18"/>
      <c r="XL90" s="18"/>
      <c r="XM90" s="18"/>
      <c r="XN90" s="18"/>
      <c r="XO90" s="18"/>
      <c r="XP90" s="18"/>
      <c r="XQ90" s="18"/>
      <c r="XR90" s="18"/>
      <c r="XS90" s="18"/>
      <c r="XT90" s="18"/>
      <c r="XU90" s="18"/>
      <c r="XV90" s="18"/>
      <c r="XW90" s="18"/>
      <c r="XX90" s="18"/>
      <c r="XY90" s="18"/>
      <c r="XZ90" s="18"/>
      <c r="YA90" s="18"/>
      <c r="YB90" s="18"/>
      <c r="YC90" s="18"/>
      <c r="YD90" s="18"/>
      <c r="YE90" s="18"/>
      <c r="YF90" s="18"/>
      <c r="YG90" s="18"/>
      <c r="YH90" s="18"/>
      <c r="YI90" s="18"/>
      <c r="YJ90" s="18"/>
      <c r="YK90" s="18"/>
      <c r="YL90" s="18"/>
      <c r="YM90" s="18"/>
      <c r="YN90" s="18"/>
      <c r="YO90" s="18"/>
      <c r="YP90" s="18"/>
      <c r="YQ90" s="18"/>
      <c r="YR90" s="18"/>
      <c r="YS90" s="18"/>
      <c r="YT90" s="18"/>
      <c r="YU90" s="18"/>
      <c r="YV90" s="18"/>
      <c r="YW90" s="18"/>
      <c r="YX90" s="18"/>
      <c r="YY90" s="18"/>
      <c r="YZ90" s="18"/>
      <c r="ZA90" s="18"/>
      <c r="ZB90" s="18"/>
      <c r="ZC90" s="18"/>
      <c r="ZD90" s="18"/>
      <c r="ZE90" s="18"/>
      <c r="ZF90" s="18"/>
      <c r="ZG90" s="18"/>
      <c r="ZH90" s="18"/>
      <c r="ZI90" s="18"/>
      <c r="ZJ90" s="18"/>
      <c r="ZK90" s="18"/>
      <c r="ZL90" s="18"/>
      <c r="ZM90" s="18"/>
      <c r="ZN90" s="18"/>
      <c r="ZO90" s="18"/>
      <c r="ZP90" s="18"/>
      <c r="ZQ90" s="18"/>
      <c r="ZR90" s="18"/>
      <c r="ZS90" s="18"/>
      <c r="ZT90" s="18"/>
      <c r="ZU90" s="18"/>
      <c r="ZV90" s="18"/>
      <c r="ZW90" s="18"/>
      <c r="ZX90" s="18"/>
      <c r="ZY90" s="18"/>
      <c r="ZZ90" s="18"/>
      <c r="AAA90" s="18"/>
      <c r="AAB90" s="18"/>
      <c r="AAC90" s="18"/>
      <c r="AAD90" s="18"/>
      <c r="AAE90" s="18"/>
      <c r="AAF90" s="18"/>
      <c r="AAG90" s="18"/>
      <c r="AAH90" s="18"/>
      <c r="AAI90" s="18"/>
      <c r="AAJ90" s="18"/>
      <c r="AAK90" s="18"/>
      <c r="AAL90" s="18"/>
      <c r="AAM90" s="18"/>
      <c r="AAN90" s="18"/>
      <c r="AAO90" s="18"/>
      <c r="AAP90" s="18"/>
      <c r="AAQ90" s="18"/>
      <c r="AAR90" s="18"/>
      <c r="AAS90" s="18"/>
      <c r="AAT90" s="18"/>
      <c r="AAU90" s="18"/>
      <c r="AAV90" s="18"/>
      <c r="AAW90" s="18"/>
      <c r="AAX90" s="18"/>
      <c r="AAY90" s="18"/>
      <c r="AAZ90" s="18"/>
      <c r="ABA90" s="18"/>
      <c r="ABB90" s="18"/>
      <c r="ABC90" s="18"/>
      <c r="ABD90" s="18"/>
      <c r="ABE90" s="18"/>
      <c r="ABF90" s="18"/>
      <c r="ABG90" s="18"/>
      <c r="ABH90" s="18"/>
      <c r="ABI90" s="18"/>
      <c r="ABJ90" s="18"/>
      <c r="ABK90" s="18"/>
      <c r="ABL90" s="18"/>
      <c r="ABM90" s="18"/>
      <c r="ABN90" s="18"/>
      <c r="ABO90" s="18"/>
      <c r="ABP90" s="18"/>
      <c r="ABQ90" s="18"/>
      <c r="ABR90" s="18"/>
      <c r="ABS90" s="18"/>
      <c r="ABT90" s="18"/>
      <c r="ABU90" s="18"/>
      <c r="ABV90" s="18"/>
      <c r="ABW90" s="18"/>
      <c r="ABX90" s="18"/>
      <c r="ABY90" s="18"/>
      <c r="ABZ90" s="18"/>
      <c r="ACA90" s="18"/>
      <c r="ACB90" s="18"/>
      <c r="ACC90" s="18"/>
      <c r="ACD90" s="18"/>
      <c r="ACE90" s="18"/>
      <c r="ACF90" s="18"/>
      <c r="ACG90" s="18"/>
      <c r="ACH90" s="18"/>
      <c r="ACI90" s="18"/>
      <c r="ACJ90" s="18"/>
      <c r="ACK90" s="18"/>
      <c r="ACL90" s="18"/>
      <c r="ACM90" s="18"/>
      <c r="ACN90" s="18"/>
      <c r="ACO90" s="18"/>
      <c r="ACP90" s="18"/>
      <c r="ACQ90" s="18"/>
      <c r="ACR90" s="18"/>
      <c r="ACS90" s="18"/>
      <c r="ACT90" s="18"/>
      <c r="ACU90" s="18"/>
      <c r="ACV90" s="18"/>
      <c r="ACW90" s="18"/>
      <c r="ACX90" s="18"/>
      <c r="ACY90" s="18"/>
      <c r="ACZ90" s="18"/>
      <c r="ADA90" s="18"/>
      <c r="ADB90" s="18"/>
      <c r="ADC90" s="18"/>
      <c r="ADD90" s="18"/>
      <c r="ADE90" s="18"/>
      <c r="ADF90" s="18"/>
      <c r="ADG90" s="18"/>
      <c r="ADH90" s="18"/>
      <c r="ADI90" s="18"/>
      <c r="ADJ90" s="18"/>
      <c r="ADK90" s="18"/>
      <c r="ADL90" s="18"/>
      <c r="ADM90" s="18"/>
      <c r="ADN90" s="18"/>
      <c r="ADO90" s="18"/>
      <c r="ADP90" s="18"/>
      <c r="ADQ90" s="18"/>
      <c r="ADR90" s="18"/>
      <c r="ADS90" s="18"/>
      <c r="ADT90" s="18"/>
      <c r="ADU90" s="18"/>
      <c r="ADV90" s="18"/>
      <c r="ADW90" s="18"/>
      <c r="ADX90" s="18"/>
      <c r="ADY90" s="18"/>
      <c r="ADZ90" s="18"/>
      <c r="AEA90" s="18"/>
      <c r="AEB90" s="18"/>
      <c r="AEC90" s="18"/>
      <c r="AED90" s="18"/>
      <c r="AEE90" s="18"/>
      <c r="AEF90" s="18"/>
      <c r="AEG90" s="18"/>
      <c r="AEH90" s="18"/>
      <c r="AEI90" s="18"/>
      <c r="AEJ90" s="18"/>
      <c r="AEK90" s="18"/>
      <c r="AEL90" s="18"/>
      <c r="AEM90" s="18"/>
      <c r="AEN90" s="18"/>
      <c r="AEO90" s="18"/>
      <c r="AEP90" s="18"/>
      <c r="AEQ90" s="18"/>
      <c r="AER90" s="18"/>
      <c r="AES90" s="18"/>
      <c r="AET90" s="18"/>
      <c r="AEU90" s="18"/>
      <c r="AEV90" s="18"/>
      <c r="AEW90" s="18"/>
      <c r="AEX90" s="18"/>
      <c r="AEY90" s="18"/>
      <c r="AEZ90" s="18"/>
      <c r="AFA90" s="18"/>
      <c r="AFB90" s="18"/>
      <c r="AFC90" s="18"/>
      <c r="AFD90" s="18"/>
      <c r="AFE90" s="18"/>
      <c r="AFF90" s="18"/>
      <c r="AFG90" s="18"/>
      <c r="AFH90" s="18"/>
      <c r="AFI90" s="18"/>
      <c r="AFJ90" s="18"/>
      <c r="AFK90" s="18"/>
      <c r="AFL90" s="18"/>
      <c r="AFM90" s="18"/>
      <c r="AFN90" s="18"/>
      <c r="AFO90" s="18"/>
      <c r="AFP90" s="18"/>
      <c r="AFQ90" s="18"/>
      <c r="AFR90" s="18"/>
      <c r="AFS90" s="18"/>
      <c r="AFT90" s="18"/>
      <c r="AFU90" s="18"/>
      <c r="AFV90" s="18"/>
      <c r="AFW90" s="18"/>
      <c r="AFX90" s="18"/>
      <c r="AFY90" s="18"/>
      <c r="AFZ90" s="18"/>
      <c r="AGA90" s="18"/>
      <c r="AGB90" s="18"/>
      <c r="AGC90" s="18"/>
      <c r="AGD90" s="18"/>
      <c r="AGE90" s="18"/>
      <c r="AGF90" s="18"/>
      <c r="AGG90" s="18"/>
      <c r="AGH90" s="18"/>
      <c r="AGI90" s="18"/>
      <c r="AGJ90" s="18"/>
      <c r="AGK90" s="18"/>
      <c r="AGL90" s="18"/>
      <c r="AGM90" s="18"/>
      <c r="AGN90" s="18"/>
      <c r="AGO90" s="18"/>
      <c r="AGP90" s="18"/>
      <c r="AGQ90" s="18"/>
      <c r="AGR90" s="18"/>
      <c r="AGS90" s="18"/>
      <c r="AGT90" s="18"/>
      <c r="AGU90" s="18"/>
      <c r="AGV90" s="18"/>
      <c r="AGW90" s="18"/>
      <c r="AGX90" s="18"/>
      <c r="AGY90" s="18"/>
      <c r="AGZ90" s="18"/>
      <c r="AHA90" s="18"/>
      <c r="AHB90" s="18"/>
      <c r="AHC90" s="18"/>
      <c r="AHD90" s="18"/>
      <c r="AHE90" s="18"/>
      <c r="AHF90" s="18"/>
      <c r="AHG90" s="18"/>
      <c r="AHH90" s="18"/>
      <c r="AHI90" s="18"/>
      <c r="AHJ90" s="18"/>
      <c r="AHK90" s="18"/>
      <c r="AHL90" s="18"/>
      <c r="AHM90" s="18"/>
      <c r="AHN90" s="18"/>
      <c r="AHO90" s="18"/>
      <c r="AHP90" s="18"/>
      <c r="AHQ90" s="18"/>
      <c r="AHR90" s="18"/>
      <c r="AHS90" s="18"/>
      <c r="AHT90" s="18"/>
      <c r="AHU90" s="18"/>
      <c r="AHV90" s="18"/>
      <c r="AHW90" s="18"/>
      <c r="AHX90" s="18"/>
      <c r="AHY90" s="18"/>
      <c r="AHZ90" s="18"/>
      <c r="AIA90" s="18"/>
      <c r="AIB90" s="18"/>
      <c r="AIC90" s="18"/>
      <c r="AID90" s="18"/>
      <c r="AIE90" s="18"/>
      <c r="AIF90" s="18"/>
      <c r="AIG90" s="18"/>
      <c r="AIH90" s="18"/>
      <c r="AII90" s="18"/>
      <c r="AIJ90" s="18"/>
      <c r="AIK90" s="18"/>
      <c r="AIL90" s="18"/>
      <c r="AIM90" s="18"/>
      <c r="AIN90" s="18"/>
      <c r="AIO90" s="18"/>
      <c r="AIP90" s="18"/>
      <c r="AIQ90" s="18"/>
      <c r="AIR90" s="18"/>
      <c r="AIS90" s="18"/>
      <c r="AIT90" s="18"/>
      <c r="AIU90" s="18"/>
      <c r="AIV90" s="18"/>
      <c r="AIW90" s="18"/>
      <c r="AIX90" s="18"/>
      <c r="AIY90" s="18"/>
      <c r="AIZ90" s="18"/>
      <c r="AJA90" s="18"/>
      <c r="AJB90" s="18"/>
      <c r="AJC90" s="18"/>
      <c r="AJD90" s="18"/>
      <c r="AJE90" s="18"/>
      <c r="AJF90" s="18"/>
      <c r="AJG90" s="18"/>
      <c r="AJH90" s="18"/>
      <c r="AJI90" s="18"/>
      <c r="AJJ90" s="18"/>
      <c r="AJK90" s="18"/>
      <c r="AJL90" s="18"/>
      <c r="AJM90" s="18"/>
      <c r="AJN90" s="18"/>
      <c r="AJO90" s="18"/>
      <c r="AJP90" s="18"/>
      <c r="AJQ90" s="18"/>
      <c r="AJR90" s="18"/>
      <c r="AJS90" s="18"/>
      <c r="AJT90" s="18"/>
      <c r="AJU90" s="18"/>
      <c r="AJV90" s="18"/>
      <c r="AJW90" s="18"/>
      <c r="AJX90" s="18"/>
      <c r="AJY90" s="18"/>
      <c r="AJZ90" s="18"/>
      <c r="AKA90" s="18"/>
      <c r="AKB90" s="18"/>
      <c r="AKC90" s="18"/>
      <c r="AKD90" s="18"/>
      <c r="AKE90" s="18"/>
      <c r="AKF90" s="18"/>
      <c r="AKG90" s="18"/>
      <c r="AKH90" s="18"/>
      <c r="AKI90" s="18"/>
      <c r="AKJ90" s="18"/>
      <c r="AKK90" s="18"/>
      <c r="AKL90" s="18"/>
      <c r="AKM90" s="18"/>
      <c r="AKN90" s="18"/>
      <c r="AKO90" s="18"/>
      <c r="AKP90" s="18"/>
      <c r="AKQ90" s="18"/>
      <c r="AKR90" s="18"/>
      <c r="AKS90" s="18"/>
      <c r="AKT90" s="18"/>
      <c r="AKU90" s="18"/>
      <c r="AKV90" s="18"/>
      <c r="AKW90" s="18"/>
      <c r="AKX90" s="18"/>
      <c r="AKY90" s="18"/>
      <c r="AKZ90" s="18"/>
      <c r="ALA90" s="18"/>
      <c r="ALB90" s="18"/>
      <c r="ALC90" s="18"/>
      <c r="ALD90" s="18"/>
      <c r="ALE90" s="18"/>
      <c r="ALF90" s="18"/>
      <c r="ALG90" s="18"/>
      <c r="ALH90" s="18"/>
      <c r="ALI90" s="18"/>
      <c r="ALJ90" s="18"/>
      <c r="ALK90" s="18"/>
      <c r="ALL90" s="18"/>
      <c r="ALM90" s="18"/>
      <c r="ALN90" s="18"/>
      <c r="ALO90" s="18"/>
      <c r="ALP90" s="18"/>
      <c r="ALQ90" s="18"/>
      <c r="ALR90" s="18"/>
      <c r="ALS90" s="18"/>
      <c r="ALT90" s="18"/>
      <c r="ALU90" s="18"/>
      <c r="ALV90" s="18"/>
      <c r="ALW90" s="18"/>
      <c r="ALX90" s="18"/>
      <c r="ALY90" s="18"/>
      <c r="ALZ90" s="18"/>
      <c r="AMA90" s="18"/>
      <c r="AMB90" s="18"/>
      <c r="AMC90" s="18"/>
      <c r="AMD90" s="18"/>
      <c r="AME90" s="18"/>
      <c r="AMF90" s="18"/>
      <c r="AMG90" s="18"/>
      <c r="AMH90" s="18"/>
    </row>
    <row r="91" spans="1:1022" s="23" customFormat="1" x14ac:dyDescent="0.3">
      <c r="A91" s="33">
        <v>187</v>
      </c>
      <c r="B91" s="19"/>
      <c r="C91" s="19"/>
      <c r="D91" s="34" t="s">
        <v>360</v>
      </c>
      <c r="E91" s="34" t="s">
        <v>510</v>
      </c>
      <c r="F91" s="43">
        <v>60</v>
      </c>
      <c r="G91" s="19"/>
      <c r="H91" s="38" t="s">
        <v>281</v>
      </c>
      <c r="I91" s="31"/>
      <c r="J91" s="31"/>
      <c r="K91" s="31"/>
      <c r="L91" s="31"/>
      <c r="M91" s="32"/>
      <c r="N91" s="32"/>
      <c r="O91" s="18"/>
      <c r="P91" s="36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/>
      <c r="BM91" s="18"/>
      <c r="BN91" s="18"/>
      <c r="BO91" s="18"/>
      <c r="BP91" s="18"/>
      <c r="BQ91" s="18"/>
      <c r="BR91" s="18"/>
      <c r="BS91" s="18"/>
      <c r="BT91" s="18"/>
      <c r="BU91" s="18"/>
      <c r="BV91" s="18"/>
      <c r="BW91" s="18"/>
      <c r="BX91" s="18"/>
      <c r="BY91" s="18"/>
      <c r="BZ91" s="18"/>
      <c r="CA91" s="18"/>
      <c r="CB91" s="18"/>
      <c r="CC91" s="18"/>
      <c r="CD91" s="18"/>
      <c r="CE91" s="18"/>
      <c r="CF91" s="18"/>
      <c r="CG91" s="18"/>
      <c r="CH91" s="18"/>
      <c r="CI91" s="18"/>
      <c r="CJ91" s="18"/>
      <c r="CK91" s="18"/>
      <c r="CL91" s="18"/>
      <c r="CM91" s="18"/>
      <c r="CN91" s="18"/>
      <c r="CO91" s="18"/>
      <c r="CP91" s="18"/>
      <c r="CQ91" s="18"/>
      <c r="CR91" s="18"/>
      <c r="CS91" s="18"/>
      <c r="CT91" s="18"/>
      <c r="CU91" s="18"/>
      <c r="CV91" s="18"/>
      <c r="CW91" s="18"/>
      <c r="CX91" s="18"/>
      <c r="CY91" s="18"/>
      <c r="CZ91" s="18"/>
      <c r="DA91" s="18"/>
      <c r="DB91" s="18"/>
      <c r="DC91" s="18"/>
      <c r="DD91" s="18"/>
      <c r="DE91" s="18"/>
      <c r="DF91" s="18"/>
      <c r="DG91" s="18"/>
      <c r="DH91" s="18"/>
      <c r="DI91" s="18"/>
      <c r="DJ91" s="18"/>
      <c r="DK91" s="18"/>
      <c r="DL91" s="18"/>
      <c r="DM91" s="18"/>
      <c r="DN91" s="18"/>
      <c r="DO91" s="18"/>
      <c r="DP91" s="18"/>
      <c r="DQ91" s="18"/>
      <c r="DR91" s="18"/>
      <c r="DS91" s="18"/>
      <c r="DT91" s="18"/>
      <c r="DU91" s="18"/>
      <c r="DV91" s="18"/>
      <c r="DW91" s="18"/>
      <c r="DX91" s="18"/>
      <c r="DY91" s="18"/>
      <c r="DZ91" s="18"/>
      <c r="EA91" s="18"/>
      <c r="EB91" s="18"/>
      <c r="EC91" s="18"/>
      <c r="ED91" s="18"/>
      <c r="EE91" s="18"/>
      <c r="EF91" s="18"/>
      <c r="EG91" s="18"/>
      <c r="EH91" s="18"/>
      <c r="EI91" s="18"/>
      <c r="EJ91" s="18"/>
      <c r="EK91" s="18"/>
      <c r="EL91" s="18"/>
      <c r="EM91" s="18"/>
      <c r="EN91" s="18"/>
      <c r="EO91" s="18"/>
      <c r="EP91" s="18"/>
      <c r="EQ91" s="18"/>
      <c r="ER91" s="18"/>
      <c r="ES91" s="18"/>
      <c r="ET91" s="18"/>
      <c r="EU91" s="18"/>
      <c r="EV91" s="18"/>
      <c r="EW91" s="18"/>
      <c r="EX91" s="18"/>
      <c r="EY91" s="18"/>
      <c r="EZ91" s="18"/>
      <c r="FA91" s="18"/>
      <c r="FB91" s="18"/>
      <c r="FC91" s="18"/>
      <c r="FD91" s="18"/>
      <c r="FE91" s="18"/>
      <c r="FF91" s="18"/>
      <c r="FG91" s="18"/>
      <c r="FH91" s="18"/>
      <c r="FI91" s="18"/>
      <c r="FJ91" s="18"/>
      <c r="FK91" s="18"/>
      <c r="FL91" s="18"/>
      <c r="FM91" s="18"/>
      <c r="FN91" s="18"/>
      <c r="FO91" s="18"/>
      <c r="FP91" s="18"/>
      <c r="FQ91" s="18"/>
      <c r="FR91" s="18"/>
      <c r="FS91" s="18"/>
      <c r="FT91" s="18"/>
      <c r="FU91" s="18"/>
      <c r="FV91" s="18"/>
      <c r="FW91" s="18"/>
      <c r="FX91" s="18"/>
      <c r="FY91" s="18"/>
      <c r="FZ91" s="18"/>
      <c r="GA91" s="18"/>
      <c r="GB91" s="18"/>
      <c r="GC91" s="18"/>
      <c r="GD91" s="18"/>
      <c r="GE91" s="18"/>
      <c r="GF91" s="18"/>
      <c r="GG91" s="18"/>
      <c r="GH91" s="18"/>
      <c r="GI91" s="18"/>
      <c r="GJ91" s="18"/>
      <c r="GK91" s="18"/>
      <c r="GL91" s="18"/>
      <c r="GM91" s="18"/>
      <c r="GN91" s="18"/>
      <c r="GO91" s="18"/>
      <c r="GP91" s="18"/>
      <c r="GQ91" s="18"/>
      <c r="GR91" s="18"/>
      <c r="GS91" s="18"/>
      <c r="GT91" s="18"/>
      <c r="GU91" s="18"/>
      <c r="GV91" s="18"/>
      <c r="GW91" s="18"/>
      <c r="GX91" s="18"/>
      <c r="GY91" s="18"/>
      <c r="GZ91" s="18"/>
      <c r="HA91" s="18"/>
      <c r="HB91" s="18"/>
      <c r="HC91" s="18"/>
      <c r="HD91" s="18"/>
      <c r="HE91" s="18"/>
      <c r="HF91" s="18"/>
      <c r="HG91" s="18"/>
      <c r="HH91" s="18"/>
      <c r="HI91" s="18"/>
      <c r="HJ91" s="18"/>
      <c r="HK91" s="18"/>
      <c r="HL91" s="18"/>
      <c r="HM91" s="18"/>
      <c r="HN91" s="18"/>
      <c r="HO91" s="18"/>
      <c r="HP91" s="18"/>
      <c r="HQ91" s="18"/>
      <c r="HR91" s="18"/>
      <c r="HS91" s="18"/>
      <c r="HT91" s="18"/>
      <c r="HU91" s="18"/>
      <c r="HV91" s="18"/>
      <c r="HW91" s="18"/>
      <c r="HX91" s="18"/>
      <c r="HY91" s="18"/>
      <c r="HZ91" s="18"/>
      <c r="IA91" s="18"/>
      <c r="IB91" s="18"/>
      <c r="IC91" s="18"/>
      <c r="ID91" s="18"/>
      <c r="IE91" s="18"/>
      <c r="IF91" s="18"/>
      <c r="IG91" s="18"/>
      <c r="IH91" s="18"/>
      <c r="II91" s="18"/>
      <c r="IJ91" s="18"/>
      <c r="IK91" s="18"/>
      <c r="IL91" s="18"/>
      <c r="IM91" s="18"/>
      <c r="IN91" s="18"/>
      <c r="IO91" s="18"/>
      <c r="IP91" s="18"/>
      <c r="IQ91" s="18"/>
      <c r="IR91" s="18"/>
      <c r="IS91" s="18"/>
      <c r="IT91" s="18"/>
      <c r="IU91" s="18"/>
      <c r="IV91" s="18"/>
      <c r="IW91" s="18"/>
      <c r="IX91" s="18"/>
      <c r="IY91" s="18"/>
      <c r="IZ91" s="18"/>
      <c r="JA91" s="18"/>
      <c r="JB91" s="18"/>
      <c r="JC91" s="18"/>
      <c r="JD91" s="18"/>
      <c r="JE91" s="18"/>
      <c r="JF91" s="18"/>
      <c r="JG91" s="18"/>
      <c r="JH91" s="18"/>
      <c r="JI91" s="18"/>
      <c r="JJ91" s="18"/>
      <c r="JK91" s="18"/>
      <c r="JL91" s="18"/>
      <c r="JM91" s="18"/>
      <c r="JN91" s="18"/>
      <c r="JO91" s="18"/>
      <c r="JP91" s="18"/>
      <c r="JQ91" s="18"/>
      <c r="JR91" s="18"/>
      <c r="JS91" s="18"/>
      <c r="JT91" s="18"/>
      <c r="JU91" s="18"/>
      <c r="JV91" s="18"/>
      <c r="JW91" s="18"/>
      <c r="JX91" s="18"/>
      <c r="JY91" s="18"/>
      <c r="JZ91" s="18"/>
      <c r="KA91" s="18"/>
      <c r="KB91" s="18"/>
      <c r="KC91" s="18"/>
      <c r="KD91" s="18"/>
      <c r="KE91" s="18"/>
      <c r="KF91" s="18"/>
      <c r="KG91" s="18"/>
      <c r="KH91" s="18"/>
      <c r="KI91" s="18"/>
      <c r="KJ91" s="18"/>
      <c r="KK91" s="18"/>
      <c r="KL91" s="18"/>
      <c r="KM91" s="18"/>
      <c r="KN91" s="18"/>
      <c r="KO91" s="18"/>
      <c r="KP91" s="18"/>
      <c r="KQ91" s="18"/>
      <c r="KR91" s="18"/>
      <c r="KS91" s="18"/>
      <c r="KT91" s="18"/>
      <c r="KU91" s="18"/>
      <c r="KV91" s="18"/>
      <c r="KW91" s="18"/>
      <c r="KX91" s="18"/>
      <c r="KY91" s="18"/>
      <c r="KZ91" s="18"/>
      <c r="LA91" s="18"/>
      <c r="LB91" s="18"/>
      <c r="LC91" s="18"/>
      <c r="LD91" s="18"/>
      <c r="LE91" s="18"/>
      <c r="LF91" s="18"/>
      <c r="LG91" s="18"/>
      <c r="LH91" s="18"/>
      <c r="LI91" s="18"/>
      <c r="LJ91" s="18"/>
      <c r="LK91" s="18"/>
      <c r="LL91" s="18"/>
      <c r="LM91" s="18"/>
      <c r="LN91" s="18"/>
      <c r="LO91" s="18"/>
      <c r="LP91" s="18"/>
      <c r="LQ91" s="18"/>
      <c r="LR91" s="18"/>
      <c r="LS91" s="18"/>
      <c r="LT91" s="18"/>
      <c r="LU91" s="18"/>
      <c r="LV91" s="18"/>
      <c r="LW91" s="18"/>
      <c r="LX91" s="18"/>
      <c r="LY91" s="18"/>
      <c r="LZ91" s="18"/>
      <c r="MA91" s="18"/>
      <c r="MB91" s="18"/>
      <c r="MC91" s="18"/>
      <c r="MD91" s="18"/>
      <c r="ME91" s="18"/>
      <c r="MF91" s="18"/>
      <c r="MG91" s="18"/>
      <c r="MH91" s="18"/>
      <c r="MI91" s="18"/>
      <c r="MJ91" s="18"/>
      <c r="MK91" s="18"/>
      <c r="ML91" s="18"/>
      <c r="MM91" s="18"/>
      <c r="MN91" s="18"/>
      <c r="MO91" s="18"/>
      <c r="MP91" s="18"/>
      <c r="MQ91" s="18"/>
      <c r="MR91" s="18"/>
      <c r="MS91" s="18"/>
      <c r="MT91" s="18"/>
      <c r="MU91" s="18"/>
      <c r="MV91" s="18"/>
      <c r="MW91" s="18"/>
      <c r="MX91" s="18"/>
      <c r="MY91" s="18"/>
      <c r="MZ91" s="18"/>
      <c r="NA91" s="18"/>
      <c r="NB91" s="18"/>
      <c r="NC91" s="18"/>
      <c r="ND91" s="18"/>
      <c r="NE91" s="18"/>
      <c r="NF91" s="18"/>
      <c r="NG91" s="18"/>
      <c r="NH91" s="18"/>
      <c r="NI91" s="18"/>
      <c r="NJ91" s="18"/>
      <c r="NK91" s="18"/>
      <c r="NL91" s="18"/>
      <c r="NM91" s="18"/>
      <c r="NN91" s="18"/>
      <c r="NO91" s="18"/>
      <c r="NP91" s="18"/>
      <c r="NQ91" s="18"/>
      <c r="NR91" s="18"/>
      <c r="NS91" s="18"/>
      <c r="NT91" s="18"/>
      <c r="NU91" s="18"/>
      <c r="NV91" s="18"/>
      <c r="NW91" s="18"/>
      <c r="NX91" s="18"/>
      <c r="NY91" s="18"/>
      <c r="NZ91" s="18"/>
      <c r="OA91" s="18"/>
      <c r="OB91" s="18"/>
      <c r="OC91" s="18"/>
      <c r="OD91" s="18"/>
      <c r="OE91" s="18"/>
      <c r="OF91" s="18"/>
      <c r="OG91" s="18"/>
      <c r="OH91" s="18"/>
      <c r="OI91" s="18"/>
      <c r="OJ91" s="18"/>
      <c r="OK91" s="18"/>
      <c r="OL91" s="18"/>
      <c r="OM91" s="18"/>
      <c r="ON91" s="18"/>
      <c r="OO91" s="18"/>
      <c r="OP91" s="18"/>
      <c r="OQ91" s="18"/>
      <c r="OR91" s="18"/>
      <c r="OS91" s="18"/>
      <c r="OT91" s="18"/>
      <c r="OU91" s="18"/>
      <c r="OV91" s="18"/>
      <c r="OW91" s="18"/>
      <c r="OX91" s="18"/>
      <c r="OY91" s="18"/>
      <c r="OZ91" s="18"/>
      <c r="PA91" s="18"/>
      <c r="PB91" s="18"/>
      <c r="PC91" s="18"/>
      <c r="PD91" s="18"/>
      <c r="PE91" s="18"/>
      <c r="PF91" s="18"/>
      <c r="PG91" s="18"/>
      <c r="PH91" s="18"/>
      <c r="PI91" s="18"/>
      <c r="PJ91" s="18"/>
      <c r="PK91" s="18"/>
      <c r="PL91" s="18"/>
      <c r="PM91" s="18"/>
      <c r="PN91" s="18"/>
      <c r="PO91" s="18"/>
      <c r="PP91" s="18"/>
      <c r="PQ91" s="18"/>
      <c r="PR91" s="18"/>
      <c r="PS91" s="18"/>
      <c r="PT91" s="18"/>
      <c r="PU91" s="18"/>
      <c r="PV91" s="18"/>
      <c r="PW91" s="18"/>
      <c r="PX91" s="18"/>
      <c r="PY91" s="18"/>
      <c r="PZ91" s="18"/>
      <c r="QA91" s="18"/>
      <c r="QB91" s="18"/>
      <c r="QC91" s="18"/>
      <c r="QD91" s="18"/>
      <c r="QE91" s="18"/>
      <c r="QF91" s="18"/>
      <c r="QG91" s="18"/>
      <c r="QH91" s="18"/>
      <c r="QI91" s="18"/>
      <c r="QJ91" s="18"/>
      <c r="QK91" s="18"/>
      <c r="QL91" s="18"/>
      <c r="QM91" s="18"/>
      <c r="QN91" s="18"/>
      <c r="QO91" s="18"/>
      <c r="QP91" s="18"/>
      <c r="QQ91" s="18"/>
      <c r="QR91" s="18"/>
      <c r="QS91" s="18"/>
      <c r="QT91" s="18"/>
      <c r="QU91" s="18"/>
      <c r="QV91" s="18"/>
      <c r="QW91" s="18"/>
      <c r="QX91" s="18"/>
      <c r="QY91" s="18"/>
      <c r="QZ91" s="18"/>
      <c r="RA91" s="18"/>
      <c r="RB91" s="18"/>
      <c r="RC91" s="18"/>
      <c r="RD91" s="18"/>
      <c r="RE91" s="18"/>
      <c r="RF91" s="18"/>
      <c r="RG91" s="18"/>
      <c r="RH91" s="18"/>
      <c r="RI91" s="18"/>
      <c r="RJ91" s="18"/>
      <c r="RK91" s="18"/>
      <c r="RL91" s="18"/>
      <c r="RM91" s="18"/>
      <c r="RN91" s="18"/>
      <c r="RO91" s="18"/>
      <c r="RP91" s="18"/>
      <c r="RQ91" s="18"/>
      <c r="RR91" s="18"/>
      <c r="RS91" s="18"/>
      <c r="RT91" s="18"/>
      <c r="RU91" s="18"/>
      <c r="RV91" s="18"/>
      <c r="RW91" s="18"/>
      <c r="RX91" s="18"/>
      <c r="RY91" s="18"/>
      <c r="RZ91" s="18"/>
      <c r="SA91" s="18"/>
      <c r="SB91" s="18"/>
      <c r="SC91" s="18"/>
      <c r="SD91" s="18"/>
      <c r="SE91" s="18"/>
      <c r="SF91" s="18"/>
      <c r="SG91" s="18"/>
      <c r="SH91" s="18"/>
      <c r="SI91" s="18"/>
      <c r="SJ91" s="18"/>
      <c r="SK91" s="18"/>
      <c r="SL91" s="18"/>
      <c r="SM91" s="18"/>
      <c r="SN91" s="18"/>
      <c r="SO91" s="18"/>
      <c r="SP91" s="18"/>
      <c r="SQ91" s="18"/>
      <c r="SR91" s="18"/>
      <c r="SS91" s="18"/>
      <c r="ST91" s="18"/>
      <c r="SU91" s="18"/>
      <c r="SV91" s="18"/>
      <c r="SW91" s="18"/>
      <c r="SX91" s="18"/>
      <c r="SY91" s="18"/>
      <c r="SZ91" s="18"/>
      <c r="TA91" s="18"/>
      <c r="TB91" s="18"/>
      <c r="TC91" s="18"/>
      <c r="TD91" s="18"/>
      <c r="TE91" s="18"/>
      <c r="TF91" s="18"/>
      <c r="TG91" s="18"/>
      <c r="TH91" s="18"/>
      <c r="TI91" s="18"/>
      <c r="TJ91" s="18"/>
      <c r="TK91" s="18"/>
      <c r="TL91" s="18"/>
      <c r="TM91" s="18"/>
      <c r="TN91" s="18"/>
      <c r="TO91" s="18"/>
      <c r="TP91" s="18"/>
      <c r="TQ91" s="18"/>
      <c r="TR91" s="18"/>
      <c r="TS91" s="18"/>
      <c r="TT91" s="18"/>
      <c r="TU91" s="18"/>
      <c r="TV91" s="18"/>
      <c r="TW91" s="18"/>
      <c r="TX91" s="18"/>
      <c r="TY91" s="18"/>
      <c r="TZ91" s="18"/>
      <c r="UA91" s="18"/>
      <c r="UB91" s="18"/>
      <c r="UC91" s="18"/>
      <c r="UD91" s="18"/>
      <c r="UE91" s="18"/>
      <c r="UF91" s="18"/>
      <c r="UG91" s="18"/>
      <c r="UH91" s="18"/>
      <c r="UI91" s="18"/>
      <c r="UJ91" s="18"/>
      <c r="UK91" s="18"/>
      <c r="UL91" s="18"/>
      <c r="UM91" s="18"/>
      <c r="UN91" s="18"/>
      <c r="UO91" s="18"/>
      <c r="UP91" s="18"/>
      <c r="UQ91" s="18"/>
      <c r="UR91" s="18"/>
      <c r="US91" s="18"/>
      <c r="UT91" s="18"/>
      <c r="UU91" s="18"/>
      <c r="UV91" s="18"/>
      <c r="UW91" s="18"/>
      <c r="UX91" s="18"/>
      <c r="UY91" s="18"/>
      <c r="UZ91" s="18"/>
      <c r="VA91" s="18"/>
      <c r="VB91" s="18"/>
      <c r="VC91" s="18"/>
      <c r="VD91" s="18"/>
      <c r="VE91" s="18"/>
      <c r="VF91" s="18"/>
      <c r="VG91" s="18"/>
      <c r="VH91" s="18"/>
      <c r="VI91" s="18"/>
      <c r="VJ91" s="18"/>
      <c r="VK91" s="18"/>
      <c r="VL91" s="18"/>
      <c r="VM91" s="18"/>
      <c r="VN91" s="18"/>
      <c r="VO91" s="18"/>
      <c r="VP91" s="18"/>
      <c r="VQ91" s="18"/>
      <c r="VR91" s="18"/>
      <c r="VS91" s="18"/>
      <c r="VT91" s="18"/>
      <c r="VU91" s="18"/>
      <c r="VV91" s="18"/>
      <c r="VW91" s="18"/>
      <c r="VX91" s="18"/>
      <c r="VY91" s="18"/>
      <c r="VZ91" s="18"/>
      <c r="WA91" s="18"/>
      <c r="WB91" s="18"/>
      <c r="WC91" s="18"/>
      <c r="WD91" s="18"/>
      <c r="WE91" s="18"/>
      <c r="WF91" s="18"/>
      <c r="WG91" s="18"/>
      <c r="WH91" s="18"/>
      <c r="WI91" s="18"/>
      <c r="WJ91" s="18"/>
      <c r="WK91" s="18"/>
      <c r="WL91" s="18"/>
      <c r="WM91" s="18"/>
      <c r="WN91" s="18"/>
      <c r="WO91" s="18"/>
      <c r="WP91" s="18"/>
      <c r="WQ91" s="18"/>
      <c r="WR91" s="18"/>
      <c r="WS91" s="18"/>
      <c r="WT91" s="18"/>
      <c r="WU91" s="18"/>
      <c r="WV91" s="18"/>
      <c r="WW91" s="18"/>
      <c r="WX91" s="18"/>
      <c r="WY91" s="18"/>
      <c r="WZ91" s="18"/>
      <c r="XA91" s="18"/>
      <c r="XB91" s="18"/>
      <c r="XC91" s="18"/>
      <c r="XD91" s="18"/>
      <c r="XE91" s="18"/>
      <c r="XF91" s="18"/>
      <c r="XG91" s="18"/>
      <c r="XH91" s="18"/>
      <c r="XI91" s="18"/>
      <c r="XJ91" s="18"/>
      <c r="XK91" s="18"/>
      <c r="XL91" s="18"/>
      <c r="XM91" s="18"/>
      <c r="XN91" s="18"/>
      <c r="XO91" s="18"/>
      <c r="XP91" s="18"/>
      <c r="XQ91" s="18"/>
      <c r="XR91" s="18"/>
      <c r="XS91" s="18"/>
      <c r="XT91" s="18"/>
      <c r="XU91" s="18"/>
      <c r="XV91" s="18"/>
      <c r="XW91" s="18"/>
      <c r="XX91" s="18"/>
      <c r="XY91" s="18"/>
      <c r="XZ91" s="18"/>
      <c r="YA91" s="18"/>
      <c r="YB91" s="18"/>
      <c r="YC91" s="18"/>
      <c r="YD91" s="18"/>
      <c r="YE91" s="18"/>
      <c r="YF91" s="18"/>
      <c r="YG91" s="18"/>
      <c r="YH91" s="18"/>
      <c r="YI91" s="18"/>
      <c r="YJ91" s="18"/>
      <c r="YK91" s="18"/>
      <c r="YL91" s="18"/>
      <c r="YM91" s="18"/>
      <c r="YN91" s="18"/>
      <c r="YO91" s="18"/>
      <c r="YP91" s="18"/>
      <c r="YQ91" s="18"/>
      <c r="YR91" s="18"/>
      <c r="YS91" s="18"/>
      <c r="YT91" s="18"/>
      <c r="YU91" s="18"/>
      <c r="YV91" s="18"/>
      <c r="YW91" s="18"/>
      <c r="YX91" s="18"/>
      <c r="YY91" s="18"/>
      <c r="YZ91" s="18"/>
      <c r="ZA91" s="18"/>
      <c r="ZB91" s="18"/>
      <c r="ZC91" s="18"/>
      <c r="ZD91" s="18"/>
      <c r="ZE91" s="18"/>
      <c r="ZF91" s="18"/>
      <c r="ZG91" s="18"/>
      <c r="ZH91" s="18"/>
      <c r="ZI91" s="18"/>
      <c r="ZJ91" s="18"/>
      <c r="ZK91" s="18"/>
      <c r="ZL91" s="18"/>
      <c r="ZM91" s="18"/>
      <c r="ZN91" s="18"/>
      <c r="ZO91" s="18"/>
      <c r="ZP91" s="18"/>
      <c r="ZQ91" s="18"/>
      <c r="ZR91" s="18"/>
      <c r="ZS91" s="18"/>
      <c r="ZT91" s="18"/>
      <c r="ZU91" s="18"/>
      <c r="ZV91" s="18"/>
      <c r="ZW91" s="18"/>
      <c r="ZX91" s="18"/>
      <c r="ZY91" s="18"/>
      <c r="ZZ91" s="18"/>
      <c r="AAA91" s="18"/>
      <c r="AAB91" s="18"/>
      <c r="AAC91" s="18"/>
      <c r="AAD91" s="18"/>
      <c r="AAE91" s="18"/>
      <c r="AAF91" s="18"/>
      <c r="AAG91" s="18"/>
      <c r="AAH91" s="18"/>
      <c r="AAI91" s="18"/>
      <c r="AAJ91" s="18"/>
      <c r="AAK91" s="18"/>
      <c r="AAL91" s="18"/>
      <c r="AAM91" s="18"/>
      <c r="AAN91" s="18"/>
      <c r="AAO91" s="18"/>
      <c r="AAP91" s="18"/>
      <c r="AAQ91" s="18"/>
      <c r="AAR91" s="18"/>
      <c r="AAS91" s="18"/>
      <c r="AAT91" s="18"/>
      <c r="AAU91" s="18"/>
      <c r="AAV91" s="18"/>
      <c r="AAW91" s="18"/>
      <c r="AAX91" s="18"/>
      <c r="AAY91" s="18"/>
      <c r="AAZ91" s="18"/>
      <c r="ABA91" s="18"/>
      <c r="ABB91" s="18"/>
      <c r="ABC91" s="18"/>
      <c r="ABD91" s="18"/>
      <c r="ABE91" s="18"/>
      <c r="ABF91" s="18"/>
      <c r="ABG91" s="18"/>
      <c r="ABH91" s="18"/>
      <c r="ABI91" s="18"/>
      <c r="ABJ91" s="18"/>
      <c r="ABK91" s="18"/>
      <c r="ABL91" s="18"/>
      <c r="ABM91" s="18"/>
      <c r="ABN91" s="18"/>
      <c r="ABO91" s="18"/>
      <c r="ABP91" s="18"/>
      <c r="ABQ91" s="18"/>
      <c r="ABR91" s="18"/>
      <c r="ABS91" s="18"/>
      <c r="ABT91" s="18"/>
      <c r="ABU91" s="18"/>
      <c r="ABV91" s="18"/>
      <c r="ABW91" s="18"/>
      <c r="ABX91" s="18"/>
      <c r="ABY91" s="18"/>
      <c r="ABZ91" s="18"/>
      <c r="ACA91" s="18"/>
      <c r="ACB91" s="18"/>
      <c r="ACC91" s="18"/>
      <c r="ACD91" s="18"/>
      <c r="ACE91" s="18"/>
      <c r="ACF91" s="18"/>
      <c r="ACG91" s="18"/>
      <c r="ACH91" s="18"/>
      <c r="ACI91" s="18"/>
      <c r="ACJ91" s="18"/>
      <c r="ACK91" s="18"/>
      <c r="ACL91" s="18"/>
      <c r="ACM91" s="18"/>
      <c r="ACN91" s="18"/>
      <c r="ACO91" s="18"/>
      <c r="ACP91" s="18"/>
      <c r="ACQ91" s="18"/>
      <c r="ACR91" s="18"/>
      <c r="ACS91" s="18"/>
      <c r="ACT91" s="18"/>
      <c r="ACU91" s="18"/>
      <c r="ACV91" s="18"/>
      <c r="ACW91" s="18"/>
      <c r="ACX91" s="18"/>
      <c r="ACY91" s="18"/>
      <c r="ACZ91" s="18"/>
      <c r="ADA91" s="18"/>
      <c r="ADB91" s="18"/>
      <c r="ADC91" s="18"/>
      <c r="ADD91" s="18"/>
      <c r="ADE91" s="18"/>
      <c r="ADF91" s="18"/>
      <c r="ADG91" s="18"/>
      <c r="ADH91" s="18"/>
      <c r="ADI91" s="18"/>
      <c r="ADJ91" s="18"/>
      <c r="ADK91" s="18"/>
      <c r="ADL91" s="18"/>
      <c r="ADM91" s="18"/>
      <c r="ADN91" s="18"/>
      <c r="ADO91" s="18"/>
      <c r="ADP91" s="18"/>
      <c r="ADQ91" s="18"/>
      <c r="ADR91" s="18"/>
      <c r="ADS91" s="18"/>
      <c r="ADT91" s="18"/>
      <c r="ADU91" s="18"/>
      <c r="ADV91" s="18"/>
      <c r="ADW91" s="18"/>
      <c r="ADX91" s="18"/>
      <c r="ADY91" s="18"/>
      <c r="ADZ91" s="18"/>
      <c r="AEA91" s="18"/>
      <c r="AEB91" s="18"/>
      <c r="AEC91" s="18"/>
      <c r="AED91" s="18"/>
      <c r="AEE91" s="18"/>
      <c r="AEF91" s="18"/>
      <c r="AEG91" s="18"/>
      <c r="AEH91" s="18"/>
      <c r="AEI91" s="18"/>
      <c r="AEJ91" s="18"/>
      <c r="AEK91" s="18"/>
      <c r="AEL91" s="18"/>
      <c r="AEM91" s="18"/>
      <c r="AEN91" s="18"/>
      <c r="AEO91" s="18"/>
      <c r="AEP91" s="18"/>
      <c r="AEQ91" s="18"/>
      <c r="AER91" s="18"/>
      <c r="AES91" s="18"/>
      <c r="AET91" s="18"/>
      <c r="AEU91" s="18"/>
      <c r="AEV91" s="18"/>
      <c r="AEW91" s="18"/>
      <c r="AEX91" s="18"/>
      <c r="AEY91" s="18"/>
      <c r="AEZ91" s="18"/>
      <c r="AFA91" s="18"/>
      <c r="AFB91" s="18"/>
      <c r="AFC91" s="18"/>
      <c r="AFD91" s="18"/>
      <c r="AFE91" s="18"/>
      <c r="AFF91" s="18"/>
      <c r="AFG91" s="18"/>
      <c r="AFH91" s="18"/>
      <c r="AFI91" s="18"/>
      <c r="AFJ91" s="18"/>
      <c r="AFK91" s="18"/>
      <c r="AFL91" s="18"/>
      <c r="AFM91" s="18"/>
      <c r="AFN91" s="18"/>
      <c r="AFO91" s="18"/>
      <c r="AFP91" s="18"/>
      <c r="AFQ91" s="18"/>
      <c r="AFR91" s="18"/>
      <c r="AFS91" s="18"/>
      <c r="AFT91" s="18"/>
      <c r="AFU91" s="18"/>
      <c r="AFV91" s="18"/>
      <c r="AFW91" s="18"/>
      <c r="AFX91" s="18"/>
      <c r="AFY91" s="18"/>
      <c r="AFZ91" s="18"/>
      <c r="AGA91" s="18"/>
      <c r="AGB91" s="18"/>
      <c r="AGC91" s="18"/>
      <c r="AGD91" s="18"/>
      <c r="AGE91" s="18"/>
      <c r="AGF91" s="18"/>
      <c r="AGG91" s="18"/>
      <c r="AGH91" s="18"/>
      <c r="AGI91" s="18"/>
      <c r="AGJ91" s="18"/>
      <c r="AGK91" s="18"/>
      <c r="AGL91" s="18"/>
      <c r="AGM91" s="18"/>
      <c r="AGN91" s="18"/>
      <c r="AGO91" s="18"/>
      <c r="AGP91" s="18"/>
      <c r="AGQ91" s="18"/>
      <c r="AGR91" s="18"/>
      <c r="AGS91" s="18"/>
      <c r="AGT91" s="18"/>
      <c r="AGU91" s="18"/>
      <c r="AGV91" s="18"/>
      <c r="AGW91" s="18"/>
      <c r="AGX91" s="18"/>
      <c r="AGY91" s="18"/>
      <c r="AGZ91" s="18"/>
      <c r="AHA91" s="18"/>
      <c r="AHB91" s="18"/>
      <c r="AHC91" s="18"/>
      <c r="AHD91" s="18"/>
      <c r="AHE91" s="18"/>
      <c r="AHF91" s="18"/>
      <c r="AHG91" s="18"/>
      <c r="AHH91" s="18"/>
      <c r="AHI91" s="18"/>
      <c r="AHJ91" s="18"/>
      <c r="AHK91" s="18"/>
      <c r="AHL91" s="18"/>
      <c r="AHM91" s="18"/>
      <c r="AHN91" s="18"/>
      <c r="AHO91" s="18"/>
      <c r="AHP91" s="18"/>
      <c r="AHQ91" s="18"/>
      <c r="AHR91" s="18"/>
      <c r="AHS91" s="18"/>
      <c r="AHT91" s="18"/>
      <c r="AHU91" s="18"/>
      <c r="AHV91" s="18"/>
      <c r="AHW91" s="18"/>
      <c r="AHX91" s="18"/>
      <c r="AHY91" s="18"/>
      <c r="AHZ91" s="18"/>
      <c r="AIA91" s="18"/>
      <c r="AIB91" s="18"/>
      <c r="AIC91" s="18"/>
      <c r="AID91" s="18"/>
      <c r="AIE91" s="18"/>
      <c r="AIF91" s="18"/>
      <c r="AIG91" s="18"/>
      <c r="AIH91" s="18"/>
      <c r="AII91" s="18"/>
      <c r="AIJ91" s="18"/>
      <c r="AIK91" s="18"/>
      <c r="AIL91" s="18"/>
      <c r="AIM91" s="18"/>
      <c r="AIN91" s="18"/>
      <c r="AIO91" s="18"/>
      <c r="AIP91" s="18"/>
      <c r="AIQ91" s="18"/>
      <c r="AIR91" s="18"/>
      <c r="AIS91" s="18"/>
      <c r="AIT91" s="18"/>
      <c r="AIU91" s="18"/>
      <c r="AIV91" s="18"/>
      <c r="AIW91" s="18"/>
      <c r="AIX91" s="18"/>
      <c r="AIY91" s="18"/>
      <c r="AIZ91" s="18"/>
      <c r="AJA91" s="18"/>
      <c r="AJB91" s="18"/>
      <c r="AJC91" s="18"/>
      <c r="AJD91" s="18"/>
      <c r="AJE91" s="18"/>
      <c r="AJF91" s="18"/>
      <c r="AJG91" s="18"/>
      <c r="AJH91" s="18"/>
      <c r="AJI91" s="18"/>
      <c r="AJJ91" s="18"/>
      <c r="AJK91" s="18"/>
      <c r="AJL91" s="18"/>
      <c r="AJM91" s="18"/>
      <c r="AJN91" s="18"/>
      <c r="AJO91" s="18"/>
      <c r="AJP91" s="18"/>
      <c r="AJQ91" s="18"/>
      <c r="AJR91" s="18"/>
      <c r="AJS91" s="18"/>
      <c r="AJT91" s="18"/>
      <c r="AJU91" s="18"/>
      <c r="AJV91" s="18"/>
      <c r="AJW91" s="18"/>
      <c r="AJX91" s="18"/>
      <c r="AJY91" s="18"/>
      <c r="AJZ91" s="18"/>
      <c r="AKA91" s="18"/>
      <c r="AKB91" s="18"/>
      <c r="AKC91" s="18"/>
      <c r="AKD91" s="18"/>
      <c r="AKE91" s="18"/>
      <c r="AKF91" s="18"/>
      <c r="AKG91" s="18"/>
      <c r="AKH91" s="18"/>
      <c r="AKI91" s="18"/>
      <c r="AKJ91" s="18"/>
      <c r="AKK91" s="18"/>
      <c r="AKL91" s="18"/>
      <c r="AKM91" s="18"/>
      <c r="AKN91" s="18"/>
      <c r="AKO91" s="18"/>
      <c r="AKP91" s="18"/>
      <c r="AKQ91" s="18"/>
      <c r="AKR91" s="18"/>
      <c r="AKS91" s="18"/>
      <c r="AKT91" s="18"/>
      <c r="AKU91" s="18"/>
      <c r="AKV91" s="18"/>
      <c r="AKW91" s="18"/>
      <c r="AKX91" s="18"/>
      <c r="AKY91" s="18"/>
      <c r="AKZ91" s="18"/>
      <c r="ALA91" s="18"/>
      <c r="ALB91" s="18"/>
      <c r="ALC91" s="18"/>
      <c r="ALD91" s="18"/>
      <c r="ALE91" s="18"/>
      <c r="ALF91" s="18"/>
      <c r="ALG91" s="18"/>
      <c r="ALH91" s="18"/>
      <c r="ALI91" s="18"/>
      <c r="ALJ91" s="18"/>
      <c r="ALK91" s="18"/>
      <c r="ALL91" s="18"/>
      <c r="ALM91" s="18"/>
      <c r="ALN91" s="18"/>
      <c r="ALO91" s="18"/>
      <c r="ALP91" s="18"/>
      <c r="ALQ91" s="18"/>
      <c r="ALR91" s="18"/>
      <c r="ALS91" s="18"/>
      <c r="ALT91" s="18"/>
      <c r="ALU91" s="18"/>
      <c r="ALV91" s="18"/>
      <c r="ALW91" s="18"/>
      <c r="ALX91" s="18"/>
      <c r="ALY91" s="18"/>
      <c r="ALZ91" s="18"/>
      <c r="AMA91" s="18"/>
      <c r="AMB91" s="18"/>
      <c r="AMC91" s="18"/>
      <c r="AMD91" s="18"/>
      <c r="AME91" s="18"/>
      <c r="AMF91" s="18"/>
      <c r="AMG91" s="18"/>
      <c r="AMH91" s="18"/>
    </row>
    <row r="92" spans="1:1022" s="23" customFormat="1" x14ac:dyDescent="0.3">
      <c r="A92" s="33">
        <v>188</v>
      </c>
      <c r="B92" s="19"/>
      <c r="C92" s="19"/>
      <c r="D92" s="34" t="s">
        <v>361</v>
      </c>
      <c r="E92" s="34" t="s">
        <v>511</v>
      </c>
      <c r="F92" s="43">
        <v>70</v>
      </c>
      <c r="G92" s="19"/>
      <c r="H92" s="18"/>
      <c r="I92" s="37" t="s">
        <v>281</v>
      </c>
      <c r="J92" s="31"/>
      <c r="K92" s="31"/>
      <c r="L92" s="31"/>
      <c r="M92" s="32"/>
      <c r="N92" s="32"/>
      <c r="O92" s="18"/>
      <c r="P92" s="36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  <c r="CM92" s="18"/>
      <c r="CN92" s="18"/>
      <c r="CO92" s="18"/>
      <c r="CP92" s="18"/>
      <c r="CQ92" s="18"/>
      <c r="CR92" s="18"/>
      <c r="CS92" s="18"/>
      <c r="CT92" s="18"/>
      <c r="CU92" s="18"/>
      <c r="CV92" s="18"/>
      <c r="CW92" s="18"/>
      <c r="CX92" s="18"/>
      <c r="CY92" s="18"/>
      <c r="CZ92" s="18"/>
      <c r="DA92" s="18"/>
      <c r="DB92" s="18"/>
      <c r="DC92" s="18"/>
      <c r="DD92" s="18"/>
      <c r="DE92" s="18"/>
      <c r="DF92" s="18"/>
      <c r="DG92" s="18"/>
      <c r="DH92" s="18"/>
      <c r="DI92" s="18"/>
      <c r="DJ92" s="18"/>
      <c r="DK92" s="18"/>
      <c r="DL92" s="18"/>
      <c r="DM92" s="18"/>
      <c r="DN92" s="18"/>
      <c r="DO92" s="18"/>
      <c r="DP92" s="18"/>
      <c r="DQ92" s="18"/>
      <c r="DR92" s="18"/>
      <c r="DS92" s="18"/>
      <c r="DT92" s="18"/>
      <c r="DU92" s="18"/>
      <c r="DV92" s="18"/>
      <c r="DW92" s="18"/>
      <c r="DX92" s="18"/>
      <c r="DY92" s="18"/>
      <c r="DZ92" s="18"/>
      <c r="EA92" s="18"/>
      <c r="EB92" s="18"/>
      <c r="EC92" s="18"/>
      <c r="ED92" s="18"/>
      <c r="EE92" s="18"/>
      <c r="EF92" s="18"/>
      <c r="EG92" s="18"/>
      <c r="EH92" s="18"/>
      <c r="EI92" s="18"/>
      <c r="EJ92" s="18"/>
      <c r="EK92" s="18"/>
      <c r="EL92" s="18"/>
      <c r="EM92" s="18"/>
      <c r="EN92" s="18"/>
      <c r="EO92" s="18"/>
      <c r="EP92" s="18"/>
      <c r="EQ92" s="18"/>
      <c r="ER92" s="18"/>
      <c r="ES92" s="18"/>
      <c r="ET92" s="18"/>
      <c r="EU92" s="18"/>
      <c r="EV92" s="18"/>
      <c r="EW92" s="18"/>
      <c r="EX92" s="18"/>
      <c r="EY92" s="18"/>
      <c r="EZ92" s="18"/>
      <c r="FA92" s="18"/>
      <c r="FB92" s="18"/>
      <c r="FC92" s="18"/>
      <c r="FD92" s="18"/>
      <c r="FE92" s="18"/>
      <c r="FF92" s="18"/>
      <c r="FG92" s="18"/>
      <c r="FH92" s="18"/>
      <c r="FI92" s="18"/>
      <c r="FJ92" s="18"/>
      <c r="FK92" s="18"/>
      <c r="FL92" s="18"/>
      <c r="FM92" s="18"/>
      <c r="FN92" s="18"/>
      <c r="FO92" s="18"/>
      <c r="FP92" s="18"/>
      <c r="FQ92" s="18"/>
      <c r="FR92" s="18"/>
      <c r="FS92" s="18"/>
      <c r="FT92" s="18"/>
      <c r="FU92" s="18"/>
      <c r="FV92" s="18"/>
      <c r="FW92" s="18"/>
      <c r="FX92" s="18"/>
      <c r="FY92" s="18"/>
      <c r="FZ92" s="18"/>
      <c r="GA92" s="18"/>
      <c r="GB92" s="18"/>
      <c r="GC92" s="18"/>
      <c r="GD92" s="18"/>
      <c r="GE92" s="18"/>
      <c r="GF92" s="18"/>
      <c r="GG92" s="18"/>
      <c r="GH92" s="18"/>
      <c r="GI92" s="18"/>
      <c r="GJ92" s="18"/>
      <c r="GK92" s="18"/>
      <c r="GL92" s="18"/>
      <c r="GM92" s="18"/>
      <c r="GN92" s="18"/>
      <c r="GO92" s="18"/>
      <c r="GP92" s="18"/>
      <c r="GQ92" s="18"/>
      <c r="GR92" s="18"/>
      <c r="GS92" s="18"/>
      <c r="GT92" s="18"/>
      <c r="GU92" s="18"/>
      <c r="GV92" s="18"/>
      <c r="GW92" s="18"/>
      <c r="GX92" s="18"/>
      <c r="GY92" s="18"/>
      <c r="GZ92" s="18"/>
      <c r="HA92" s="18"/>
      <c r="HB92" s="18"/>
      <c r="HC92" s="18"/>
      <c r="HD92" s="18"/>
      <c r="HE92" s="18"/>
      <c r="HF92" s="18"/>
      <c r="HG92" s="18"/>
      <c r="HH92" s="18"/>
      <c r="HI92" s="18"/>
      <c r="HJ92" s="18"/>
      <c r="HK92" s="18"/>
      <c r="HL92" s="18"/>
      <c r="HM92" s="18"/>
      <c r="HN92" s="18"/>
      <c r="HO92" s="18"/>
      <c r="HP92" s="18"/>
      <c r="HQ92" s="18"/>
      <c r="HR92" s="18"/>
      <c r="HS92" s="18"/>
      <c r="HT92" s="18"/>
      <c r="HU92" s="18"/>
      <c r="HV92" s="18"/>
      <c r="HW92" s="18"/>
      <c r="HX92" s="18"/>
      <c r="HY92" s="18"/>
      <c r="HZ92" s="18"/>
      <c r="IA92" s="18"/>
      <c r="IB92" s="18"/>
      <c r="IC92" s="18"/>
      <c r="ID92" s="18"/>
      <c r="IE92" s="18"/>
      <c r="IF92" s="18"/>
      <c r="IG92" s="18"/>
      <c r="IH92" s="18"/>
      <c r="II92" s="18"/>
      <c r="IJ92" s="18"/>
      <c r="IK92" s="18"/>
      <c r="IL92" s="18"/>
      <c r="IM92" s="18"/>
      <c r="IN92" s="18"/>
      <c r="IO92" s="18"/>
      <c r="IP92" s="18"/>
      <c r="IQ92" s="18"/>
      <c r="IR92" s="18"/>
      <c r="IS92" s="18"/>
      <c r="IT92" s="18"/>
      <c r="IU92" s="18"/>
      <c r="IV92" s="18"/>
      <c r="IW92" s="18"/>
      <c r="IX92" s="18"/>
      <c r="IY92" s="18"/>
      <c r="IZ92" s="18"/>
      <c r="JA92" s="18"/>
      <c r="JB92" s="18"/>
      <c r="JC92" s="18"/>
      <c r="JD92" s="18"/>
      <c r="JE92" s="18"/>
      <c r="JF92" s="18"/>
      <c r="JG92" s="18"/>
      <c r="JH92" s="18"/>
      <c r="JI92" s="18"/>
      <c r="JJ92" s="18"/>
      <c r="JK92" s="18"/>
      <c r="JL92" s="18"/>
      <c r="JM92" s="18"/>
      <c r="JN92" s="18"/>
      <c r="JO92" s="18"/>
      <c r="JP92" s="18"/>
      <c r="JQ92" s="18"/>
      <c r="JR92" s="18"/>
      <c r="JS92" s="18"/>
      <c r="JT92" s="18"/>
      <c r="JU92" s="18"/>
      <c r="JV92" s="18"/>
      <c r="JW92" s="18"/>
      <c r="JX92" s="18"/>
      <c r="JY92" s="18"/>
      <c r="JZ92" s="18"/>
      <c r="KA92" s="18"/>
      <c r="KB92" s="18"/>
      <c r="KC92" s="18"/>
      <c r="KD92" s="18"/>
      <c r="KE92" s="18"/>
      <c r="KF92" s="18"/>
      <c r="KG92" s="18"/>
      <c r="KH92" s="18"/>
      <c r="KI92" s="18"/>
      <c r="KJ92" s="18"/>
      <c r="KK92" s="18"/>
      <c r="KL92" s="18"/>
      <c r="KM92" s="18"/>
      <c r="KN92" s="18"/>
      <c r="KO92" s="18"/>
      <c r="KP92" s="18"/>
      <c r="KQ92" s="18"/>
      <c r="KR92" s="18"/>
      <c r="KS92" s="18"/>
      <c r="KT92" s="18"/>
      <c r="KU92" s="18"/>
      <c r="KV92" s="18"/>
      <c r="KW92" s="18"/>
      <c r="KX92" s="18"/>
      <c r="KY92" s="18"/>
      <c r="KZ92" s="18"/>
      <c r="LA92" s="18"/>
      <c r="LB92" s="18"/>
      <c r="LC92" s="18"/>
      <c r="LD92" s="18"/>
      <c r="LE92" s="18"/>
      <c r="LF92" s="18"/>
      <c r="LG92" s="18"/>
      <c r="LH92" s="18"/>
      <c r="LI92" s="18"/>
      <c r="LJ92" s="18"/>
      <c r="LK92" s="18"/>
      <c r="LL92" s="18"/>
      <c r="LM92" s="18"/>
      <c r="LN92" s="18"/>
      <c r="LO92" s="18"/>
      <c r="LP92" s="18"/>
      <c r="LQ92" s="18"/>
      <c r="LR92" s="18"/>
      <c r="LS92" s="18"/>
      <c r="LT92" s="18"/>
      <c r="LU92" s="18"/>
      <c r="LV92" s="18"/>
      <c r="LW92" s="18"/>
      <c r="LX92" s="18"/>
      <c r="LY92" s="18"/>
      <c r="LZ92" s="18"/>
      <c r="MA92" s="18"/>
      <c r="MB92" s="18"/>
      <c r="MC92" s="18"/>
      <c r="MD92" s="18"/>
      <c r="ME92" s="18"/>
      <c r="MF92" s="18"/>
      <c r="MG92" s="18"/>
      <c r="MH92" s="18"/>
      <c r="MI92" s="18"/>
      <c r="MJ92" s="18"/>
      <c r="MK92" s="18"/>
      <c r="ML92" s="18"/>
      <c r="MM92" s="18"/>
      <c r="MN92" s="18"/>
      <c r="MO92" s="18"/>
      <c r="MP92" s="18"/>
      <c r="MQ92" s="18"/>
      <c r="MR92" s="18"/>
      <c r="MS92" s="18"/>
      <c r="MT92" s="18"/>
      <c r="MU92" s="18"/>
      <c r="MV92" s="18"/>
      <c r="MW92" s="18"/>
      <c r="MX92" s="18"/>
      <c r="MY92" s="18"/>
      <c r="MZ92" s="18"/>
      <c r="NA92" s="18"/>
      <c r="NB92" s="18"/>
      <c r="NC92" s="18"/>
      <c r="ND92" s="18"/>
      <c r="NE92" s="18"/>
      <c r="NF92" s="18"/>
      <c r="NG92" s="18"/>
      <c r="NH92" s="18"/>
      <c r="NI92" s="18"/>
      <c r="NJ92" s="18"/>
      <c r="NK92" s="18"/>
      <c r="NL92" s="18"/>
      <c r="NM92" s="18"/>
      <c r="NN92" s="18"/>
      <c r="NO92" s="18"/>
      <c r="NP92" s="18"/>
      <c r="NQ92" s="18"/>
      <c r="NR92" s="18"/>
      <c r="NS92" s="18"/>
      <c r="NT92" s="18"/>
      <c r="NU92" s="18"/>
      <c r="NV92" s="18"/>
      <c r="NW92" s="18"/>
      <c r="NX92" s="18"/>
      <c r="NY92" s="18"/>
      <c r="NZ92" s="18"/>
      <c r="OA92" s="18"/>
      <c r="OB92" s="18"/>
      <c r="OC92" s="18"/>
      <c r="OD92" s="18"/>
      <c r="OE92" s="18"/>
      <c r="OF92" s="18"/>
      <c r="OG92" s="18"/>
      <c r="OH92" s="18"/>
      <c r="OI92" s="18"/>
      <c r="OJ92" s="18"/>
      <c r="OK92" s="18"/>
      <c r="OL92" s="18"/>
      <c r="OM92" s="18"/>
      <c r="ON92" s="18"/>
      <c r="OO92" s="18"/>
      <c r="OP92" s="18"/>
      <c r="OQ92" s="18"/>
      <c r="OR92" s="18"/>
      <c r="OS92" s="18"/>
      <c r="OT92" s="18"/>
      <c r="OU92" s="18"/>
      <c r="OV92" s="18"/>
      <c r="OW92" s="18"/>
      <c r="OX92" s="18"/>
      <c r="OY92" s="18"/>
      <c r="OZ92" s="18"/>
      <c r="PA92" s="18"/>
      <c r="PB92" s="18"/>
      <c r="PC92" s="18"/>
      <c r="PD92" s="18"/>
      <c r="PE92" s="18"/>
      <c r="PF92" s="18"/>
      <c r="PG92" s="18"/>
      <c r="PH92" s="18"/>
      <c r="PI92" s="18"/>
      <c r="PJ92" s="18"/>
      <c r="PK92" s="18"/>
      <c r="PL92" s="18"/>
      <c r="PM92" s="18"/>
      <c r="PN92" s="18"/>
      <c r="PO92" s="18"/>
      <c r="PP92" s="18"/>
      <c r="PQ92" s="18"/>
      <c r="PR92" s="18"/>
      <c r="PS92" s="18"/>
      <c r="PT92" s="18"/>
      <c r="PU92" s="18"/>
      <c r="PV92" s="18"/>
      <c r="PW92" s="18"/>
      <c r="PX92" s="18"/>
      <c r="PY92" s="18"/>
      <c r="PZ92" s="18"/>
      <c r="QA92" s="18"/>
      <c r="QB92" s="18"/>
      <c r="QC92" s="18"/>
      <c r="QD92" s="18"/>
      <c r="QE92" s="18"/>
      <c r="QF92" s="18"/>
      <c r="QG92" s="18"/>
      <c r="QH92" s="18"/>
      <c r="QI92" s="18"/>
      <c r="QJ92" s="18"/>
      <c r="QK92" s="18"/>
      <c r="QL92" s="18"/>
      <c r="QM92" s="18"/>
      <c r="QN92" s="18"/>
      <c r="QO92" s="18"/>
      <c r="QP92" s="18"/>
      <c r="QQ92" s="18"/>
      <c r="QR92" s="18"/>
      <c r="QS92" s="18"/>
      <c r="QT92" s="18"/>
      <c r="QU92" s="18"/>
      <c r="QV92" s="18"/>
      <c r="QW92" s="18"/>
      <c r="QX92" s="18"/>
      <c r="QY92" s="18"/>
      <c r="QZ92" s="18"/>
      <c r="RA92" s="18"/>
      <c r="RB92" s="18"/>
      <c r="RC92" s="18"/>
      <c r="RD92" s="18"/>
      <c r="RE92" s="18"/>
      <c r="RF92" s="18"/>
      <c r="RG92" s="18"/>
      <c r="RH92" s="18"/>
      <c r="RI92" s="18"/>
      <c r="RJ92" s="18"/>
      <c r="RK92" s="18"/>
      <c r="RL92" s="18"/>
      <c r="RM92" s="18"/>
      <c r="RN92" s="18"/>
      <c r="RO92" s="18"/>
      <c r="RP92" s="18"/>
      <c r="RQ92" s="18"/>
      <c r="RR92" s="18"/>
      <c r="RS92" s="18"/>
      <c r="RT92" s="18"/>
      <c r="RU92" s="18"/>
      <c r="RV92" s="18"/>
      <c r="RW92" s="18"/>
      <c r="RX92" s="18"/>
      <c r="RY92" s="18"/>
      <c r="RZ92" s="18"/>
      <c r="SA92" s="18"/>
      <c r="SB92" s="18"/>
      <c r="SC92" s="18"/>
      <c r="SD92" s="18"/>
      <c r="SE92" s="18"/>
      <c r="SF92" s="18"/>
      <c r="SG92" s="18"/>
      <c r="SH92" s="18"/>
      <c r="SI92" s="18"/>
      <c r="SJ92" s="18"/>
      <c r="SK92" s="18"/>
      <c r="SL92" s="18"/>
      <c r="SM92" s="18"/>
      <c r="SN92" s="18"/>
      <c r="SO92" s="18"/>
      <c r="SP92" s="18"/>
      <c r="SQ92" s="18"/>
      <c r="SR92" s="18"/>
      <c r="SS92" s="18"/>
      <c r="ST92" s="18"/>
      <c r="SU92" s="18"/>
      <c r="SV92" s="18"/>
      <c r="SW92" s="18"/>
      <c r="SX92" s="18"/>
      <c r="SY92" s="18"/>
      <c r="SZ92" s="18"/>
      <c r="TA92" s="18"/>
      <c r="TB92" s="18"/>
      <c r="TC92" s="18"/>
      <c r="TD92" s="18"/>
      <c r="TE92" s="18"/>
      <c r="TF92" s="18"/>
      <c r="TG92" s="18"/>
      <c r="TH92" s="18"/>
      <c r="TI92" s="18"/>
      <c r="TJ92" s="18"/>
      <c r="TK92" s="18"/>
      <c r="TL92" s="18"/>
      <c r="TM92" s="18"/>
      <c r="TN92" s="18"/>
      <c r="TO92" s="18"/>
      <c r="TP92" s="18"/>
      <c r="TQ92" s="18"/>
      <c r="TR92" s="18"/>
      <c r="TS92" s="18"/>
      <c r="TT92" s="18"/>
      <c r="TU92" s="18"/>
      <c r="TV92" s="18"/>
      <c r="TW92" s="18"/>
      <c r="TX92" s="18"/>
      <c r="TY92" s="18"/>
      <c r="TZ92" s="18"/>
      <c r="UA92" s="18"/>
      <c r="UB92" s="18"/>
      <c r="UC92" s="18"/>
      <c r="UD92" s="18"/>
      <c r="UE92" s="18"/>
      <c r="UF92" s="18"/>
      <c r="UG92" s="18"/>
      <c r="UH92" s="18"/>
      <c r="UI92" s="18"/>
      <c r="UJ92" s="18"/>
      <c r="UK92" s="18"/>
      <c r="UL92" s="18"/>
      <c r="UM92" s="18"/>
      <c r="UN92" s="18"/>
      <c r="UO92" s="18"/>
      <c r="UP92" s="18"/>
      <c r="UQ92" s="18"/>
      <c r="UR92" s="18"/>
      <c r="US92" s="18"/>
      <c r="UT92" s="18"/>
      <c r="UU92" s="18"/>
      <c r="UV92" s="18"/>
      <c r="UW92" s="18"/>
      <c r="UX92" s="18"/>
      <c r="UY92" s="18"/>
      <c r="UZ92" s="18"/>
      <c r="VA92" s="18"/>
      <c r="VB92" s="18"/>
      <c r="VC92" s="18"/>
      <c r="VD92" s="18"/>
      <c r="VE92" s="18"/>
      <c r="VF92" s="18"/>
      <c r="VG92" s="18"/>
      <c r="VH92" s="18"/>
      <c r="VI92" s="18"/>
      <c r="VJ92" s="18"/>
      <c r="VK92" s="18"/>
      <c r="VL92" s="18"/>
      <c r="VM92" s="18"/>
      <c r="VN92" s="18"/>
      <c r="VO92" s="18"/>
      <c r="VP92" s="18"/>
      <c r="VQ92" s="18"/>
      <c r="VR92" s="18"/>
      <c r="VS92" s="18"/>
      <c r="VT92" s="18"/>
      <c r="VU92" s="18"/>
      <c r="VV92" s="18"/>
      <c r="VW92" s="18"/>
      <c r="VX92" s="18"/>
      <c r="VY92" s="18"/>
      <c r="VZ92" s="18"/>
      <c r="WA92" s="18"/>
      <c r="WB92" s="18"/>
      <c r="WC92" s="18"/>
      <c r="WD92" s="18"/>
      <c r="WE92" s="18"/>
      <c r="WF92" s="18"/>
      <c r="WG92" s="18"/>
      <c r="WH92" s="18"/>
      <c r="WI92" s="18"/>
      <c r="WJ92" s="18"/>
      <c r="WK92" s="18"/>
      <c r="WL92" s="18"/>
      <c r="WM92" s="18"/>
      <c r="WN92" s="18"/>
      <c r="WO92" s="18"/>
      <c r="WP92" s="18"/>
      <c r="WQ92" s="18"/>
      <c r="WR92" s="18"/>
      <c r="WS92" s="18"/>
      <c r="WT92" s="18"/>
      <c r="WU92" s="18"/>
      <c r="WV92" s="18"/>
      <c r="WW92" s="18"/>
      <c r="WX92" s="18"/>
      <c r="WY92" s="18"/>
      <c r="WZ92" s="18"/>
      <c r="XA92" s="18"/>
      <c r="XB92" s="18"/>
      <c r="XC92" s="18"/>
      <c r="XD92" s="18"/>
      <c r="XE92" s="18"/>
      <c r="XF92" s="18"/>
      <c r="XG92" s="18"/>
      <c r="XH92" s="18"/>
      <c r="XI92" s="18"/>
      <c r="XJ92" s="18"/>
      <c r="XK92" s="18"/>
      <c r="XL92" s="18"/>
      <c r="XM92" s="18"/>
      <c r="XN92" s="18"/>
      <c r="XO92" s="18"/>
      <c r="XP92" s="18"/>
      <c r="XQ92" s="18"/>
      <c r="XR92" s="18"/>
      <c r="XS92" s="18"/>
      <c r="XT92" s="18"/>
      <c r="XU92" s="18"/>
      <c r="XV92" s="18"/>
      <c r="XW92" s="18"/>
      <c r="XX92" s="18"/>
      <c r="XY92" s="18"/>
      <c r="XZ92" s="18"/>
      <c r="YA92" s="18"/>
      <c r="YB92" s="18"/>
      <c r="YC92" s="18"/>
      <c r="YD92" s="18"/>
      <c r="YE92" s="18"/>
      <c r="YF92" s="18"/>
      <c r="YG92" s="18"/>
      <c r="YH92" s="18"/>
      <c r="YI92" s="18"/>
      <c r="YJ92" s="18"/>
      <c r="YK92" s="18"/>
      <c r="YL92" s="18"/>
      <c r="YM92" s="18"/>
      <c r="YN92" s="18"/>
      <c r="YO92" s="18"/>
      <c r="YP92" s="18"/>
      <c r="YQ92" s="18"/>
      <c r="YR92" s="18"/>
      <c r="YS92" s="18"/>
      <c r="YT92" s="18"/>
      <c r="YU92" s="18"/>
      <c r="YV92" s="18"/>
      <c r="YW92" s="18"/>
      <c r="YX92" s="18"/>
      <c r="YY92" s="18"/>
      <c r="YZ92" s="18"/>
      <c r="ZA92" s="18"/>
      <c r="ZB92" s="18"/>
      <c r="ZC92" s="18"/>
      <c r="ZD92" s="18"/>
      <c r="ZE92" s="18"/>
      <c r="ZF92" s="18"/>
      <c r="ZG92" s="18"/>
      <c r="ZH92" s="18"/>
      <c r="ZI92" s="18"/>
      <c r="ZJ92" s="18"/>
      <c r="ZK92" s="18"/>
      <c r="ZL92" s="18"/>
      <c r="ZM92" s="18"/>
      <c r="ZN92" s="18"/>
      <c r="ZO92" s="18"/>
      <c r="ZP92" s="18"/>
      <c r="ZQ92" s="18"/>
      <c r="ZR92" s="18"/>
      <c r="ZS92" s="18"/>
      <c r="ZT92" s="18"/>
      <c r="ZU92" s="18"/>
      <c r="ZV92" s="18"/>
      <c r="ZW92" s="18"/>
      <c r="ZX92" s="18"/>
      <c r="ZY92" s="18"/>
      <c r="ZZ92" s="18"/>
      <c r="AAA92" s="18"/>
      <c r="AAB92" s="18"/>
      <c r="AAC92" s="18"/>
      <c r="AAD92" s="18"/>
      <c r="AAE92" s="18"/>
      <c r="AAF92" s="18"/>
      <c r="AAG92" s="18"/>
      <c r="AAH92" s="18"/>
      <c r="AAI92" s="18"/>
      <c r="AAJ92" s="18"/>
      <c r="AAK92" s="18"/>
      <c r="AAL92" s="18"/>
      <c r="AAM92" s="18"/>
      <c r="AAN92" s="18"/>
      <c r="AAO92" s="18"/>
      <c r="AAP92" s="18"/>
      <c r="AAQ92" s="18"/>
      <c r="AAR92" s="18"/>
      <c r="AAS92" s="18"/>
      <c r="AAT92" s="18"/>
      <c r="AAU92" s="18"/>
      <c r="AAV92" s="18"/>
      <c r="AAW92" s="18"/>
      <c r="AAX92" s="18"/>
      <c r="AAY92" s="18"/>
      <c r="AAZ92" s="18"/>
      <c r="ABA92" s="18"/>
      <c r="ABB92" s="18"/>
      <c r="ABC92" s="18"/>
      <c r="ABD92" s="18"/>
      <c r="ABE92" s="18"/>
      <c r="ABF92" s="18"/>
      <c r="ABG92" s="18"/>
      <c r="ABH92" s="18"/>
      <c r="ABI92" s="18"/>
      <c r="ABJ92" s="18"/>
      <c r="ABK92" s="18"/>
      <c r="ABL92" s="18"/>
      <c r="ABM92" s="18"/>
      <c r="ABN92" s="18"/>
      <c r="ABO92" s="18"/>
      <c r="ABP92" s="18"/>
      <c r="ABQ92" s="18"/>
      <c r="ABR92" s="18"/>
      <c r="ABS92" s="18"/>
      <c r="ABT92" s="18"/>
      <c r="ABU92" s="18"/>
      <c r="ABV92" s="18"/>
      <c r="ABW92" s="18"/>
      <c r="ABX92" s="18"/>
      <c r="ABY92" s="18"/>
      <c r="ABZ92" s="18"/>
      <c r="ACA92" s="18"/>
      <c r="ACB92" s="18"/>
      <c r="ACC92" s="18"/>
      <c r="ACD92" s="18"/>
      <c r="ACE92" s="18"/>
      <c r="ACF92" s="18"/>
      <c r="ACG92" s="18"/>
      <c r="ACH92" s="18"/>
      <c r="ACI92" s="18"/>
      <c r="ACJ92" s="18"/>
      <c r="ACK92" s="18"/>
      <c r="ACL92" s="18"/>
      <c r="ACM92" s="18"/>
      <c r="ACN92" s="18"/>
      <c r="ACO92" s="18"/>
      <c r="ACP92" s="18"/>
      <c r="ACQ92" s="18"/>
      <c r="ACR92" s="18"/>
      <c r="ACS92" s="18"/>
      <c r="ACT92" s="18"/>
      <c r="ACU92" s="18"/>
      <c r="ACV92" s="18"/>
      <c r="ACW92" s="18"/>
      <c r="ACX92" s="18"/>
      <c r="ACY92" s="18"/>
      <c r="ACZ92" s="18"/>
      <c r="ADA92" s="18"/>
      <c r="ADB92" s="18"/>
      <c r="ADC92" s="18"/>
      <c r="ADD92" s="18"/>
      <c r="ADE92" s="18"/>
      <c r="ADF92" s="18"/>
      <c r="ADG92" s="18"/>
      <c r="ADH92" s="18"/>
      <c r="ADI92" s="18"/>
      <c r="ADJ92" s="18"/>
      <c r="ADK92" s="18"/>
      <c r="ADL92" s="18"/>
      <c r="ADM92" s="18"/>
      <c r="ADN92" s="18"/>
      <c r="ADO92" s="18"/>
      <c r="ADP92" s="18"/>
      <c r="ADQ92" s="18"/>
      <c r="ADR92" s="18"/>
      <c r="ADS92" s="18"/>
      <c r="ADT92" s="18"/>
      <c r="ADU92" s="18"/>
      <c r="ADV92" s="18"/>
      <c r="ADW92" s="18"/>
      <c r="ADX92" s="18"/>
      <c r="ADY92" s="18"/>
      <c r="ADZ92" s="18"/>
      <c r="AEA92" s="18"/>
      <c r="AEB92" s="18"/>
      <c r="AEC92" s="18"/>
      <c r="AED92" s="18"/>
      <c r="AEE92" s="18"/>
      <c r="AEF92" s="18"/>
      <c r="AEG92" s="18"/>
      <c r="AEH92" s="18"/>
      <c r="AEI92" s="18"/>
      <c r="AEJ92" s="18"/>
      <c r="AEK92" s="18"/>
      <c r="AEL92" s="18"/>
      <c r="AEM92" s="18"/>
      <c r="AEN92" s="18"/>
      <c r="AEO92" s="18"/>
      <c r="AEP92" s="18"/>
      <c r="AEQ92" s="18"/>
      <c r="AER92" s="18"/>
      <c r="AES92" s="18"/>
      <c r="AET92" s="18"/>
      <c r="AEU92" s="18"/>
      <c r="AEV92" s="18"/>
      <c r="AEW92" s="18"/>
      <c r="AEX92" s="18"/>
      <c r="AEY92" s="18"/>
      <c r="AEZ92" s="18"/>
      <c r="AFA92" s="18"/>
      <c r="AFB92" s="18"/>
      <c r="AFC92" s="18"/>
      <c r="AFD92" s="18"/>
      <c r="AFE92" s="18"/>
      <c r="AFF92" s="18"/>
      <c r="AFG92" s="18"/>
      <c r="AFH92" s="18"/>
      <c r="AFI92" s="18"/>
      <c r="AFJ92" s="18"/>
      <c r="AFK92" s="18"/>
      <c r="AFL92" s="18"/>
      <c r="AFM92" s="18"/>
      <c r="AFN92" s="18"/>
      <c r="AFO92" s="18"/>
      <c r="AFP92" s="18"/>
      <c r="AFQ92" s="18"/>
      <c r="AFR92" s="18"/>
      <c r="AFS92" s="18"/>
      <c r="AFT92" s="18"/>
      <c r="AFU92" s="18"/>
      <c r="AFV92" s="18"/>
      <c r="AFW92" s="18"/>
      <c r="AFX92" s="18"/>
      <c r="AFY92" s="18"/>
      <c r="AFZ92" s="18"/>
      <c r="AGA92" s="18"/>
      <c r="AGB92" s="18"/>
      <c r="AGC92" s="18"/>
      <c r="AGD92" s="18"/>
      <c r="AGE92" s="18"/>
      <c r="AGF92" s="18"/>
      <c r="AGG92" s="18"/>
      <c r="AGH92" s="18"/>
      <c r="AGI92" s="18"/>
      <c r="AGJ92" s="18"/>
      <c r="AGK92" s="18"/>
      <c r="AGL92" s="18"/>
      <c r="AGM92" s="18"/>
      <c r="AGN92" s="18"/>
      <c r="AGO92" s="18"/>
      <c r="AGP92" s="18"/>
      <c r="AGQ92" s="18"/>
      <c r="AGR92" s="18"/>
      <c r="AGS92" s="18"/>
      <c r="AGT92" s="18"/>
      <c r="AGU92" s="18"/>
      <c r="AGV92" s="18"/>
      <c r="AGW92" s="18"/>
      <c r="AGX92" s="18"/>
      <c r="AGY92" s="18"/>
      <c r="AGZ92" s="18"/>
      <c r="AHA92" s="18"/>
      <c r="AHB92" s="18"/>
      <c r="AHC92" s="18"/>
      <c r="AHD92" s="18"/>
      <c r="AHE92" s="18"/>
      <c r="AHF92" s="18"/>
      <c r="AHG92" s="18"/>
      <c r="AHH92" s="18"/>
      <c r="AHI92" s="18"/>
      <c r="AHJ92" s="18"/>
      <c r="AHK92" s="18"/>
      <c r="AHL92" s="18"/>
      <c r="AHM92" s="18"/>
      <c r="AHN92" s="18"/>
      <c r="AHO92" s="18"/>
      <c r="AHP92" s="18"/>
      <c r="AHQ92" s="18"/>
      <c r="AHR92" s="18"/>
      <c r="AHS92" s="18"/>
      <c r="AHT92" s="18"/>
      <c r="AHU92" s="18"/>
      <c r="AHV92" s="18"/>
      <c r="AHW92" s="18"/>
      <c r="AHX92" s="18"/>
      <c r="AHY92" s="18"/>
      <c r="AHZ92" s="18"/>
      <c r="AIA92" s="18"/>
      <c r="AIB92" s="18"/>
      <c r="AIC92" s="18"/>
      <c r="AID92" s="18"/>
      <c r="AIE92" s="18"/>
      <c r="AIF92" s="18"/>
      <c r="AIG92" s="18"/>
      <c r="AIH92" s="18"/>
      <c r="AII92" s="18"/>
      <c r="AIJ92" s="18"/>
      <c r="AIK92" s="18"/>
      <c r="AIL92" s="18"/>
      <c r="AIM92" s="18"/>
      <c r="AIN92" s="18"/>
      <c r="AIO92" s="18"/>
      <c r="AIP92" s="18"/>
      <c r="AIQ92" s="18"/>
      <c r="AIR92" s="18"/>
      <c r="AIS92" s="18"/>
      <c r="AIT92" s="18"/>
      <c r="AIU92" s="18"/>
      <c r="AIV92" s="18"/>
      <c r="AIW92" s="18"/>
      <c r="AIX92" s="18"/>
      <c r="AIY92" s="18"/>
      <c r="AIZ92" s="18"/>
      <c r="AJA92" s="18"/>
      <c r="AJB92" s="18"/>
      <c r="AJC92" s="18"/>
      <c r="AJD92" s="18"/>
      <c r="AJE92" s="18"/>
      <c r="AJF92" s="18"/>
      <c r="AJG92" s="18"/>
      <c r="AJH92" s="18"/>
      <c r="AJI92" s="18"/>
      <c r="AJJ92" s="18"/>
      <c r="AJK92" s="18"/>
      <c r="AJL92" s="18"/>
      <c r="AJM92" s="18"/>
      <c r="AJN92" s="18"/>
      <c r="AJO92" s="18"/>
      <c r="AJP92" s="18"/>
      <c r="AJQ92" s="18"/>
      <c r="AJR92" s="18"/>
      <c r="AJS92" s="18"/>
      <c r="AJT92" s="18"/>
      <c r="AJU92" s="18"/>
      <c r="AJV92" s="18"/>
      <c r="AJW92" s="18"/>
      <c r="AJX92" s="18"/>
      <c r="AJY92" s="18"/>
      <c r="AJZ92" s="18"/>
      <c r="AKA92" s="18"/>
      <c r="AKB92" s="18"/>
      <c r="AKC92" s="18"/>
      <c r="AKD92" s="18"/>
      <c r="AKE92" s="18"/>
      <c r="AKF92" s="18"/>
      <c r="AKG92" s="18"/>
      <c r="AKH92" s="18"/>
      <c r="AKI92" s="18"/>
      <c r="AKJ92" s="18"/>
      <c r="AKK92" s="18"/>
      <c r="AKL92" s="18"/>
      <c r="AKM92" s="18"/>
      <c r="AKN92" s="18"/>
      <c r="AKO92" s="18"/>
      <c r="AKP92" s="18"/>
      <c r="AKQ92" s="18"/>
      <c r="AKR92" s="18"/>
      <c r="AKS92" s="18"/>
      <c r="AKT92" s="18"/>
      <c r="AKU92" s="18"/>
      <c r="AKV92" s="18"/>
      <c r="AKW92" s="18"/>
      <c r="AKX92" s="18"/>
      <c r="AKY92" s="18"/>
      <c r="AKZ92" s="18"/>
      <c r="ALA92" s="18"/>
      <c r="ALB92" s="18"/>
      <c r="ALC92" s="18"/>
      <c r="ALD92" s="18"/>
      <c r="ALE92" s="18"/>
      <c r="ALF92" s="18"/>
      <c r="ALG92" s="18"/>
      <c r="ALH92" s="18"/>
      <c r="ALI92" s="18"/>
      <c r="ALJ92" s="18"/>
      <c r="ALK92" s="18"/>
      <c r="ALL92" s="18"/>
      <c r="ALM92" s="18"/>
      <c r="ALN92" s="18"/>
      <c r="ALO92" s="18"/>
      <c r="ALP92" s="18"/>
      <c r="ALQ92" s="18"/>
      <c r="ALR92" s="18"/>
      <c r="ALS92" s="18"/>
      <c r="ALT92" s="18"/>
      <c r="ALU92" s="18"/>
      <c r="ALV92" s="18"/>
      <c r="ALW92" s="18"/>
      <c r="ALX92" s="18"/>
      <c r="ALY92" s="18"/>
      <c r="ALZ92" s="18"/>
      <c r="AMA92" s="18"/>
      <c r="AMB92" s="18"/>
      <c r="AMC92" s="18"/>
      <c r="AMD92" s="18"/>
      <c r="AME92" s="18"/>
      <c r="AMF92" s="18"/>
      <c r="AMG92" s="18"/>
      <c r="AMH92" s="18"/>
    </row>
    <row r="93" spans="1:1022" s="23" customFormat="1" x14ac:dyDescent="0.3">
      <c r="A93" s="33">
        <v>189</v>
      </c>
      <c r="B93" s="19"/>
      <c r="C93" s="19"/>
      <c r="D93" s="34" t="s">
        <v>362</v>
      </c>
      <c r="E93" s="34" t="s">
        <v>512</v>
      </c>
      <c r="F93" s="43">
        <v>70</v>
      </c>
      <c r="G93" s="19"/>
      <c r="H93" s="38" t="s">
        <v>281</v>
      </c>
      <c r="I93" s="31"/>
      <c r="J93" s="31"/>
      <c r="K93" s="31"/>
      <c r="L93" s="31"/>
      <c r="M93" s="32"/>
      <c r="N93" s="32"/>
      <c r="O93" s="18"/>
      <c r="P93" s="36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8"/>
      <c r="BV93" s="18"/>
      <c r="BW93" s="18"/>
      <c r="BX93" s="18"/>
      <c r="BY93" s="18"/>
      <c r="BZ93" s="18"/>
      <c r="CA93" s="18"/>
      <c r="CB93" s="18"/>
      <c r="CC93" s="18"/>
      <c r="CD93" s="18"/>
      <c r="CE93" s="18"/>
      <c r="CF93" s="18"/>
      <c r="CG93" s="18"/>
      <c r="CH93" s="18"/>
      <c r="CI93" s="18"/>
      <c r="CJ93" s="18"/>
      <c r="CK93" s="18"/>
      <c r="CL93" s="18"/>
      <c r="CM93" s="18"/>
      <c r="CN93" s="18"/>
      <c r="CO93" s="18"/>
      <c r="CP93" s="18"/>
      <c r="CQ93" s="18"/>
      <c r="CR93" s="18"/>
      <c r="CS93" s="18"/>
      <c r="CT93" s="18"/>
      <c r="CU93" s="18"/>
      <c r="CV93" s="18"/>
      <c r="CW93" s="18"/>
      <c r="CX93" s="18"/>
      <c r="CY93" s="18"/>
      <c r="CZ93" s="18"/>
      <c r="DA93" s="18"/>
      <c r="DB93" s="18"/>
      <c r="DC93" s="18"/>
      <c r="DD93" s="18"/>
      <c r="DE93" s="18"/>
      <c r="DF93" s="18"/>
      <c r="DG93" s="18"/>
      <c r="DH93" s="18"/>
      <c r="DI93" s="18"/>
      <c r="DJ93" s="18"/>
      <c r="DK93" s="18"/>
      <c r="DL93" s="18"/>
      <c r="DM93" s="18"/>
      <c r="DN93" s="18"/>
      <c r="DO93" s="18"/>
      <c r="DP93" s="18"/>
      <c r="DQ93" s="18"/>
      <c r="DR93" s="18"/>
      <c r="DS93" s="18"/>
      <c r="DT93" s="18"/>
      <c r="DU93" s="18"/>
      <c r="DV93" s="18"/>
      <c r="DW93" s="18"/>
      <c r="DX93" s="18"/>
      <c r="DY93" s="18"/>
      <c r="DZ93" s="18"/>
      <c r="EA93" s="18"/>
      <c r="EB93" s="18"/>
      <c r="EC93" s="18"/>
      <c r="ED93" s="18"/>
      <c r="EE93" s="18"/>
      <c r="EF93" s="18"/>
      <c r="EG93" s="18"/>
      <c r="EH93" s="18"/>
      <c r="EI93" s="18"/>
      <c r="EJ93" s="18"/>
      <c r="EK93" s="18"/>
      <c r="EL93" s="18"/>
      <c r="EM93" s="18"/>
      <c r="EN93" s="18"/>
      <c r="EO93" s="18"/>
      <c r="EP93" s="18"/>
      <c r="EQ93" s="18"/>
      <c r="ER93" s="18"/>
      <c r="ES93" s="18"/>
      <c r="ET93" s="18"/>
      <c r="EU93" s="18"/>
      <c r="EV93" s="18"/>
      <c r="EW93" s="18"/>
      <c r="EX93" s="18"/>
      <c r="EY93" s="18"/>
      <c r="EZ93" s="18"/>
      <c r="FA93" s="18"/>
      <c r="FB93" s="18"/>
      <c r="FC93" s="18"/>
      <c r="FD93" s="18"/>
      <c r="FE93" s="18"/>
      <c r="FF93" s="18"/>
      <c r="FG93" s="18"/>
      <c r="FH93" s="18"/>
      <c r="FI93" s="18"/>
      <c r="FJ93" s="18"/>
      <c r="FK93" s="18"/>
      <c r="FL93" s="18"/>
      <c r="FM93" s="18"/>
      <c r="FN93" s="18"/>
      <c r="FO93" s="18"/>
      <c r="FP93" s="18"/>
      <c r="FQ93" s="18"/>
      <c r="FR93" s="18"/>
      <c r="FS93" s="18"/>
      <c r="FT93" s="18"/>
      <c r="FU93" s="18"/>
      <c r="FV93" s="18"/>
      <c r="FW93" s="18"/>
      <c r="FX93" s="18"/>
      <c r="FY93" s="18"/>
      <c r="FZ93" s="18"/>
      <c r="GA93" s="18"/>
      <c r="GB93" s="18"/>
      <c r="GC93" s="18"/>
      <c r="GD93" s="18"/>
      <c r="GE93" s="18"/>
      <c r="GF93" s="18"/>
      <c r="GG93" s="18"/>
      <c r="GH93" s="18"/>
      <c r="GI93" s="18"/>
      <c r="GJ93" s="18"/>
      <c r="GK93" s="18"/>
      <c r="GL93" s="18"/>
      <c r="GM93" s="18"/>
      <c r="GN93" s="18"/>
      <c r="GO93" s="18"/>
      <c r="GP93" s="18"/>
      <c r="GQ93" s="18"/>
      <c r="GR93" s="18"/>
      <c r="GS93" s="18"/>
      <c r="GT93" s="18"/>
      <c r="GU93" s="18"/>
      <c r="GV93" s="18"/>
      <c r="GW93" s="18"/>
      <c r="GX93" s="18"/>
      <c r="GY93" s="18"/>
      <c r="GZ93" s="18"/>
      <c r="HA93" s="18"/>
      <c r="HB93" s="18"/>
      <c r="HC93" s="18"/>
      <c r="HD93" s="18"/>
      <c r="HE93" s="18"/>
      <c r="HF93" s="18"/>
      <c r="HG93" s="18"/>
      <c r="HH93" s="18"/>
      <c r="HI93" s="18"/>
      <c r="HJ93" s="18"/>
      <c r="HK93" s="18"/>
      <c r="HL93" s="18"/>
      <c r="HM93" s="18"/>
      <c r="HN93" s="18"/>
      <c r="HO93" s="18"/>
      <c r="HP93" s="18"/>
      <c r="HQ93" s="18"/>
      <c r="HR93" s="18"/>
      <c r="HS93" s="18"/>
      <c r="HT93" s="18"/>
      <c r="HU93" s="18"/>
      <c r="HV93" s="18"/>
      <c r="HW93" s="18"/>
      <c r="HX93" s="18"/>
      <c r="HY93" s="18"/>
      <c r="HZ93" s="18"/>
      <c r="IA93" s="18"/>
      <c r="IB93" s="18"/>
      <c r="IC93" s="18"/>
      <c r="ID93" s="18"/>
      <c r="IE93" s="18"/>
      <c r="IF93" s="18"/>
      <c r="IG93" s="18"/>
      <c r="IH93" s="18"/>
      <c r="II93" s="18"/>
      <c r="IJ93" s="18"/>
      <c r="IK93" s="18"/>
      <c r="IL93" s="18"/>
      <c r="IM93" s="18"/>
      <c r="IN93" s="18"/>
      <c r="IO93" s="18"/>
      <c r="IP93" s="18"/>
      <c r="IQ93" s="18"/>
      <c r="IR93" s="18"/>
      <c r="IS93" s="18"/>
      <c r="IT93" s="18"/>
      <c r="IU93" s="18"/>
      <c r="IV93" s="18"/>
      <c r="IW93" s="18"/>
      <c r="IX93" s="18"/>
      <c r="IY93" s="18"/>
      <c r="IZ93" s="18"/>
      <c r="JA93" s="18"/>
      <c r="JB93" s="18"/>
      <c r="JC93" s="18"/>
      <c r="JD93" s="18"/>
      <c r="JE93" s="18"/>
      <c r="JF93" s="18"/>
      <c r="JG93" s="18"/>
      <c r="JH93" s="18"/>
      <c r="JI93" s="18"/>
      <c r="JJ93" s="18"/>
      <c r="JK93" s="18"/>
      <c r="JL93" s="18"/>
      <c r="JM93" s="18"/>
      <c r="JN93" s="18"/>
      <c r="JO93" s="18"/>
      <c r="JP93" s="18"/>
      <c r="JQ93" s="18"/>
      <c r="JR93" s="18"/>
      <c r="JS93" s="18"/>
      <c r="JT93" s="18"/>
      <c r="JU93" s="18"/>
      <c r="JV93" s="18"/>
      <c r="JW93" s="18"/>
      <c r="JX93" s="18"/>
      <c r="JY93" s="18"/>
      <c r="JZ93" s="18"/>
      <c r="KA93" s="18"/>
      <c r="KB93" s="18"/>
      <c r="KC93" s="18"/>
      <c r="KD93" s="18"/>
      <c r="KE93" s="18"/>
      <c r="KF93" s="18"/>
      <c r="KG93" s="18"/>
      <c r="KH93" s="18"/>
      <c r="KI93" s="18"/>
      <c r="KJ93" s="18"/>
      <c r="KK93" s="18"/>
      <c r="KL93" s="18"/>
      <c r="KM93" s="18"/>
      <c r="KN93" s="18"/>
      <c r="KO93" s="18"/>
      <c r="KP93" s="18"/>
      <c r="KQ93" s="18"/>
      <c r="KR93" s="18"/>
      <c r="KS93" s="18"/>
      <c r="KT93" s="18"/>
      <c r="KU93" s="18"/>
      <c r="KV93" s="18"/>
      <c r="KW93" s="18"/>
      <c r="KX93" s="18"/>
      <c r="KY93" s="18"/>
      <c r="KZ93" s="18"/>
      <c r="LA93" s="18"/>
      <c r="LB93" s="18"/>
      <c r="LC93" s="18"/>
      <c r="LD93" s="18"/>
      <c r="LE93" s="18"/>
      <c r="LF93" s="18"/>
      <c r="LG93" s="18"/>
      <c r="LH93" s="18"/>
      <c r="LI93" s="18"/>
      <c r="LJ93" s="18"/>
      <c r="LK93" s="18"/>
      <c r="LL93" s="18"/>
      <c r="LM93" s="18"/>
      <c r="LN93" s="18"/>
      <c r="LO93" s="18"/>
      <c r="LP93" s="18"/>
      <c r="LQ93" s="18"/>
      <c r="LR93" s="18"/>
      <c r="LS93" s="18"/>
      <c r="LT93" s="18"/>
      <c r="LU93" s="18"/>
      <c r="LV93" s="18"/>
      <c r="LW93" s="18"/>
      <c r="LX93" s="18"/>
      <c r="LY93" s="18"/>
      <c r="LZ93" s="18"/>
      <c r="MA93" s="18"/>
      <c r="MB93" s="18"/>
      <c r="MC93" s="18"/>
      <c r="MD93" s="18"/>
      <c r="ME93" s="18"/>
      <c r="MF93" s="18"/>
      <c r="MG93" s="18"/>
      <c r="MH93" s="18"/>
      <c r="MI93" s="18"/>
      <c r="MJ93" s="18"/>
      <c r="MK93" s="18"/>
      <c r="ML93" s="18"/>
      <c r="MM93" s="18"/>
      <c r="MN93" s="18"/>
      <c r="MO93" s="18"/>
      <c r="MP93" s="18"/>
      <c r="MQ93" s="18"/>
      <c r="MR93" s="18"/>
      <c r="MS93" s="18"/>
      <c r="MT93" s="18"/>
      <c r="MU93" s="18"/>
      <c r="MV93" s="18"/>
      <c r="MW93" s="18"/>
      <c r="MX93" s="18"/>
      <c r="MY93" s="18"/>
      <c r="MZ93" s="18"/>
      <c r="NA93" s="18"/>
      <c r="NB93" s="18"/>
      <c r="NC93" s="18"/>
      <c r="ND93" s="18"/>
      <c r="NE93" s="18"/>
      <c r="NF93" s="18"/>
      <c r="NG93" s="18"/>
      <c r="NH93" s="18"/>
      <c r="NI93" s="18"/>
      <c r="NJ93" s="18"/>
      <c r="NK93" s="18"/>
      <c r="NL93" s="18"/>
      <c r="NM93" s="18"/>
      <c r="NN93" s="18"/>
      <c r="NO93" s="18"/>
      <c r="NP93" s="18"/>
      <c r="NQ93" s="18"/>
      <c r="NR93" s="18"/>
      <c r="NS93" s="18"/>
      <c r="NT93" s="18"/>
      <c r="NU93" s="18"/>
      <c r="NV93" s="18"/>
      <c r="NW93" s="18"/>
      <c r="NX93" s="18"/>
      <c r="NY93" s="18"/>
      <c r="NZ93" s="18"/>
      <c r="OA93" s="18"/>
      <c r="OB93" s="18"/>
      <c r="OC93" s="18"/>
      <c r="OD93" s="18"/>
      <c r="OE93" s="18"/>
      <c r="OF93" s="18"/>
      <c r="OG93" s="18"/>
      <c r="OH93" s="18"/>
      <c r="OI93" s="18"/>
      <c r="OJ93" s="18"/>
      <c r="OK93" s="18"/>
      <c r="OL93" s="18"/>
      <c r="OM93" s="18"/>
      <c r="ON93" s="18"/>
      <c r="OO93" s="18"/>
      <c r="OP93" s="18"/>
      <c r="OQ93" s="18"/>
      <c r="OR93" s="18"/>
      <c r="OS93" s="18"/>
      <c r="OT93" s="18"/>
      <c r="OU93" s="18"/>
      <c r="OV93" s="18"/>
      <c r="OW93" s="18"/>
      <c r="OX93" s="18"/>
      <c r="OY93" s="18"/>
      <c r="OZ93" s="18"/>
      <c r="PA93" s="18"/>
      <c r="PB93" s="18"/>
      <c r="PC93" s="18"/>
      <c r="PD93" s="18"/>
      <c r="PE93" s="18"/>
      <c r="PF93" s="18"/>
      <c r="PG93" s="18"/>
      <c r="PH93" s="18"/>
      <c r="PI93" s="18"/>
      <c r="PJ93" s="18"/>
      <c r="PK93" s="18"/>
      <c r="PL93" s="18"/>
      <c r="PM93" s="18"/>
      <c r="PN93" s="18"/>
      <c r="PO93" s="18"/>
      <c r="PP93" s="18"/>
      <c r="PQ93" s="18"/>
      <c r="PR93" s="18"/>
      <c r="PS93" s="18"/>
      <c r="PT93" s="18"/>
      <c r="PU93" s="18"/>
      <c r="PV93" s="18"/>
      <c r="PW93" s="18"/>
      <c r="PX93" s="18"/>
      <c r="PY93" s="18"/>
      <c r="PZ93" s="18"/>
      <c r="QA93" s="18"/>
      <c r="QB93" s="18"/>
      <c r="QC93" s="18"/>
      <c r="QD93" s="18"/>
      <c r="QE93" s="18"/>
      <c r="QF93" s="18"/>
      <c r="QG93" s="18"/>
      <c r="QH93" s="18"/>
      <c r="QI93" s="18"/>
      <c r="QJ93" s="18"/>
      <c r="QK93" s="18"/>
      <c r="QL93" s="18"/>
      <c r="QM93" s="18"/>
      <c r="QN93" s="18"/>
      <c r="QO93" s="18"/>
      <c r="QP93" s="18"/>
      <c r="QQ93" s="18"/>
      <c r="QR93" s="18"/>
      <c r="QS93" s="18"/>
      <c r="QT93" s="18"/>
      <c r="QU93" s="18"/>
      <c r="QV93" s="18"/>
      <c r="QW93" s="18"/>
      <c r="QX93" s="18"/>
      <c r="QY93" s="18"/>
      <c r="QZ93" s="18"/>
      <c r="RA93" s="18"/>
      <c r="RB93" s="18"/>
      <c r="RC93" s="18"/>
      <c r="RD93" s="18"/>
      <c r="RE93" s="18"/>
      <c r="RF93" s="18"/>
      <c r="RG93" s="18"/>
      <c r="RH93" s="18"/>
      <c r="RI93" s="18"/>
      <c r="RJ93" s="18"/>
      <c r="RK93" s="18"/>
      <c r="RL93" s="18"/>
      <c r="RM93" s="18"/>
      <c r="RN93" s="18"/>
      <c r="RO93" s="18"/>
      <c r="RP93" s="18"/>
      <c r="RQ93" s="18"/>
      <c r="RR93" s="18"/>
      <c r="RS93" s="18"/>
      <c r="RT93" s="18"/>
      <c r="RU93" s="18"/>
      <c r="RV93" s="18"/>
      <c r="RW93" s="18"/>
      <c r="RX93" s="18"/>
      <c r="RY93" s="18"/>
      <c r="RZ93" s="18"/>
      <c r="SA93" s="18"/>
      <c r="SB93" s="18"/>
      <c r="SC93" s="18"/>
      <c r="SD93" s="18"/>
      <c r="SE93" s="18"/>
      <c r="SF93" s="18"/>
      <c r="SG93" s="18"/>
      <c r="SH93" s="18"/>
      <c r="SI93" s="18"/>
      <c r="SJ93" s="18"/>
      <c r="SK93" s="18"/>
      <c r="SL93" s="18"/>
      <c r="SM93" s="18"/>
      <c r="SN93" s="18"/>
      <c r="SO93" s="18"/>
      <c r="SP93" s="18"/>
      <c r="SQ93" s="18"/>
      <c r="SR93" s="18"/>
      <c r="SS93" s="18"/>
      <c r="ST93" s="18"/>
      <c r="SU93" s="18"/>
      <c r="SV93" s="18"/>
      <c r="SW93" s="18"/>
      <c r="SX93" s="18"/>
      <c r="SY93" s="18"/>
      <c r="SZ93" s="18"/>
      <c r="TA93" s="18"/>
      <c r="TB93" s="18"/>
      <c r="TC93" s="18"/>
      <c r="TD93" s="18"/>
      <c r="TE93" s="18"/>
      <c r="TF93" s="18"/>
      <c r="TG93" s="18"/>
      <c r="TH93" s="18"/>
      <c r="TI93" s="18"/>
      <c r="TJ93" s="18"/>
      <c r="TK93" s="18"/>
      <c r="TL93" s="18"/>
      <c r="TM93" s="18"/>
      <c r="TN93" s="18"/>
      <c r="TO93" s="18"/>
      <c r="TP93" s="18"/>
      <c r="TQ93" s="18"/>
      <c r="TR93" s="18"/>
      <c r="TS93" s="18"/>
      <c r="TT93" s="18"/>
      <c r="TU93" s="18"/>
      <c r="TV93" s="18"/>
      <c r="TW93" s="18"/>
      <c r="TX93" s="18"/>
      <c r="TY93" s="18"/>
      <c r="TZ93" s="18"/>
      <c r="UA93" s="18"/>
      <c r="UB93" s="18"/>
      <c r="UC93" s="18"/>
      <c r="UD93" s="18"/>
      <c r="UE93" s="18"/>
      <c r="UF93" s="18"/>
      <c r="UG93" s="18"/>
      <c r="UH93" s="18"/>
      <c r="UI93" s="18"/>
      <c r="UJ93" s="18"/>
      <c r="UK93" s="18"/>
      <c r="UL93" s="18"/>
      <c r="UM93" s="18"/>
      <c r="UN93" s="18"/>
      <c r="UO93" s="18"/>
      <c r="UP93" s="18"/>
      <c r="UQ93" s="18"/>
      <c r="UR93" s="18"/>
      <c r="US93" s="18"/>
      <c r="UT93" s="18"/>
      <c r="UU93" s="18"/>
      <c r="UV93" s="18"/>
      <c r="UW93" s="18"/>
      <c r="UX93" s="18"/>
      <c r="UY93" s="18"/>
      <c r="UZ93" s="18"/>
      <c r="VA93" s="18"/>
      <c r="VB93" s="18"/>
      <c r="VC93" s="18"/>
      <c r="VD93" s="18"/>
      <c r="VE93" s="18"/>
      <c r="VF93" s="18"/>
      <c r="VG93" s="18"/>
      <c r="VH93" s="18"/>
      <c r="VI93" s="18"/>
      <c r="VJ93" s="18"/>
      <c r="VK93" s="18"/>
      <c r="VL93" s="18"/>
      <c r="VM93" s="18"/>
      <c r="VN93" s="18"/>
      <c r="VO93" s="18"/>
      <c r="VP93" s="18"/>
      <c r="VQ93" s="18"/>
      <c r="VR93" s="18"/>
      <c r="VS93" s="18"/>
      <c r="VT93" s="18"/>
      <c r="VU93" s="18"/>
      <c r="VV93" s="18"/>
      <c r="VW93" s="18"/>
      <c r="VX93" s="18"/>
      <c r="VY93" s="18"/>
      <c r="VZ93" s="18"/>
      <c r="WA93" s="18"/>
      <c r="WB93" s="18"/>
      <c r="WC93" s="18"/>
      <c r="WD93" s="18"/>
      <c r="WE93" s="18"/>
      <c r="WF93" s="18"/>
      <c r="WG93" s="18"/>
      <c r="WH93" s="18"/>
      <c r="WI93" s="18"/>
      <c r="WJ93" s="18"/>
      <c r="WK93" s="18"/>
      <c r="WL93" s="18"/>
      <c r="WM93" s="18"/>
      <c r="WN93" s="18"/>
      <c r="WO93" s="18"/>
      <c r="WP93" s="18"/>
      <c r="WQ93" s="18"/>
      <c r="WR93" s="18"/>
      <c r="WS93" s="18"/>
      <c r="WT93" s="18"/>
      <c r="WU93" s="18"/>
      <c r="WV93" s="18"/>
      <c r="WW93" s="18"/>
      <c r="WX93" s="18"/>
      <c r="WY93" s="18"/>
      <c r="WZ93" s="18"/>
      <c r="XA93" s="18"/>
      <c r="XB93" s="18"/>
      <c r="XC93" s="18"/>
      <c r="XD93" s="18"/>
      <c r="XE93" s="18"/>
      <c r="XF93" s="18"/>
      <c r="XG93" s="18"/>
      <c r="XH93" s="18"/>
      <c r="XI93" s="18"/>
      <c r="XJ93" s="18"/>
      <c r="XK93" s="18"/>
      <c r="XL93" s="18"/>
      <c r="XM93" s="18"/>
      <c r="XN93" s="18"/>
      <c r="XO93" s="18"/>
      <c r="XP93" s="18"/>
      <c r="XQ93" s="18"/>
      <c r="XR93" s="18"/>
      <c r="XS93" s="18"/>
      <c r="XT93" s="18"/>
      <c r="XU93" s="18"/>
      <c r="XV93" s="18"/>
      <c r="XW93" s="18"/>
      <c r="XX93" s="18"/>
      <c r="XY93" s="18"/>
      <c r="XZ93" s="18"/>
      <c r="YA93" s="18"/>
      <c r="YB93" s="18"/>
      <c r="YC93" s="18"/>
      <c r="YD93" s="18"/>
      <c r="YE93" s="18"/>
      <c r="YF93" s="18"/>
      <c r="YG93" s="18"/>
      <c r="YH93" s="18"/>
      <c r="YI93" s="18"/>
      <c r="YJ93" s="18"/>
      <c r="YK93" s="18"/>
      <c r="YL93" s="18"/>
      <c r="YM93" s="18"/>
      <c r="YN93" s="18"/>
      <c r="YO93" s="18"/>
      <c r="YP93" s="18"/>
      <c r="YQ93" s="18"/>
      <c r="YR93" s="18"/>
      <c r="YS93" s="18"/>
      <c r="YT93" s="18"/>
      <c r="YU93" s="18"/>
      <c r="YV93" s="18"/>
      <c r="YW93" s="18"/>
      <c r="YX93" s="18"/>
      <c r="YY93" s="18"/>
      <c r="YZ93" s="18"/>
      <c r="ZA93" s="18"/>
      <c r="ZB93" s="18"/>
      <c r="ZC93" s="18"/>
      <c r="ZD93" s="18"/>
      <c r="ZE93" s="18"/>
      <c r="ZF93" s="18"/>
      <c r="ZG93" s="18"/>
      <c r="ZH93" s="18"/>
      <c r="ZI93" s="18"/>
      <c r="ZJ93" s="18"/>
      <c r="ZK93" s="18"/>
      <c r="ZL93" s="18"/>
      <c r="ZM93" s="18"/>
      <c r="ZN93" s="18"/>
      <c r="ZO93" s="18"/>
      <c r="ZP93" s="18"/>
      <c r="ZQ93" s="18"/>
      <c r="ZR93" s="18"/>
      <c r="ZS93" s="18"/>
      <c r="ZT93" s="18"/>
      <c r="ZU93" s="18"/>
      <c r="ZV93" s="18"/>
      <c r="ZW93" s="18"/>
      <c r="ZX93" s="18"/>
      <c r="ZY93" s="18"/>
      <c r="ZZ93" s="18"/>
      <c r="AAA93" s="18"/>
      <c r="AAB93" s="18"/>
      <c r="AAC93" s="18"/>
      <c r="AAD93" s="18"/>
      <c r="AAE93" s="18"/>
      <c r="AAF93" s="18"/>
      <c r="AAG93" s="18"/>
      <c r="AAH93" s="18"/>
      <c r="AAI93" s="18"/>
      <c r="AAJ93" s="18"/>
      <c r="AAK93" s="18"/>
      <c r="AAL93" s="18"/>
      <c r="AAM93" s="18"/>
      <c r="AAN93" s="18"/>
      <c r="AAO93" s="18"/>
      <c r="AAP93" s="18"/>
      <c r="AAQ93" s="18"/>
      <c r="AAR93" s="18"/>
      <c r="AAS93" s="18"/>
      <c r="AAT93" s="18"/>
      <c r="AAU93" s="18"/>
      <c r="AAV93" s="18"/>
      <c r="AAW93" s="18"/>
      <c r="AAX93" s="18"/>
      <c r="AAY93" s="18"/>
      <c r="AAZ93" s="18"/>
      <c r="ABA93" s="18"/>
      <c r="ABB93" s="18"/>
      <c r="ABC93" s="18"/>
      <c r="ABD93" s="18"/>
      <c r="ABE93" s="18"/>
      <c r="ABF93" s="18"/>
      <c r="ABG93" s="18"/>
      <c r="ABH93" s="18"/>
      <c r="ABI93" s="18"/>
      <c r="ABJ93" s="18"/>
      <c r="ABK93" s="18"/>
      <c r="ABL93" s="18"/>
      <c r="ABM93" s="18"/>
      <c r="ABN93" s="18"/>
      <c r="ABO93" s="18"/>
      <c r="ABP93" s="18"/>
      <c r="ABQ93" s="18"/>
      <c r="ABR93" s="18"/>
      <c r="ABS93" s="18"/>
      <c r="ABT93" s="18"/>
      <c r="ABU93" s="18"/>
      <c r="ABV93" s="18"/>
      <c r="ABW93" s="18"/>
      <c r="ABX93" s="18"/>
      <c r="ABY93" s="18"/>
      <c r="ABZ93" s="18"/>
      <c r="ACA93" s="18"/>
      <c r="ACB93" s="18"/>
      <c r="ACC93" s="18"/>
      <c r="ACD93" s="18"/>
      <c r="ACE93" s="18"/>
      <c r="ACF93" s="18"/>
      <c r="ACG93" s="18"/>
      <c r="ACH93" s="18"/>
      <c r="ACI93" s="18"/>
      <c r="ACJ93" s="18"/>
      <c r="ACK93" s="18"/>
      <c r="ACL93" s="18"/>
      <c r="ACM93" s="18"/>
      <c r="ACN93" s="18"/>
      <c r="ACO93" s="18"/>
      <c r="ACP93" s="18"/>
      <c r="ACQ93" s="18"/>
      <c r="ACR93" s="18"/>
      <c r="ACS93" s="18"/>
      <c r="ACT93" s="18"/>
      <c r="ACU93" s="18"/>
      <c r="ACV93" s="18"/>
      <c r="ACW93" s="18"/>
      <c r="ACX93" s="18"/>
      <c r="ACY93" s="18"/>
      <c r="ACZ93" s="18"/>
      <c r="ADA93" s="18"/>
      <c r="ADB93" s="18"/>
      <c r="ADC93" s="18"/>
      <c r="ADD93" s="18"/>
      <c r="ADE93" s="18"/>
      <c r="ADF93" s="18"/>
      <c r="ADG93" s="18"/>
      <c r="ADH93" s="18"/>
      <c r="ADI93" s="18"/>
      <c r="ADJ93" s="18"/>
      <c r="ADK93" s="18"/>
      <c r="ADL93" s="18"/>
      <c r="ADM93" s="18"/>
      <c r="ADN93" s="18"/>
      <c r="ADO93" s="18"/>
      <c r="ADP93" s="18"/>
      <c r="ADQ93" s="18"/>
      <c r="ADR93" s="18"/>
      <c r="ADS93" s="18"/>
      <c r="ADT93" s="18"/>
      <c r="ADU93" s="18"/>
      <c r="ADV93" s="18"/>
      <c r="ADW93" s="18"/>
      <c r="ADX93" s="18"/>
      <c r="ADY93" s="18"/>
      <c r="ADZ93" s="18"/>
      <c r="AEA93" s="18"/>
      <c r="AEB93" s="18"/>
      <c r="AEC93" s="18"/>
      <c r="AED93" s="18"/>
      <c r="AEE93" s="18"/>
      <c r="AEF93" s="18"/>
      <c r="AEG93" s="18"/>
      <c r="AEH93" s="18"/>
      <c r="AEI93" s="18"/>
      <c r="AEJ93" s="18"/>
      <c r="AEK93" s="18"/>
      <c r="AEL93" s="18"/>
      <c r="AEM93" s="18"/>
      <c r="AEN93" s="18"/>
      <c r="AEO93" s="18"/>
      <c r="AEP93" s="18"/>
      <c r="AEQ93" s="18"/>
      <c r="AER93" s="18"/>
      <c r="AES93" s="18"/>
      <c r="AET93" s="18"/>
      <c r="AEU93" s="18"/>
      <c r="AEV93" s="18"/>
      <c r="AEW93" s="18"/>
      <c r="AEX93" s="18"/>
      <c r="AEY93" s="18"/>
      <c r="AEZ93" s="18"/>
      <c r="AFA93" s="18"/>
      <c r="AFB93" s="18"/>
      <c r="AFC93" s="18"/>
      <c r="AFD93" s="18"/>
      <c r="AFE93" s="18"/>
      <c r="AFF93" s="18"/>
      <c r="AFG93" s="18"/>
      <c r="AFH93" s="18"/>
      <c r="AFI93" s="18"/>
      <c r="AFJ93" s="18"/>
      <c r="AFK93" s="18"/>
      <c r="AFL93" s="18"/>
      <c r="AFM93" s="18"/>
      <c r="AFN93" s="18"/>
      <c r="AFO93" s="18"/>
      <c r="AFP93" s="18"/>
      <c r="AFQ93" s="18"/>
      <c r="AFR93" s="18"/>
      <c r="AFS93" s="18"/>
      <c r="AFT93" s="18"/>
      <c r="AFU93" s="18"/>
      <c r="AFV93" s="18"/>
      <c r="AFW93" s="18"/>
      <c r="AFX93" s="18"/>
      <c r="AFY93" s="18"/>
      <c r="AFZ93" s="18"/>
      <c r="AGA93" s="18"/>
      <c r="AGB93" s="18"/>
      <c r="AGC93" s="18"/>
      <c r="AGD93" s="18"/>
      <c r="AGE93" s="18"/>
      <c r="AGF93" s="18"/>
      <c r="AGG93" s="18"/>
      <c r="AGH93" s="18"/>
      <c r="AGI93" s="18"/>
      <c r="AGJ93" s="18"/>
      <c r="AGK93" s="18"/>
      <c r="AGL93" s="18"/>
      <c r="AGM93" s="18"/>
      <c r="AGN93" s="18"/>
      <c r="AGO93" s="18"/>
      <c r="AGP93" s="18"/>
      <c r="AGQ93" s="18"/>
      <c r="AGR93" s="18"/>
      <c r="AGS93" s="18"/>
      <c r="AGT93" s="18"/>
      <c r="AGU93" s="18"/>
      <c r="AGV93" s="18"/>
      <c r="AGW93" s="18"/>
      <c r="AGX93" s="18"/>
      <c r="AGY93" s="18"/>
      <c r="AGZ93" s="18"/>
      <c r="AHA93" s="18"/>
      <c r="AHB93" s="18"/>
      <c r="AHC93" s="18"/>
      <c r="AHD93" s="18"/>
      <c r="AHE93" s="18"/>
      <c r="AHF93" s="18"/>
      <c r="AHG93" s="18"/>
      <c r="AHH93" s="18"/>
      <c r="AHI93" s="18"/>
      <c r="AHJ93" s="18"/>
      <c r="AHK93" s="18"/>
      <c r="AHL93" s="18"/>
      <c r="AHM93" s="18"/>
      <c r="AHN93" s="18"/>
      <c r="AHO93" s="18"/>
      <c r="AHP93" s="18"/>
      <c r="AHQ93" s="18"/>
      <c r="AHR93" s="18"/>
      <c r="AHS93" s="18"/>
      <c r="AHT93" s="18"/>
      <c r="AHU93" s="18"/>
      <c r="AHV93" s="18"/>
      <c r="AHW93" s="18"/>
      <c r="AHX93" s="18"/>
      <c r="AHY93" s="18"/>
      <c r="AHZ93" s="18"/>
      <c r="AIA93" s="18"/>
      <c r="AIB93" s="18"/>
      <c r="AIC93" s="18"/>
      <c r="AID93" s="18"/>
      <c r="AIE93" s="18"/>
      <c r="AIF93" s="18"/>
      <c r="AIG93" s="18"/>
      <c r="AIH93" s="18"/>
      <c r="AII93" s="18"/>
      <c r="AIJ93" s="18"/>
      <c r="AIK93" s="18"/>
      <c r="AIL93" s="18"/>
      <c r="AIM93" s="18"/>
      <c r="AIN93" s="18"/>
      <c r="AIO93" s="18"/>
      <c r="AIP93" s="18"/>
      <c r="AIQ93" s="18"/>
      <c r="AIR93" s="18"/>
      <c r="AIS93" s="18"/>
      <c r="AIT93" s="18"/>
      <c r="AIU93" s="18"/>
      <c r="AIV93" s="18"/>
      <c r="AIW93" s="18"/>
      <c r="AIX93" s="18"/>
      <c r="AIY93" s="18"/>
      <c r="AIZ93" s="18"/>
      <c r="AJA93" s="18"/>
      <c r="AJB93" s="18"/>
      <c r="AJC93" s="18"/>
      <c r="AJD93" s="18"/>
      <c r="AJE93" s="18"/>
      <c r="AJF93" s="18"/>
      <c r="AJG93" s="18"/>
      <c r="AJH93" s="18"/>
      <c r="AJI93" s="18"/>
      <c r="AJJ93" s="18"/>
      <c r="AJK93" s="18"/>
      <c r="AJL93" s="18"/>
      <c r="AJM93" s="18"/>
      <c r="AJN93" s="18"/>
      <c r="AJO93" s="18"/>
      <c r="AJP93" s="18"/>
      <c r="AJQ93" s="18"/>
      <c r="AJR93" s="18"/>
      <c r="AJS93" s="18"/>
      <c r="AJT93" s="18"/>
      <c r="AJU93" s="18"/>
      <c r="AJV93" s="18"/>
      <c r="AJW93" s="18"/>
      <c r="AJX93" s="18"/>
      <c r="AJY93" s="18"/>
      <c r="AJZ93" s="18"/>
      <c r="AKA93" s="18"/>
      <c r="AKB93" s="18"/>
      <c r="AKC93" s="18"/>
      <c r="AKD93" s="18"/>
      <c r="AKE93" s="18"/>
      <c r="AKF93" s="18"/>
      <c r="AKG93" s="18"/>
      <c r="AKH93" s="18"/>
      <c r="AKI93" s="18"/>
      <c r="AKJ93" s="18"/>
      <c r="AKK93" s="18"/>
      <c r="AKL93" s="18"/>
      <c r="AKM93" s="18"/>
      <c r="AKN93" s="18"/>
      <c r="AKO93" s="18"/>
      <c r="AKP93" s="18"/>
      <c r="AKQ93" s="18"/>
      <c r="AKR93" s="18"/>
      <c r="AKS93" s="18"/>
      <c r="AKT93" s="18"/>
      <c r="AKU93" s="18"/>
      <c r="AKV93" s="18"/>
      <c r="AKW93" s="18"/>
      <c r="AKX93" s="18"/>
      <c r="AKY93" s="18"/>
      <c r="AKZ93" s="18"/>
      <c r="ALA93" s="18"/>
      <c r="ALB93" s="18"/>
      <c r="ALC93" s="18"/>
      <c r="ALD93" s="18"/>
      <c r="ALE93" s="18"/>
      <c r="ALF93" s="18"/>
      <c r="ALG93" s="18"/>
      <c r="ALH93" s="18"/>
      <c r="ALI93" s="18"/>
      <c r="ALJ93" s="18"/>
      <c r="ALK93" s="18"/>
      <c r="ALL93" s="18"/>
      <c r="ALM93" s="18"/>
      <c r="ALN93" s="18"/>
      <c r="ALO93" s="18"/>
      <c r="ALP93" s="18"/>
      <c r="ALQ93" s="18"/>
      <c r="ALR93" s="18"/>
      <c r="ALS93" s="18"/>
      <c r="ALT93" s="18"/>
      <c r="ALU93" s="18"/>
      <c r="ALV93" s="18"/>
      <c r="ALW93" s="18"/>
      <c r="ALX93" s="18"/>
      <c r="ALY93" s="18"/>
      <c r="ALZ93" s="18"/>
      <c r="AMA93" s="18"/>
      <c r="AMB93" s="18"/>
      <c r="AMC93" s="18"/>
      <c r="AMD93" s="18"/>
      <c r="AME93" s="18"/>
      <c r="AMF93" s="18"/>
      <c r="AMG93" s="18"/>
      <c r="AMH93" s="18"/>
    </row>
    <row r="94" spans="1:1022" s="23" customFormat="1" x14ac:dyDescent="0.3">
      <c r="A94" s="33">
        <v>190</v>
      </c>
      <c r="B94" s="19"/>
      <c r="C94" s="19"/>
      <c r="D94" s="34" t="s">
        <v>363</v>
      </c>
      <c r="E94" s="34" t="s">
        <v>513</v>
      </c>
      <c r="F94" s="43">
        <v>70</v>
      </c>
      <c r="G94" s="19"/>
      <c r="H94" s="38" t="s">
        <v>281</v>
      </c>
      <c r="I94" s="31"/>
      <c r="J94" s="31"/>
      <c r="K94" s="31"/>
      <c r="L94" s="31"/>
      <c r="M94" s="32"/>
      <c r="N94" s="32"/>
      <c r="O94" s="18"/>
      <c r="P94" s="36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8"/>
      <c r="BV94" s="18"/>
      <c r="BW94" s="18"/>
      <c r="BX94" s="18"/>
      <c r="BY94" s="18"/>
      <c r="BZ94" s="18"/>
      <c r="CA94" s="18"/>
      <c r="CB94" s="18"/>
      <c r="CC94" s="18"/>
      <c r="CD94" s="18"/>
      <c r="CE94" s="18"/>
      <c r="CF94" s="18"/>
      <c r="CG94" s="18"/>
      <c r="CH94" s="18"/>
      <c r="CI94" s="18"/>
      <c r="CJ94" s="18"/>
      <c r="CK94" s="18"/>
      <c r="CL94" s="18"/>
      <c r="CM94" s="18"/>
      <c r="CN94" s="18"/>
      <c r="CO94" s="18"/>
      <c r="CP94" s="18"/>
      <c r="CQ94" s="18"/>
      <c r="CR94" s="18"/>
      <c r="CS94" s="18"/>
      <c r="CT94" s="18"/>
      <c r="CU94" s="18"/>
      <c r="CV94" s="18"/>
      <c r="CW94" s="18"/>
      <c r="CX94" s="18"/>
      <c r="CY94" s="18"/>
      <c r="CZ94" s="18"/>
      <c r="DA94" s="18"/>
      <c r="DB94" s="18"/>
      <c r="DC94" s="18"/>
      <c r="DD94" s="18"/>
      <c r="DE94" s="18"/>
      <c r="DF94" s="18"/>
      <c r="DG94" s="18"/>
      <c r="DH94" s="18"/>
      <c r="DI94" s="18"/>
      <c r="DJ94" s="18"/>
      <c r="DK94" s="18"/>
      <c r="DL94" s="18"/>
      <c r="DM94" s="18"/>
      <c r="DN94" s="18"/>
      <c r="DO94" s="18"/>
      <c r="DP94" s="18"/>
      <c r="DQ94" s="18"/>
      <c r="DR94" s="18"/>
      <c r="DS94" s="18"/>
      <c r="DT94" s="18"/>
      <c r="DU94" s="18"/>
      <c r="DV94" s="18"/>
      <c r="DW94" s="18"/>
      <c r="DX94" s="18"/>
      <c r="DY94" s="18"/>
      <c r="DZ94" s="18"/>
      <c r="EA94" s="18"/>
      <c r="EB94" s="18"/>
      <c r="EC94" s="18"/>
      <c r="ED94" s="18"/>
      <c r="EE94" s="18"/>
      <c r="EF94" s="18"/>
      <c r="EG94" s="18"/>
      <c r="EH94" s="18"/>
      <c r="EI94" s="18"/>
      <c r="EJ94" s="18"/>
      <c r="EK94" s="18"/>
      <c r="EL94" s="18"/>
      <c r="EM94" s="18"/>
      <c r="EN94" s="18"/>
      <c r="EO94" s="18"/>
      <c r="EP94" s="18"/>
      <c r="EQ94" s="18"/>
      <c r="ER94" s="18"/>
      <c r="ES94" s="18"/>
      <c r="ET94" s="18"/>
      <c r="EU94" s="18"/>
      <c r="EV94" s="18"/>
      <c r="EW94" s="18"/>
      <c r="EX94" s="18"/>
      <c r="EY94" s="18"/>
      <c r="EZ94" s="18"/>
      <c r="FA94" s="18"/>
      <c r="FB94" s="18"/>
      <c r="FC94" s="18"/>
      <c r="FD94" s="18"/>
      <c r="FE94" s="18"/>
      <c r="FF94" s="18"/>
      <c r="FG94" s="18"/>
      <c r="FH94" s="18"/>
      <c r="FI94" s="18"/>
      <c r="FJ94" s="18"/>
      <c r="FK94" s="18"/>
      <c r="FL94" s="18"/>
      <c r="FM94" s="18"/>
      <c r="FN94" s="18"/>
      <c r="FO94" s="18"/>
      <c r="FP94" s="18"/>
      <c r="FQ94" s="18"/>
      <c r="FR94" s="18"/>
      <c r="FS94" s="18"/>
      <c r="FT94" s="18"/>
      <c r="FU94" s="18"/>
      <c r="FV94" s="18"/>
      <c r="FW94" s="18"/>
      <c r="FX94" s="18"/>
      <c r="FY94" s="18"/>
      <c r="FZ94" s="18"/>
      <c r="GA94" s="18"/>
      <c r="GB94" s="18"/>
      <c r="GC94" s="18"/>
      <c r="GD94" s="18"/>
      <c r="GE94" s="18"/>
      <c r="GF94" s="18"/>
      <c r="GG94" s="18"/>
      <c r="GH94" s="18"/>
      <c r="GI94" s="18"/>
      <c r="GJ94" s="18"/>
      <c r="GK94" s="18"/>
      <c r="GL94" s="18"/>
      <c r="GM94" s="18"/>
      <c r="GN94" s="18"/>
      <c r="GO94" s="18"/>
      <c r="GP94" s="18"/>
      <c r="GQ94" s="18"/>
      <c r="GR94" s="18"/>
      <c r="GS94" s="18"/>
      <c r="GT94" s="18"/>
      <c r="GU94" s="18"/>
      <c r="GV94" s="18"/>
      <c r="GW94" s="18"/>
      <c r="GX94" s="18"/>
      <c r="GY94" s="18"/>
      <c r="GZ94" s="18"/>
      <c r="HA94" s="18"/>
      <c r="HB94" s="18"/>
      <c r="HC94" s="18"/>
      <c r="HD94" s="18"/>
      <c r="HE94" s="18"/>
      <c r="HF94" s="18"/>
      <c r="HG94" s="18"/>
      <c r="HH94" s="18"/>
      <c r="HI94" s="18"/>
      <c r="HJ94" s="18"/>
      <c r="HK94" s="18"/>
      <c r="HL94" s="18"/>
      <c r="HM94" s="18"/>
      <c r="HN94" s="18"/>
      <c r="HO94" s="18"/>
      <c r="HP94" s="18"/>
      <c r="HQ94" s="18"/>
      <c r="HR94" s="18"/>
      <c r="HS94" s="18"/>
      <c r="HT94" s="18"/>
      <c r="HU94" s="18"/>
      <c r="HV94" s="18"/>
      <c r="HW94" s="18"/>
      <c r="HX94" s="18"/>
      <c r="HY94" s="18"/>
      <c r="HZ94" s="18"/>
      <c r="IA94" s="18"/>
      <c r="IB94" s="18"/>
      <c r="IC94" s="18"/>
      <c r="ID94" s="18"/>
      <c r="IE94" s="18"/>
      <c r="IF94" s="18"/>
      <c r="IG94" s="18"/>
      <c r="IH94" s="18"/>
      <c r="II94" s="18"/>
      <c r="IJ94" s="18"/>
      <c r="IK94" s="18"/>
      <c r="IL94" s="18"/>
      <c r="IM94" s="18"/>
      <c r="IN94" s="18"/>
      <c r="IO94" s="18"/>
      <c r="IP94" s="18"/>
      <c r="IQ94" s="18"/>
      <c r="IR94" s="18"/>
      <c r="IS94" s="18"/>
      <c r="IT94" s="18"/>
      <c r="IU94" s="18"/>
      <c r="IV94" s="18"/>
      <c r="IW94" s="18"/>
      <c r="IX94" s="18"/>
      <c r="IY94" s="18"/>
      <c r="IZ94" s="18"/>
      <c r="JA94" s="18"/>
      <c r="JB94" s="18"/>
      <c r="JC94" s="18"/>
      <c r="JD94" s="18"/>
      <c r="JE94" s="18"/>
      <c r="JF94" s="18"/>
      <c r="JG94" s="18"/>
      <c r="JH94" s="18"/>
      <c r="JI94" s="18"/>
      <c r="JJ94" s="18"/>
      <c r="JK94" s="18"/>
      <c r="JL94" s="18"/>
      <c r="JM94" s="18"/>
      <c r="JN94" s="18"/>
      <c r="JO94" s="18"/>
      <c r="JP94" s="18"/>
      <c r="JQ94" s="18"/>
      <c r="JR94" s="18"/>
      <c r="JS94" s="18"/>
      <c r="JT94" s="18"/>
      <c r="JU94" s="18"/>
      <c r="JV94" s="18"/>
      <c r="JW94" s="18"/>
      <c r="JX94" s="18"/>
      <c r="JY94" s="18"/>
      <c r="JZ94" s="18"/>
      <c r="KA94" s="18"/>
      <c r="KB94" s="18"/>
      <c r="KC94" s="18"/>
      <c r="KD94" s="18"/>
      <c r="KE94" s="18"/>
      <c r="KF94" s="18"/>
      <c r="KG94" s="18"/>
      <c r="KH94" s="18"/>
      <c r="KI94" s="18"/>
      <c r="KJ94" s="18"/>
      <c r="KK94" s="18"/>
      <c r="KL94" s="18"/>
      <c r="KM94" s="18"/>
      <c r="KN94" s="18"/>
      <c r="KO94" s="18"/>
      <c r="KP94" s="18"/>
      <c r="KQ94" s="18"/>
      <c r="KR94" s="18"/>
      <c r="KS94" s="18"/>
      <c r="KT94" s="18"/>
      <c r="KU94" s="18"/>
      <c r="KV94" s="18"/>
      <c r="KW94" s="18"/>
      <c r="KX94" s="18"/>
      <c r="KY94" s="18"/>
      <c r="KZ94" s="18"/>
      <c r="LA94" s="18"/>
      <c r="LB94" s="18"/>
      <c r="LC94" s="18"/>
      <c r="LD94" s="18"/>
      <c r="LE94" s="18"/>
      <c r="LF94" s="18"/>
      <c r="LG94" s="18"/>
      <c r="LH94" s="18"/>
      <c r="LI94" s="18"/>
      <c r="LJ94" s="18"/>
      <c r="LK94" s="18"/>
      <c r="LL94" s="18"/>
      <c r="LM94" s="18"/>
      <c r="LN94" s="18"/>
      <c r="LO94" s="18"/>
      <c r="LP94" s="18"/>
      <c r="LQ94" s="18"/>
      <c r="LR94" s="18"/>
      <c r="LS94" s="18"/>
      <c r="LT94" s="18"/>
      <c r="LU94" s="18"/>
      <c r="LV94" s="18"/>
      <c r="LW94" s="18"/>
      <c r="LX94" s="18"/>
      <c r="LY94" s="18"/>
      <c r="LZ94" s="18"/>
      <c r="MA94" s="18"/>
      <c r="MB94" s="18"/>
      <c r="MC94" s="18"/>
      <c r="MD94" s="18"/>
      <c r="ME94" s="18"/>
      <c r="MF94" s="18"/>
      <c r="MG94" s="18"/>
      <c r="MH94" s="18"/>
      <c r="MI94" s="18"/>
      <c r="MJ94" s="18"/>
      <c r="MK94" s="18"/>
      <c r="ML94" s="18"/>
      <c r="MM94" s="18"/>
      <c r="MN94" s="18"/>
      <c r="MO94" s="18"/>
      <c r="MP94" s="18"/>
      <c r="MQ94" s="18"/>
      <c r="MR94" s="18"/>
      <c r="MS94" s="18"/>
      <c r="MT94" s="18"/>
      <c r="MU94" s="18"/>
      <c r="MV94" s="18"/>
      <c r="MW94" s="18"/>
      <c r="MX94" s="18"/>
      <c r="MY94" s="18"/>
      <c r="MZ94" s="18"/>
      <c r="NA94" s="18"/>
      <c r="NB94" s="18"/>
      <c r="NC94" s="18"/>
      <c r="ND94" s="18"/>
      <c r="NE94" s="18"/>
      <c r="NF94" s="18"/>
      <c r="NG94" s="18"/>
      <c r="NH94" s="18"/>
      <c r="NI94" s="18"/>
      <c r="NJ94" s="18"/>
      <c r="NK94" s="18"/>
      <c r="NL94" s="18"/>
      <c r="NM94" s="18"/>
      <c r="NN94" s="18"/>
      <c r="NO94" s="18"/>
      <c r="NP94" s="18"/>
      <c r="NQ94" s="18"/>
      <c r="NR94" s="18"/>
      <c r="NS94" s="18"/>
      <c r="NT94" s="18"/>
      <c r="NU94" s="18"/>
      <c r="NV94" s="18"/>
      <c r="NW94" s="18"/>
      <c r="NX94" s="18"/>
      <c r="NY94" s="18"/>
      <c r="NZ94" s="18"/>
      <c r="OA94" s="18"/>
      <c r="OB94" s="18"/>
      <c r="OC94" s="18"/>
      <c r="OD94" s="18"/>
      <c r="OE94" s="18"/>
      <c r="OF94" s="18"/>
      <c r="OG94" s="18"/>
      <c r="OH94" s="18"/>
      <c r="OI94" s="18"/>
      <c r="OJ94" s="18"/>
      <c r="OK94" s="18"/>
      <c r="OL94" s="18"/>
      <c r="OM94" s="18"/>
      <c r="ON94" s="18"/>
      <c r="OO94" s="18"/>
      <c r="OP94" s="18"/>
      <c r="OQ94" s="18"/>
      <c r="OR94" s="18"/>
      <c r="OS94" s="18"/>
      <c r="OT94" s="18"/>
      <c r="OU94" s="18"/>
      <c r="OV94" s="18"/>
      <c r="OW94" s="18"/>
      <c r="OX94" s="18"/>
      <c r="OY94" s="18"/>
      <c r="OZ94" s="18"/>
      <c r="PA94" s="18"/>
      <c r="PB94" s="18"/>
      <c r="PC94" s="18"/>
      <c r="PD94" s="18"/>
      <c r="PE94" s="18"/>
      <c r="PF94" s="18"/>
      <c r="PG94" s="18"/>
      <c r="PH94" s="18"/>
      <c r="PI94" s="18"/>
      <c r="PJ94" s="18"/>
      <c r="PK94" s="18"/>
      <c r="PL94" s="18"/>
      <c r="PM94" s="18"/>
      <c r="PN94" s="18"/>
      <c r="PO94" s="18"/>
      <c r="PP94" s="18"/>
      <c r="PQ94" s="18"/>
      <c r="PR94" s="18"/>
      <c r="PS94" s="18"/>
      <c r="PT94" s="18"/>
      <c r="PU94" s="18"/>
      <c r="PV94" s="18"/>
      <c r="PW94" s="18"/>
      <c r="PX94" s="18"/>
      <c r="PY94" s="18"/>
      <c r="PZ94" s="18"/>
      <c r="QA94" s="18"/>
      <c r="QB94" s="18"/>
      <c r="QC94" s="18"/>
      <c r="QD94" s="18"/>
      <c r="QE94" s="18"/>
      <c r="QF94" s="18"/>
      <c r="QG94" s="18"/>
      <c r="QH94" s="18"/>
      <c r="QI94" s="18"/>
      <c r="QJ94" s="18"/>
      <c r="QK94" s="18"/>
      <c r="QL94" s="18"/>
      <c r="QM94" s="18"/>
      <c r="QN94" s="18"/>
      <c r="QO94" s="18"/>
      <c r="QP94" s="18"/>
      <c r="QQ94" s="18"/>
      <c r="QR94" s="18"/>
      <c r="QS94" s="18"/>
      <c r="QT94" s="18"/>
      <c r="QU94" s="18"/>
      <c r="QV94" s="18"/>
      <c r="QW94" s="18"/>
      <c r="QX94" s="18"/>
      <c r="QY94" s="18"/>
      <c r="QZ94" s="18"/>
      <c r="RA94" s="18"/>
      <c r="RB94" s="18"/>
      <c r="RC94" s="18"/>
      <c r="RD94" s="18"/>
      <c r="RE94" s="18"/>
      <c r="RF94" s="18"/>
      <c r="RG94" s="18"/>
      <c r="RH94" s="18"/>
      <c r="RI94" s="18"/>
      <c r="RJ94" s="18"/>
      <c r="RK94" s="18"/>
      <c r="RL94" s="18"/>
      <c r="RM94" s="18"/>
      <c r="RN94" s="18"/>
      <c r="RO94" s="18"/>
      <c r="RP94" s="18"/>
      <c r="RQ94" s="18"/>
      <c r="RR94" s="18"/>
      <c r="RS94" s="18"/>
      <c r="RT94" s="18"/>
      <c r="RU94" s="18"/>
      <c r="RV94" s="18"/>
      <c r="RW94" s="18"/>
      <c r="RX94" s="18"/>
      <c r="RY94" s="18"/>
      <c r="RZ94" s="18"/>
      <c r="SA94" s="18"/>
      <c r="SB94" s="18"/>
      <c r="SC94" s="18"/>
      <c r="SD94" s="18"/>
      <c r="SE94" s="18"/>
      <c r="SF94" s="18"/>
      <c r="SG94" s="18"/>
      <c r="SH94" s="18"/>
      <c r="SI94" s="18"/>
      <c r="SJ94" s="18"/>
      <c r="SK94" s="18"/>
      <c r="SL94" s="18"/>
      <c r="SM94" s="18"/>
      <c r="SN94" s="18"/>
      <c r="SO94" s="18"/>
      <c r="SP94" s="18"/>
      <c r="SQ94" s="18"/>
      <c r="SR94" s="18"/>
      <c r="SS94" s="18"/>
      <c r="ST94" s="18"/>
      <c r="SU94" s="18"/>
      <c r="SV94" s="18"/>
      <c r="SW94" s="18"/>
      <c r="SX94" s="18"/>
      <c r="SY94" s="18"/>
      <c r="SZ94" s="18"/>
      <c r="TA94" s="18"/>
      <c r="TB94" s="18"/>
      <c r="TC94" s="18"/>
      <c r="TD94" s="18"/>
      <c r="TE94" s="18"/>
      <c r="TF94" s="18"/>
      <c r="TG94" s="18"/>
      <c r="TH94" s="18"/>
      <c r="TI94" s="18"/>
      <c r="TJ94" s="18"/>
      <c r="TK94" s="18"/>
      <c r="TL94" s="18"/>
      <c r="TM94" s="18"/>
      <c r="TN94" s="18"/>
      <c r="TO94" s="18"/>
      <c r="TP94" s="18"/>
      <c r="TQ94" s="18"/>
      <c r="TR94" s="18"/>
      <c r="TS94" s="18"/>
      <c r="TT94" s="18"/>
      <c r="TU94" s="18"/>
      <c r="TV94" s="18"/>
      <c r="TW94" s="18"/>
      <c r="TX94" s="18"/>
      <c r="TY94" s="18"/>
      <c r="TZ94" s="18"/>
      <c r="UA94" s="18"/>
      <c r="UB94" s="18"/>
      <c r="UC94" s="18"/>
      <c r="UD94" s="18"/>
      <c r="UE94" s="18"/>
      <c r="UF94" s="18"/>
      <c r="UG94" s="18"/>
      <c r="UH94" s="18"/>
      <c r="UI94" s="18"/>
      <c r="UJ94" s="18"/>
      <c r="UK94" s="18"/>
      <c r="UL94" s="18"/>
      <c r="UM94" s="18"/>
      <c r="UN94" s="18"/>
      <c r="UO94" s="18"/>
      <c r="UP94" s="18"/>
      <c r="UQ94" s="18"/>
      <c r="UR94" s="18"/>
      <c r="US94" s="18"/>
      <c r="UT94" s="18"/>
      <c r="UU94" s="18"/>
      <c r="UV94" s="18"/>
      <c r="UW94" s="18"/>
      <c r="UX94" s="18"/>
      <c r="UY94" s="18"/>
      <c r="UZ94" s="18"/>
      <c r="VA94" s="18"/>
      <c r="VB94" s="18"/>
      <c r="VC94" s="18"/>
      <c r="VD94" s="18"/>
      <c r="VE94" s="18"/>
      <c r="VF94" s="18"/>
      <c r="VG94" s="18"/>
      <c r="VH94" s="18"/>
      <c r="VI94" s="18"/>
      <c r="VJ94" s="18"/>
      <c r="VK94" s="18"/>
      <c r="VL94" s="18"/>
      <c r="VM94" s="18"/>
      <c r="VN94" s="18"/>
      <c r="VO94" s="18"/>
      <c r="VP94" s="18"/>
      <c r="VQ94" s="18"/>
      <c r="VR94" s="18"/>
      <c r="VS94" s="18"/>
      <c r="VT94" s="18"/>
      <c r="VU94" s="18"/>
      <c r="VV94" s="18"/>
      <c r="VW94" s="18"/>
      <c r="VX94" s="18"/>
      <c r="VY94" s="18"/>
      <c r="VZ94" s="18"/>
      <c r="WA94" s="18"/>
      <c r="WB94" s="18"/>
      <c r="WC94" s="18"/>
      <c r="WD94" s="18"/>
      <c r="WE94" s="18"/>
      <c r="WF94" s="18"/>
      <c r="WG94" s="18"/>
      <c r="WH94" s="18"/>
      <c r="WI94" s="18"/>
      <c r="WJ94" s="18"/>
      <c r="WK94" s="18"/>
      <c r="WL94" s="18"/>
      <c r="WM94" s="18"/>
      <c r="WN94" s="18"/>
      <c r="WO94" s="18"/>
      <c r="WP94" s="18"/>
      <c r="WQ94" s="18"/>
      <c r="WR94" s="18"/>
      <c r="WS94" s="18"/>
      <c r="WT94" s="18"/>
      <c r="WU94" s="18"/>
      <c r="WV94" s="18"/>
      <c r="WW94" s="18"/>
      <c r="WX94" s="18"/>
      <c r="WY94" s="18"/>
      <c r="WZ94" s="18"/>
      <c r="XA94" s="18"/>
      <c r="XB94" s="18"/>
      <c r="XC94" s="18"/>
      <c r="XD94" s="18"/>
      <c r="XE94" s="18"/>
      <c r="XF94" s="18"/>
      <c r="XG94" s="18"/>
      <c r="XH94" s="18"/>
      <c r="XI94" s="18"/>
      <c r="XJ94" s="18"/>
      <c r="XK94" s="18"/>
      <c r="XL94" s="18"/>
      <c r="XM94" s="18"/>
      <c r="XN94" s="18"/>
      <c r="XO94" s="18"/>
      <c r="XP94" s="18"/>
      <c r="XQ94" s="18"/>
      <c r="XR94" s="18"/>
      <c r="XS94" s="18"/>
      <c r="XT94" s="18"/>
      <c r="XU94" s="18"/>
      <c r="XV94" s="18"/>
      <c r="XW94" s="18"/>
      <c r="XX94" s="18"/>
      <c r="XY94" s="18"/>
      <c r="XZ94" s="18"/>
      <c r="YA94" s="18"/>
      <c r="YB94" s="18"/>
      <c r="YC94" s="18"/>
      <c r="YD94" s="18"/>
      <c r="YE94" s="18"/>
      <c r="YF94" s="18"/>
      <c r="YG94" s="18"/>
      <c r="YH94" s="18"/>
      <c r="YI94" s="18"/>
      <c r="YJ94" s="18"/>
      <c r="YK94" s="18"/>
      <c r="YL94" s="18"/>
      <c r="YM94" s="18"/>
      <c r="YN94" s="18"/>
      <c r="YO94" s="18"/>
      <c r="YP94" s="18"/>
      <c r="YQ94" s="18"/>
      <c r="YR94" s="18"/>
      <c r="YS94" s="18"/>
      <c r="YT94" s="18"/>
      <c r="YU94" s="18"/>
      <c r="YV94" s="18"/>
      <c r="YW94" s="18"/>
      <c r="YX94" s="18"/>
      <c r="YY94" s="18"/>
      <c r="YZ94" s="18"/>
      <c r="ZA94" s="18"/>
      <c r="ZB94" s="18"/>
      <c r="ZC94" s="18"/>
      <c r="ZD94" s="18"/>
      <c r="ZE94" s="18"/>
      <c r="ZF94" s="18"/>
      <c r="ZG94" s="18"/>
      <c r="ZH94" s="18"/>
      <c r="ZI94" s="18"/>
      <c r="ZJ94" s="18"/>
      <c r="ZK94" s="18"/>
      <c r="ZL94" s="18"/>
      <c r="ZM94" s="18"/>
      <c r="ZN94" s="18"/>
      <c r="ZO94" s="18"/>
      <c r="ZP94" s="18"/>
      <c r="ZQ94" s="18"/>
      <c r="ZR94" s="18"/>
      <c r="ZS94" s="18"/>
      <c r="ZT94" s="18"/>
      <c r="ZU94" s="18"/>
      <c r="ZV94" s="18"/>
      <c r="ZW94" s="18"/>
      <c r="ZX94" s="18"/>
      <c r="ZY94" s="18"/>
      <c r="ZZ94" s="18"/>
      <c r="AAA94" s="18"/>
      <c r="AAB94" s="18"/>
      <c r="AAC94" s="18"/>
      <c r="AAD94" s="18"/>
      <c r="AAE94" s="18"/>
      <c r="AAF94" s="18"/>
      <c r="AAG94" s="18"/>
      <c r="AAH94" s="18"/>
      <c r="AAI94" s="18"/>
      <c r="AAJ94" s="18"/>
      <c r="AAK94" s="18"/>
      <c r="AAL94" s="18"/>
      <c r="AAM94" s="18"/>
      <c r="AAN94" s="18"/>
      <c r="AAO94" s="18"/>
      <c r="AAP94" s="18"/>
      <c r="AAQ94" s="18"/>
      <c r="AAR94" s="18"/>
      <c r="AAS94" s="18"/>
      <c r="AAT94" s="18"/>
      <c r="AAU94" s="18"/>
      <c r="AAV94" s="18"/>
      <c r="AAW94" s="18"/>
      <c r="AAX94" s="18"/>
      <c r="AAY94" s="18"/>
      <c r="AAZ94" s="18"/>
      <c r="ABA94" s="18"/>
      <c r="ABB94" s="18"/>
      <c r="ABC94" s="18"/>
      <c r="ABD94" s="18"/>
      <c r="ABE94" s="18"/>
      <c r="ABF94" s="18"/>
      <c r="ABG94" s="18"/>
      <c r="ABH94" s="18"/>
      <c r="ABI94" s="18"/>
      <c r="ABJ94" s="18"/>
      <c r="ABK94" s="18"/>
      <c r="ABL94" s="18"/>
      <c r="ABM94" s="18"/>
      <c r="ABN94" s="18"/>
      <c r="ABO94" s="18"/>
      <c r="ABP94" s="18"/>
      <c r="ABQ94" s="18"/>
      <c r="ABR94" s="18"/>
      <c r="ABS94" s="18"/>
      <c r="ABT94" s="18"/>
      <c r="ABU94" s="18"/>
      <c r="ABV94" s="18"/>
      <c r="ABW94" s="18"/>
      <c r="ABX94" s="18"/>
      <c r="ABY94" s="18"/>
      <c r="ABZ94" s="18"/>
      <c r="ACA94" s="18"/>
      <c r="ACB94" s="18"/>
      <c r="ACC94" s="18"/>
      <c r="ACD94" s="18"/>
      <c r="ACE94" s="18"/>
      <c r="ACF94" s="18"/>
      <c r="ACG94" s="18"/>
      <c r="ACH94" s="18"/>
      <c r="ACI94" s="18"/>
      <c r="ACJ94" s="18"/>
      <c r="ACK94" s="18"/>
      <c r="ACL94" s="18"/>
      <c r="ACM94" s="18"/>
      <c r="ACN94" s="18"/>
      <c r="ACO94" s="18"/>
      <c r="ACP94" s="18"/>
      <c r="ACQ94" s="18"/>
      <c r="ACR94" s="18"/>
      <c r="ACS94" s="18"/>
      <c r="ACT94" s="18"/>
      <c r="ACU94" s="18"/>
      <c r="ACV94" s="18"/>
      <c r="ACW94" s="18"/>
      <c r="ACX94" s="18"/>
      <c r="ACY94" s="18"/>
      <c r="ACZ94" s="18"/>
      <c r="ADA94" s="18"/>
      <c r="ADB94" s="18"/>
      <c r="ADC94" s="18"/>
      <c r="ADD94" s="18"/>
      <c r="ADE94" s="18"/>
      <c r="ADF94" s="18"/>
      <c r="ADG94" s="18"/>
      <c r="ADH94" s="18"/>
      <c r="ADI94" s="18"/>
      <c r="ADJ94" s="18"/>
      <c r="ADK94" s="18"/>
      <c r="ADL94" s="18"/>
      <c r="ADM94" s="18"/>
      <c r="ADN94" s="18"/>
      <c r="ADO94" s="18"/>
      <c r="ADP94" s="18"/>
      <c r="ADQ94" s="18"/>
      <c r="ADR94" s="18"/>
      <c r="ADS94" s="18"/>
      <c r="ADT94" s="18"/>
      <c r="ADU94" s="18"/>
      <c r="ADV94" s="18"/>
      <c r="ADW94" s="18"/>
      <c r="ADX94" s="18"/>
      <c r="ADY94" s="18"/>
      <c r="ADZ94" s="18"/>
      <c r="AEA94" s="18"/>
      <c r="AEB94" s="18"/>
      <c r="AEC94" s="18"/>
      <c r="AED94" s="18"/>
      <c r="AEE94" s="18"/>
      <c r="AEF94" s="18"/>
      <c r="AEG94" s="18"/>
      <c r="AEH94" s="18"/>
      <c r="AEI94" s="18"/>
      <c r="AEJ94" s="18"/>
      <c r="AEK94" s="18"/>
      <c r="AEL94" s="18"/>
      <c r="AEM94" s="18"/>
      <c r="AEN94" s="18"/>
      <c r="AEO94" s="18"/>
      <c r="AEP94" s="18"/>
      <c r="AEQ94" s="18"/>
      <c r="AER94" s="18"/>
      <c r="AES94" s="18"/>
      <c r="AET94" s="18"/>
      <c r="AEU94" s="18"/>
      <c r="AEV94" s="18"/>
      <c r="AEW94" s="18"/>
      <c r="AEX94" s="18"/>
      <c r="AEY94" s="18"/>
      <c r="AEZ94" s="18"/>
      <c r="AFA94" s="18"/>
      <c r="AFB94" s="18"/>
      <c r="AFC94" s="18"/>
      <c r="AFD94" s="18"/>
      <c r="AFE94" s="18"/>
      <c r="AFF94" s="18"/>
      <c r="AFG94" s="18"/>
      <c r="AFH94" s="18"/>
      <c r="AFI94" s="18"/>
      <c r="AFJ94" s="18"/>
      <c r="AFK94" s="18"/>
      <c r="AFL94" s="18"/>
      <c r="AFM94" s="18"/>
      <c r="AFN94" s="18"/>
      <c r="AFO94" s="18"/>
      <c r="AFP94" s="18"/>
      <c r="AFQ94" s="18"/>
      <c r="AFR94" s="18"/>
      <c r="AFS94" s="18"/>
      <c r="AFT94" s="18"/>
      <c r="AFU94" s="18"/>
      <c r="AFV94" s="18"/>
      <c r="AFW94" s="18"/>
      <c r="AFX94" s="18"/>
      <c r="AFY94" s="18"/>
      <c r="AFZ94" s="18"/>
      <c r="AGA94" s="18"/>
      <c r="AGB94" s="18"/>
      <c r="AGC94" s="18"/>
      <c r="AGD94" s="18"/>
      <c r="AGE94" s="18"/>
      <c r="AGF94" s="18"/>
      <c r="AGG94" s="18"/>
      <c r="AGH94" s="18"/>
      <c r="AGI94" s="18"/>
      <c r="AGJ94" s="18"/>
      <c r="AGK94" s="18"/>
      <c r="AGL94" s="18"/>
      <c r="AGM94" s="18"/>
      <c r="AGN94" s="18"/>
      <c r="AGO94" s="18"/>
      <c r="AGP94" s="18"/>
      <c r="AGQ94" s="18"/>
      <c r="AGR94" s="18"/>
      <c r="AGS94" s="18"/>
      <c r="AGT94" s="18"/>
      <c r="AGU94" s="18"/>
      <c r="AGV94" s="18"/>
      <c r="AGW94" s="18"/>
      <c r="AGX94" s="18"/>
      <c r="AGY94" s="18"/>
      <c r="AGZ94" s="18"/>
      <c r="AHA94" s="18"/>
      <c r="AHB94" s="18"/>
      <c r="AHC94" s="18"/>
      <c r="AHD94" s="18"/>
      <c r="AHE94" s="18"/>
      <c r="AHF94" s="18"/>
      <c r="AHG94" s="18"/>
      <c r="AHH94" s="18"/>
      <c r="AHI94" s="18"/>
      <c r="AHJ94" s="18"/>
      <c r="AHK94" s="18"/>
      <c r="AHL94" s="18"/>
      <c r="AHM94" s="18"/>
      <c r="AHN94" s="18"/>
      <c r="AHO94" s="18"/>
      <c r="AHP94" s="18"/>
      <c r="AHQ94" s="18"/>
      <c r="AHR94" s="18"/>
      <c r="AHS94" s="18"/>
      <c r="AHT94" s="18"/>
      <c r="AHU94" s="18"/>
      <c r="AHV94" s="18"/>
      <c r="AHW94" s="18"/>
      <c r="AHX94" s="18"/>
      <c r="AHY94" s="18"/>
      <c r="AHZ94" s="18"/>
      <c r="AIA94" s="18"/>
      <c r="AIB94" s="18"/>
      <c r="AIC94" s="18"/>
      <c r="AID94" s="18"/>
      <c r="AIE94" s="18"/>
      <c r="AIF94" s="18"/>
      <c r="AIG94" s="18"/>
      <c r="AIH94" s="18"/>
      <c r="AII94" s="18"/>
      <c r="AIJ94" s="18"/>
      <c r="AIK94" s="18"/>
      <c r="AIL94" s="18"/>
      <c r="AIM94" s="18"/>
      <c r="AIN94" s="18"/>
      <c r="AIO94" s="18"/>
      <c r="AIP94" s="18"/>
      <c r="AIQ94" s="18"/>
      <c r="AIR94" s="18"/>
      <c r="AIS94" s="18"/>
      <c r="AIT94" s="18"/>
      <c r="AIU94" s="18"/>
      <c r="AIV94" s="18"/>
      <c r="AIW94" s="18"/>
      <c r="AIX94" s="18"/>
      <c r="AIY94" s="18"/>
      <c r="AIZ94" s="18"/>
      <c r="AJA94" s="18"/>
      <c r="AJB94" s="18"/>
      <c r="AJC94" s="18"/>
      <c r="AJD94" s="18"/>
      <c r="AJE94" s="18"/>
      <c r="AJF94" s="18"/>
      <c r="AJG94" s="18"/>
      <c r="AJH94" s="18"/>
      <c r="AJI94" s="18"/>
      <c r="AJJ94" s="18"/>
      <c r="AJK94" s="18"/>
      <c r="AJL94" s="18"/>
      <c r="AJM94" s="18"/>
      <c r="AJN94" s="18"/>
      <c r="AJO94" s="18"/>
      <c r="AJP94" s="18"/>
      <c r="AJQ94" s="18"/>
      <c r="AJR94" s="18"/>
      <c r="AJS94" s="18"/>
      <c r="AJT94" s="18"/>
      <c r="AJU94" s="18"/>
      <c r="AJV94" s="18"/>
      <c r="AJW94" s="18"/>
      <c r="AJX94" s="18"/>
      <c r="AJY94" s="18"/>
      <c r="AJZ94" s="18"/>
      <c r="AKA94" s="18"/>
      <c r="AKB94" s="18"/>
      <c r="AKC94" s="18"/>
      <c r="AKD94" s="18"/>
      <c r="AKE94" s="18"/>
      <c r="AKF94" s="18"/>
      <c r="AKG94" s="18"/>
      <c r="AKH94" s="18"/>
      <c r="AKI94" s="18"/>
      <c r="AKJ94" s="18"/>
      <c r="AKK94" s="18"/>
      <c r="AKL94" s="18"/>
      <c r="AKM94" s="18"/>
      <c r="AKN94" s="18"/>
      <c r="AKO94" s="18"/>
      <c r="AKP94" s="18"/>
      <c r="AKQ94" s="18"/>
      <c r="AKR94" s="18"/>
      <c r="AKS94" s="18"/>
      <c r="AKT94" s="18"/>
      <c r="AKU94" s="18"/>
      <c r="AKV94" s="18"/>
      <c r="AKW94" s="18"/>
      <c r="AKX94" s="18"/>
      <c r="AKY94" s="18"/>
      <c r="AKZ94" s="18"/>
      <c r="ALA94" s="18"/>
      <c r="ALB94" s="18"/>
      <c r="ALC94" s="18"/>
      <c r="ALD94" s="18"/>
      <c r="ALE94" s="18"/>
      <c r="ALF94" s="18"/>
      <c r="ALG94" s="18"/>
      <c r="ALH94" s="18"/>
      <c r="ALI94" s="18"/>
      <c r="ALJ94" s="18"/>
      <c r="ALK94" s="18"/>
      <c r="ALL94" s="18"/>
      <c r="ALM94" s="18"/>
      <c r="ALN94" s="18"/>
      <c r="ALO94" s="18"/>
      <c r="ALP94" s="18"/>
      <c r="ALQ94" s="18"/>
      <c r="ALR94" s="18"/>
      <c r="ALS94" s="18"/>
      <c r="ALT94" s="18"/>
      <c r="ALU94" s="18"/>
      <c r="ALV94" s="18"/>
      <c r="ALW94" s="18"/>
      <c r="ALX94" s="18"/>
      <c r="ALY94" s="18"/>
      <c r="ALZ94" s="18"/>
      <c r="AMA94" s="18"/>
      <c r="AMB94" s="18"/>
      <c r="AMC94" s="18"/>
      <c r="AMD94" s="18"/>
      <c r="AME94" s="18"/>
      <c r="AMF94" s="18"/>
      <c r="AMG94" s="18"/>
      <c r="AMH94" s="18"/>
    </row>
    <row r="95" spans="1:1022" s="23" customFormat="1" x14ac:dyDescent="0.3">
      <c r="A95" s="33">
        <v>191</v>
      </c>
      <c r="B95" s="19"/>
      <c r="C95" s="19"/>
      <c r="D95" s="34" t="s">
        <v>364</v>
      </c>
      <c r="E95" s="34" t="s">
        <v>514</v>
      </c>
      <c r="F95" s="43">
        <v>70</v>
      </c>
      <c r="G95" s="19"/>
      <c r="H95" s="38" t="s">
        <v>281</v>
      </c>
      <c r="I95" s="31"/>
      <c r="J95" s="31"/>
      <c r="K95" s="31"/>
      <c r="L95" s="31"/>
      <c r="M95" s="32"/>
      <c r="N95" s="32"/>
      <c r="O95" s="18"/>
      <c r="P95" s="36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8"/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/>
      <c r="CG95" s="18"/>
      <c r="CH95" s="18"/>
      <c r="CI95" s="18"/>
      <c r="CJ95" s="18"/>
      <c r="CK95" s="18"/>
      <c r="CL95" s="18"/>
      <c r="CM95" s="18"/>
      <c r="CN95" s="18"/>
      <c r="CO95" s="18"/>
      <c r="CP95" s="18"/>
      <c r="CQ95" s="18"/>
      <c r="CR95" s="18"/>
      <c r="CS95" s="18"/>
      <c r="CT95" s="18"/>
      <c r="CU95" s="18"/>
      <c r="CV95" s="18"/>
      <c r="CW95" s="18"/>
      <c r="CX95" s="18"/>
      <c r="CY95" s="18"/>
      <c r="CZ95" s="18"/>
      <c r="DA95" s="18"/>
      <c r="DB95" s="18"/>
      <c r="DC95" s="18"/>
      <c r="DD95" s="18"/>
      <c r="DE95" s="18"/>
      <c r="DF95" s="18"/>
      <c r="DG95" s="18"/>
      <c r="DH95" s="18"/>
      <c r="DI95" s="18"/>
      <c r="DJ95" s="18"/>
      <c r="DK95" s="18"/>
      <c r="DL95" s="18"/>
      <c r="DM95" s="18"/>
      <c r="DN95" s="18"/>
      <c r="DO95" s="18"/>
      <c r="DP95" s="18"/>
      <c r="DQ95" s="18"/>
      <c r="DR95" s="18"/>
      <c r="DS95" s="18"/>
      <c r="DT95" s="18"/>
      <c r="DU95" s="18"/>
      <c r="DV95" s="18"/>
      <c r="DW95" s="18"/>
      <c r="DX95" s="18"/>
      <c r="DY95" s="18"/>
      <c r="DZ95" s="18"/>
      <c r="EA95" s="18"/>
      <c r="EB95" s="18"/>
      <c r="EC95" s="18"/>
      <c r="ED95" s="18"/>
      <c r="EE95" s="18"/>
      <c r="EF95" s="18"/>
      <c r="EG95" s="18"/>
      <c r="EH95" s="18"/>
      <c r="EI95" s="18"/>
      <c r="EJ95" s="18"/>
      <c r="EK95" s="18"/>
      <c r="EL95" s="18"/>
      <c r="EM95" s="18"/>
      <c r="EN95" s="18"/>
      <c r="EO95" s="18"/>
      <c r="EP95" s="18"/>
      <c r="EQ95" s="18"/>
      <c r="ER95" s="18"/>
      <c r="ES95" s="18"/>
      <c r="ET95" s="18"/>
      <c r="EU95" s="18"/>
      <c r="EV95" s="18"/>
      <c r="EW95" s="18"/>
      <c r="EX95" s="18"/>
      <c r="EY95" s="18"/>
      <c r="EZ95" s="18"/>
      <c r="FA95" s="18"/>
      <c r="FB95" s="18"/>
      <c r="FC95" s="18"/>
      <c r="FD95" s="18"/>
      <c r="FE95" s="18"/>
      <c r="FF95" s="18"/>
      <c r="FG95" s="18"/>
      <c r="FH95" s="18"/>
      <c r="FI95" s="18"/>
      <c r="FJ95" s="18"/>
      <c r="FK95" s="18"/>
      <c r="FL95" s="18"/>
      <c r="FM95" s="18"/>
      <c r="FN95" s="18"/>
      <c r="FO95" s="18"/>
      <c r="FP95" s="18"/>
      <c r="FQ95" s="18"/>
      <c r="FR95" s="18"/>
      <c r="FS95" s="18"/>
      <c r="FT95" s="18"/>
      <c r="FU95" s="18"/>
      <c r="FV95" s="18"/>
      <c r="FW95" s="18"/>
      <c r="FX95" s="18"/>
      <c r="FY95" s="18"/>
      <c r="FZ95" s="18"/>
      <c r="GA95" s="18"/>
      <c r="GB95" s="18"/>
      <c r="GC95" s="18"/>
      <c r="GD95" s="18"/>
      <c r="GE95" s="18"/>
      <c r="GF95" s="18"/>
      <c r="GG95" s="18"/>
      <c r="GH95" s="18"/>
      <c r="GI95" s="18"/>
      <c r="GJ95" s="18"/>
      <c r="GK95" s="18"/>
      <c r="GL95" s="18"/>
      <c r="GM95" s="18"/>
      <c r="GN95" s="18"/>
      <c r="GO95" s="18"/>
      <c r="GP95" s="18"/>
      <c r="GQ95" s="18"/>
      <c r="GR95" s="18"/>
      <c r="GS95" s="18"/>
      <c r="GT95" s="18"/>
      <c r="GU95" s="18"/>
      <c r="GV95" s="18"/>
      <c r="GW95" s="18"/>
      <c r="GX95" s="18"/>
      <c r="GY95" s="18"/>
      <c r="GZ95" s="18"/>
      <c r="HA95" s="18"/>
      <c r="HB95" s="18"/>
      <c r="HC95" s="18"/>
      <c r="HD95" s="18"/>
      <c r="HE95" s="18"/>
      <c r="HF95" s="18"/>
      <c r="HG95" s="18"/>
      <c r="HH95" s="18"/>
      <c r="HI95" s="18"/>
      <c r="HJ95" s="18"/>
      <c r="HK95" s="18"/>
      <c r="HL95" s="18"/>
      <c r="HM95" s="18"/>
      <c r="HN95" s="18"/>
      <c r="HO95" s="18"/>
      <c r="HP95" s="18"/>
      <c r="HQ95" s="18"/>
      <c r="HR95" s="18"/>
      <c r="HS95" s="18"/>
      <c r="HT95" s="18"/>
      <c r="HU95" s="18"/>
      <c r="HV95" s="18"/>
      <c r="HW95" s="18"/>
      <c r="HX95" s="18"/>
      <c r="HY95" s="18"/>
      <c r="HZ95" s="18"/>
      <c r="IA95" s="18"/>
      <c r="IB95" s="18"/>
      <c r="IC95" s="18"/>
      <c r="ID95" s="18"/>
      <c r="IE95" s="18"/>
      <c r="IF95" s="18"/>
      <c r="IG95" s="18"/>
      <c r="IH95" s="18"/>
      <c r="II95" s="18"/>
      <c r="IJ95" s="18"/>
      <c r="IK95" s="18"/>
      <c r="IL95" s="18"/>
      <c r="IM95" s="18"/>
      <c r="IN95" s="18"/>
      <c r="IO95" s="18"/>
      <c r="IP95" s="18"/>
      <c r="IQ95" s="18"/>
      <c r="IR95" s="18"/>
      <c r="IS95" s="18"/>
      <c r="IT95" s="18"/>
      <c r="IU95" s="18"/>
      <c r="IV95" s="18"/>
      <c r="IW95" s="18"/>
      <c r="IX95" s="18"/>
      <c r="IY95" s="18"/>
      <c r="IZ95" s="18"/>
      <c r="JA95" s="18"/>
      <c r="JB95" s="18"/>
      <c r="JC95" s="18"/>
      <c r="JD95" s="18"/>
      <c r="JE95" s="18"/>
      <c r="JF95" s="18"/>
      <c r="JG95" s="18"/>
      <c r="JH95" s="18"/>
      <c r="JI95" s="18"/>
      <c r="JJ95" s="18"/>
      <c r="JK95" s="18"/>
      <c r="JL95" s="18"/>
      <c r="JM95" s="18"/>
      <c r="JN95" s="18"/>
      <c r="JO95" s="18"/>
      <c r="JP95" s="18"/>
      <c r="JQ95" s="18"/>
      <c r="JR95" s="18"/>
      <c r="JS95" s="18"/>
      <c r="JT95" s="18"/>
      <c r="JU95" s="18"/>
      <c r="JV95" s="18"/>
      <c r="JW95" s="18"/>
      <c r="JX95" s="18"/>
      <c r="JY95" s="18"/>
      <c r="JZ95" s="18"/>
      <c r="KA95" s="18"/>
      <c r="KB95" s="18"/>
      <c r="KC95" s="18"/>
      <c r="KD95" s="18"/>
      <c r="KE95" s="18"/>
      <c r="KF95" s="18"/>
      <c r="KG95" s="18"/>
      <c r="KH95" s="18"/>
      <c r="KI95" s="18"/>
      <c r="KJ95" s="18"/>
      <c r="KK95" s="18"/>
      <c r="KL95" s="18"/>
      <c r="KM95" s="18"/>
      <c r="KN95" s="18"/>
      <c r="KO95" s="18"/>
      <c r="KP95" s="18"/>
      <c r="KQ95" s="18"/>
      <c r="KR95" s="18"/>
      <c r="KS95" s="18"/>
      <c r="KT95" s="18"/>
      <c r="KU95" s="18"/>
      <c r="KV95" s="18"/>
      <c r="KW95" s="18"/>
      <c r="KX95" s="18"/>
      <c r="KY95" s="18"/>
      <c r="KZ95" s="18"/>
      <c r="LA95" s="18"/>
      <c r="LB95" s="18"/>
      <c r="LC95" s="18"/>
      <c r="LD95" s="18"/>
      <c r="LE95" s="18"/>
      <c r="LF95" s="18"/>
      <c r="LG95" s="18"/>
      <c r="LH95" s="18"/>
      <c r="LI95" s="18"/>
      <c r="LJ95" s="18"/>
      <c r="LK95" s="18"/>
      <c r="LL95" s="18"/>
      <c r="LM95" s="18"/>
      <c r="LN95" s="18"/>
      <c r="LO95" s="18"/>
      <c r="LP95" s="18"/>
      <c r="LQ95" s="18"/>
      <c r="LR95" s="18"/>
      <c r="LS95" s="18"/>
      <c r="LT95" s="18"/>
      <c r="LU95" s="18"/>
      <c r="LV95" s="18"/>
      <c r="LW95" s="18"/>
      <c r="LX95" s="18"/>
      <c r="LY95" s="18"/>
      <c r="LZ95" s="18"/>
      <c r="MA95" s="18"/>
      <c r="MB95" s="18"/>
      <c r="MC95" s="18"/>
      <c r="MD95" s="18"/>
      <c r="ME95" s="18"/>
      <c r="MF95" s="18"/>
      <c r="MG95" s="18"/>
      <c r="MH95" s="18"/>
      <c r="MI95" s="18"/>
      <c r="MJ95" s="18"/>
      <c r="MK95" s="18"/>
      <c r="ML95" s="18"/>
      <c r="MM95" s="18"/>
      <c r="MN95" s="18"/>
      <c r="MO95" s="18"/>
      <c r="MP95" s="18"/>
      <c r="MQ95" s="18"/>
      <c r="MR95" s="18"/>
      <c r="MS95" s="18"/>
      <c r="MT95" s="18"/>
      <c r="MU95" s="18"/>
      <c r="MV95" s="18"/>
      <c r="MW95" s="18"/>
      <c r="MX95" s="18"/>
      <c r="MY95" s="18"/>
      <c r="MZ95" s="18"/>
      <c r="NA95" s="18"/>
      <c r="NB95" s="18"/>
      <c r="NC95" s="18"/>
      <c r="ND95" s="18"/>
      <c r="NE95" s="18"/>
      <c r="NF95" s="18"/>
      <c r="NG95" s="18"/>
      <c r="NH95" s="18"/>
      <c r="NI95" s="18"/>
      <c r="NJ95" s="18"/>
      <c r="NK95" s="18"/>
      <c r="NL95" s="18"/>
      <c r="NM95" s="18"/>
      <c r="NN95" s="18"/>
      <c r="NO95" s="18"/>
      <c r="NP95" s="18"/>
      <c r="NQ95" s="18"/>
      <c r="NR95" s="18"/>
      <c r="NS95" s="18"/>
      <c r="NT95" s="18"/>
      <c r="NU95" s="18"/>
      <c r="NV95" s="18"/>
      <c r="NW95" s="18"/>
      <c r="NX95" s="18"/>
      <c r="NY95" s="18"/>
      <c r="NZ95" s="18"/>
      <c r="OA95" s="18"/>
      <c r="OB95" s="18"/>
      <c r="OC95" s="18"/>
      <c r="OD95" s="18"/>
      <c r="OE95" s="18"/>
      <c r="OF95" s="18"/>
      <c r="OG95" s="18"/>
      <c r="OH95" s="18"/>
      <c r="OI95" s="18"/>
      <c r="OJ95" s="18"/>
      <c r="OK95" s="18"/>
      <c r="OL95" s="18"/>
      <c r="OM95" s="18"/>
      <c r="ON95" s="18"/>
      <c r="OO95" s="18"/>
      <c r="OP95" s="18"/>
      <c r="OQ95" s="18"/>
      <c r="OR95" s="18"/>
      <c r="OS95" s="18"/>
      <c r="OT95" s="18"/>
      <c r="OU95" s="18"/>
      <c r="OV95" s="18"/>
      <c r="OW95" s="18"/>
      <c r="OX95" s="18"/>
      <c r="OY95" s="18"/>
      <c r="OZ95" s="18"/>
      <c r="PA95" s="18"/>
      <c r="PB95" s="18"/>
      <c r="PC95" s="18"/>
      <c r="PD95" s="18"/>
      <c r="PE95" s="18"/>
      <c r="PF95" s="18"/>
      <c r="PG95" s="18"/>
      <c r="PH95" s="18"/>
      <c r="PI95" s="18"/>
      <c r="PJ95" s="18"/>
      <c r="PK95" s="18"/>
      <c r="PL95" s="18"/>
      <c r="PM95" s="18"/>
      <c r="PN95" s="18"/>
      <c r="PO95" s="18"/>
      <c r="PP95" s="18"/>
      <c r="PQ95" s="18"/>
      <c r="PR95" s="18"/>
      <c r="PS95" s="18"/>
      <c r="PT95" s="18"/>
      <c r="PU95" s="18"/>
      <c r="PV95" s="18"/>
      <c r="PW95" s="18"/>
      <c r="PX95" s="18"/>
      <c r="PY95" s="18"/>
      <c r="PZ95" s="18"/>
      <c r="QA95" s="18"/>
      <c r="QB95" s="18"/>
      <c r="QC95" s="18"/>
      <c r="QD95" s="18"/>
      <c r="QE95" s="18"/>
      <c r="QF95" s="18"/>
      <c r="QG95" s="18"/>
      <c r="QH95" s="18"/>
      <c r="QI95" s="18"/>
      <c r="QJ95" s="18"/>
      <c r="QK95" s="18"/>
      <c r="QL95" s="18"/>
      <c r="QM95" s="18"/>
      <c r="QN95" s="18"/>
      <c r="QO95" s="18"/>
      <c r="QP95" s="18"/>
      <c r="QQ95" s="18"/>
      <c r="QR95" s="18"/>
      <c r="QS95" s="18"/>
      <c r="QT95" s="18"/>
      <c r="QU95" s="18"/>
      <c r="QV95" s="18"/>
      <c r="QW95" s="18"/>
      <c r="QX95" s="18"/>
      <c r="QY95" s="18"/>
      <c r="QZ95" s="18"/>
      <c r="RA95" s="18"/>
      <c r="RB95" s="18"/>
      <c r="RC95" s="18"/>
      <c r="RD95" s="18"/>
      <c r="RE95" s="18"/>
      <c r="RF95" s="18"/>
      <c r="RG95" s="18"/>
      <c r="RH95" s="18"/>
      <c r="RI95" s="18"/>
      <c r="RJ95" s="18"/>
      <c r="RK95" s="18"/>
      <c r="RL95" s="18"/>
      <c r="RM95" s="18"/>
      <c r="RN95" s="18"/>
      <c r="RO95" s="18"/>
      <c r="RP95" s="18"/>
      <c r="RQ95" s="18"/>
      <c r="RR95" s="18"/>
      <c r="RS95" s="18"/>
      <c r="RT95" s="18"/>
      <c r="RU95" s="18"/>
      <c r="RV95" s="18"/>
      <c r="RW95" s="18"/>
      <c r="RX95" s="18"/>
      <c r="RY95" s="18"/>
      <c r="RZ95" s="18"/>
      <c r="SA95" s="18"/>
      <c r="SB95" s="18"/>
      <c r="SC95" s="18"/>
      <c r="SD95" s="18"/>
      <c r="SE95" s="18"/>
      <c r="SF95" s="18"/>
      <c r="SG95" s="18"/>
      <c r="SH95" s="18"/>
      <c r="SI95" s="18"/>
      <c r="SJ95" s="18"/>
      <c r="SK95" s="18"/>
      <c r="SL95" s="18"/>
      <c r="SM95" s="18"/>
      <c r="SN95" s="18"/>
      <c r="SO95" s="18"/>
      <c r="SP95" s="18"/>
      <c r="SQ95" s="18"/>
      <c r="SR95" s="18"/>
      <c r="SS95" s="18"/>
      <c r="ST95" s="18"/>
      <c r="SU95" s="18"/>
      <c r="SV95" s="18"/>
      <c r="SW95" s="18"/>
      <c r="SX95" s="18"/>
      <c r="SY95" s="18"/>
      <c r="SZ95" s="18"/>
      <c r="TA95" s="18"/>
      <c r="TB95" s="18"/>
      <c r="TC95" s="18"/>
      <c r="TD95" s="18"/>
      <c r="TE95" s="18"/>
      <c r="TF95" s="18"/>
      <c r="TG95" s="18"/>
      <c r="TH95" s="18"/>
      <c r="TI95" s="18"/>
      <c r="TJ95" s="18"/>
      <c r="TK95" s="18"/>
      <c r="TL95" s="18"/>
      <c r="TM95" s="18"/>
      <c r="TN95" s="18"/>
      <c r="TO95" s="18"/>
      <c r="TP95" s="18"/>
      <c r="TQ95" s="18"/>
      <c r="TR95" s="18"/>
      <c r="TS95" s="18"/>
      <c r="TT95" s="18"/>
      <c r="TU95" s="18"/>
      <c r="TV95" s="18"/>
      <c r="TW95" s="18"/>
      <c r="TX95" s="18"/>
      <c r="TY95" s="18"/>
      <c r="TZ95" s="18"/>
      <c r="UA95" s="18"/>
      <c r="UB95" s="18"/>
      <c r="UC95" s="18"/>
      <c r="UD95" s="18"/>
      <c r="UE95" s="18"/>
      <c r="UF95" s="18"/>
      <c r="UG95" s="18"/>
      <c r="UH95" s="18"/>
      <c r="UI95" s="18"/>
      <c r="UJ95" s="18"/>
      <c r="UK95" s="18"/>
      <c r="UL95" s="18"/>
      <c r="UM95" s="18"/>
      <c r="UN95" s="18"/>
      <c r="UO95" s="18"/>
      <c r="UP95" s="18"/>
      <c r="UQ95" s="18"/>
      <c r="UR95" s="18"/>
      <c r="US95" s="18"/>
      <c r="UT95" s="18"/>
      <c r="UU95" s="18"/>
      <c r="UV95" s="18"/>
      <c r="UW95" s="18"/>
      <c r="UX95" s="18"/>
      <c r="UY95" s="18"/>
      <c r="UZ95" s="18"/>
      <c r="VA95" s="18"/>
      <c r="VB95" s="18"/>
      <c r="VC95" s="18"/>
      <c r="VD95" s="18"/>
      <c r="VE95" s="18"/>
      <c r="VF95" s="18"/>
      <c r="VG95" s="18"/>
      <c r="VH95" s="18"/>
      <c r="VI95" s="18"/>
      <c r="VJ95" s="18"/>
      <c r="VK95" s="18"/>
      <c r="VL95" s="18"/>
      <c r="VM95" s="18"/>
      <c r="VN95" s="18"/>
      <c r="VO95" s="18"/>
      <c r="VP95" s="18"/>
      <c r="VQ95" s="18"/>
      <c r="VR95" s="18"/>
      <c r="VS95" s="18"/>
      <c r="VT95" s="18"/>
      <c r="VU95" s="18"/>
      <c r="VV95" s="18"/>
      <c r="VW95" s="18"/>
      <c r="VX95" s="18"/>
      <c r="VY95" s="18"/>
      <c r="VZ95" s="18"/>
      <c r="WA95" s="18"/>
      <c r="WB95" s="18"/>
      <c r="WC95" s="18"/>
      <c r="WD95" s="18"/>
      <c r="WE95" s="18"/>
      <c r="WF95" s="18"/>
      <c r="WG95" s="18"/>
      <c r="WH95" s="18"/>
      <c r="WI95" s="18"/>
      <c r="WJ95" s="18"/>
      <c r="WK95" s="18"/>
      <c r="WL95" s="18"/>
      <c r="WM95" s="18"/>
      <c r="WN95" s="18"/>
      <c r="WO95" s="18"/>
      <c r="WP95" s="18"/>
      <c r="WQ95" s="18"/>
      <c r="WR95" s="18"/>
      <c r="WS95" s="18"/>
      <c r="WT95" s="18"/>
      <c r="WU95" s="18"/>
      <c r="WV95" s="18"/>
      <c r="WW95" s="18"/>
      <c r="WX95" s="18"/>
      <c r="WY95" s="18"/>
      <c r="WZ95" s="18"/>
      <c r="XA95" s="18"/>
      <c r="XB95" s="18"/>
      <c r="XC95" s="18"/>
      <c r="XD95" s="18"/>
      <c r="XE95" s="18"/>
      <c r="XF95" s="18"/>
      <c r="XG95" s="18"/>
      <c r="XH95" s="18"/>
      <c r="XI95" s="18"/>
      <c r="XJ95" s="18"/>
      <c r="XK95" s="18"/>
      <c r="XL95" s="18"/>
      <c r="XM95" s="18"/>
      <c r="XN95" s="18"/>
      <c r="XO95" s="18"/>
      <c r="XP95" s="18"/>
      <c r="XQ95" s="18"/>
      <c r="XR95" s="18"/>
      <c r="XS95" s="18"/>
      <c r="XT95" s="18"/>
      <c r="XU95" s="18"/>
      <c r="XV95" s="18"/>
      <c r="XW95" s="18"/>
      <c r="XX95" s="18"/>
      <c r="XY95" s="18"/>
      <c r="XZ95" s="18"/>
      <c r="YA95" s="18"/>
      <c r="YB95" s="18"/>
      <c r="YC95" s="18"/>
      <c r="YD95" s="18"/>
      <c r="YE95" s="18"/>
      <c r="YF95" s="18"/>
      <c r="YG95" s="18"/>
      <c r="YH95" s="18"/>
      <c r="YI95" s="18"/>
      <c r="YJ95" s="18"/>
      <c r="YK95" s="18"/>
      <c r="YL95" s="18"/>
      <c r="YM95" s="18"/>
      <c r="YN95" s="18"/>
      <c r="YO95" s="18"/>
      <c r="YP95" s="18"/>
      <c r="YQ95" s="18"/>
      <c r="YR95" s="18"/>
      <c r="YS95" s="18"/>
      <c r="YT95" s="18"/>
      <c r="YU95" s="18"/>
      <c r="YV95" s="18"/>
      <c r="YW95" s="18"/>
      <c r="YX95" s="18"/>
      <c r="YY95" s="18"/>
      <c r="YZ95" s="18"/>
      <c r="ZA95" s="18"/>
      <c r="ZB95" s="18"/>
      <c r="ZC95" s="18"/>
      <c r="ZD95" s="18"/>
      <c r="ZE95" s="18"/>
      <c r="ZF95" s="18"/>
      <c r="ZG95" s="18"/>
      <c r="ZH95" s="18"/>
      <c r="ZI95" s="18"/>
      <c r="ZJ95" s="18"/>
      <c r="ZK95" s="18"/>
      <c r="ZL95" s="18"/>
      <c r="ZM95" s="18"/>
      <c r="ZN95" s="18"/>
      <c r="ZO95" s="18"/>
      <c r="ZP95" s="18"/>
      <c r="ZQ95" s="18"/>
      <c r="ZR95" s="18"/>
      <c r="ZS95" s="18"/>
      <c r="ZT95" s="18"/>
      <c r="ZU95" s="18"/>
      <c r="ZV95" s="18"/>
      <c r="ZW95" s="18"/>
      <c r="ZX95" s="18"/>
      <c r="ZY95" s="18"/>
      <c r="ZZ95" s="18"/>
      <c r="AAA95" s="18"/>
      <c r="AAB95" s="18"/>
      <c r="AAC95" s="18"/>
      <c r="AAD95" s="18"/>
      <c r="AAE95" s="18"/>
      <c r="AAF95" s="18"/>
      <c r="AAG95" s="18"/>
      <c r="AAH95" s="18"/>
      <c r="AAI95" s="18"/>
      <c r="AAJ95" s="18"/>
      <c r="AAK95" s="18"/>
      <c r="AAL95" s="18"/>
      <c r="AAM95" s="18"/>
      <c r="AAN95" s="18"/>
      <c r="AAO95" s="18"/>
      <c r="AAP95" s="18"/>
      <c r="AAQ95" s="18"/>
      <c r="AAR95" s="18"/>
      <c r="AAS95" s="18"/>
      <c r="AAT95" s="18"/>
      <c r="AAU95" s="18"/>
      <c r="AAV95" s="18"/>
      <c r="AAW95" s="18"/>
      <c r="AAX95" s="18"/>
      <c r="AAY95" s="18"/>
      <c r="AAZ95" s="18"/>
      <c r="ABA95" s="18"/>
      <c r="ABB95" s="18"/>
      <c r="ABC95" s="18"/>
      <c r="ABD95" s="18"/>
      <c r="ABE95" s="18"/>
      <c r="ABF95" s="18"/>
      <c r="ABG95" s="18"/>
      <c r="ABH95" s="18"/>
      <c r="ABI95" s="18"/>
      <c r="ABJ95" s="18"/>
      <c r="ABK95" s="18"/>
      <c r="ABL95" s="18"/>
      <c r="ABM95" s="18"/>
      <c r="ABN95" s="18"/>
      <c r="ABO95" s="18"/>
      <c r="ABP95" s="18"/>
      <c r="ABQ95" s="18"/>
      <c r="ABR95" s="18"/>
      <c r="ABS95" s="18"/>
      <c r="ABT95" s="18"/>
      <c r="ABU95" s="18"/>
      <c r="ABV95" s="18"/>
      <c r="ABW95" s="18"/>
      <c r="ABX95" s="18"/>
      <c r="ABY95" s="18"/>
      <c r="ABZ95" s="18"/>
      <c r="ACA95" s="18"/>
      <c r="ACB95" s="18"/>
      <c r="ACC95" s="18"/>
      <c r="ACD95" s="18"/>
      <c r="ACE95" s="18"/>
      <c r="ACF95" s="18"/>
      <c r="ACG95" s="18"/>
      <c r="ACH95" s="18"/>
      <c r="ACI95" s="18"/>
      <c r="ACJ95" s="18"/>
      <c r="ACK95" s="18"/>
      <c r="ACL95" s="18"/>
      <c r="ACM95" s="18"/>
      <c r="ACN95" s="18"/>
      <c r="ACO95" s="18"/>
      <c r="ACP95" s="18"/>
      <c r="ACQ95" s="18"/>
      <c r="ACR95" s="18"/>
      <c r="ACS95" s="18"/>
      <c r="ACT95" s="18"/>
      <c r="ACU95" s="18"/>
      <c r="ACV95" s="18"/>
      <c r="ACW95" s="18"/>
      <c r="ACX95" s="18"/>
      <c r="ACY95" s="18"/>
      <c r="ACZ95" s="18"/>
      <c r="ADA95" s="18"/>
      <c r="ADB95" s="18"/>
      <c r="ADC95" s="18"/>
      <c r="ADD95" s="18"/>
      <c r="ADE95" s="18"/>
      <c r="ADF95" s="18"/>
      <c r="ADG95" s="18"/>
      <c r="ADH95" s="18"/>
      <c r="ADI95" s="18"/>
      <c r="ADJ95" s="18"/>
      <c r="ADK95" s="18"/>
      <c r="ADL95" s="18"/>
      <c r="ADM95" s="18"/>
      <c r="ADN95" s="18"/>
      <c r="ADO95" s="18"/>
      <c r="ADP95" s="18"/>
      <c r="ADQ95" s="18"/>
      <c r="ADR95" s="18"/>
      <c r="ADS95" s="18"/>
      <c r="ADT95" s="18"/>
      <c r="ADU95" s="18"/>
      <c r="ADV95" s="18"/>
      <c r="ADW95" s="18"/>
      <c r="ADX95" s="18"/>
      <c r="ADY95" s="18"/>
      <c r="ADZ95" s="18"/>
      <c r="AEA95" s="18"/>
      <c r="AEB95" s="18"/>
      <c r="AEC95" s="18"/>
      <c r="AED95" s="18"/>
      <c r="AEE95" s="18"/>
      <c r="AEF95" s="18"/>
      <c r="AEG95" s="18"/>
      <c r="AEH95" s="18"/>
      <c r="AEI95" s="18"/>
      <c r="AEJ95" s="18"/>
      <c r="AEK95" s="18"/>
      <c r="AEL95" s="18"/>
      <c r="AEM95" s="18"/>
      <c r="AEN95" s="18"/>
      <c r="AEO95" s="18"/>
      <c r="AEP95" s="18"/>
      <c r="AEQ95" s="18"/>
      <c r="AER95" s="18"/>
      <c r="AES95" s="18"/>
      <c r="AET95" s="18"/>
      <c r="AEU95" s="18"/>
      <c r="AEV95" s="18"/>
      <c r="AEW95" s="18"/>
      <c r="AEX95" s="18"/>
      <c r="AEY95" s="18"/>
      <c r="AEZ95" s="18"/>
      <c r="AFA95" s="18"/>
      <c r="AFB95" s="18"/>
      <c r="AFC95" s="18"/>
      <c r="AFD95" s="18"/>
      <c r="AFE95" s="18"/>
      <c r="AFF95" s="18"/>
      <c r="AFG95" s="18"/>
      <c r="AFH95" s="18"/>
      <c r="AFI95" s="18"/>
      <c r="AFJ95" s="18"/>
      <c r="AFK95" s="18"/>
      <c r="AFL95" s="18"/>
      <c r="AFM95" s="18"/>
      <c r="AFN95" s="18"/>
      <c r="AFO95" s="18"/>
      <c r="AFP95" s="18"/>
      <c r="AFQ95" s="18"/>
      <c r="AFR95" s="18"/>
      <c r="AFS95" s="18"/>
      <c r="AFT95" s="18"/>
      <c r="AFU95" s="18"/>
      <c r="AFV95" s="18"/>
      <c r="AFW95" s="18"/>
      <c r="AFX95" s="18"/>
      <c r="AFY95" s="18"/>
      <c r="AFZ95" s="18"/>
      <c r="AGA95" s="18"/>
      <c r="AGB95" s="18"/>
      <c r="AGC95" s="18"/>
      <c r="AGD95" s="18"/>
      <c r="AGE95" s="18"/>
      <c r="AGF95" s="18"/>
      <c r="AGG95" s="18"/>
      <c r="AGH95" s="18"/>
      <c r="AGI95" s="18"/>
      <c r="AGJ95" s="18"/>
      <c r="AGK95" s="18"/>
      <c r="AGL95" s="18"/>
      <c r="AGM95" s="18"/>
      <c r="AGN95" s="18"/>
      <c r="AGO95" s="18"/>
      <c r="AGP95" s="18"/>
      <c r="AGQ95" s="18"/>
      <c r="AGR95" s="18"/>
      <c r="AGS95" s="18"/>
      <c r="AGT95" s="18"/>
      <c r="AGU95" s="18"/>
      <c r="AGV95" s="18"/>
      <c r="AGW95" s="18"/>
      <c r="AGX95" s="18"/>
      <c r="AGY95" s="18"/>
      <c r="AGZ95" s="18"/>
      <c r="AHA95" s="18"/>
      <c r="AHB95" s="18"/>
      <c r="AHC95" s="18"/>
      <c r="AHD95" s="18"/>
      <c r="AHE95" s="18"/>
      <c r="AHF95" s="18"/>
      <c r="AHG95" s="18"/>
      <c r="AHH95" s="18"/>
      <c r="AHI95" s="18"/>
      <c r="AHJ95" s="18"/>
      <c r="AHK95" s="18"/>
      <c r="AHL95" s="18"/>
      <c r="AHM95" s="18"/>
      <c r="AHN95" s="18"/>
      <c r="AHO95" s="18"/>
      <c r="AHP95" s="18"/>
      <c r="AHQ95" s="18"/>
      <c r="AHR95" s="18"/>
      <c r="AHS95" s="18"/>
      <c r="AHT95" s="18"/>
      <c r="AHU95" s="18"/>
      <c r="AHV95" s="18"/>
      <c r="AHW95" s="18"/>
      <c r="AHX95" s="18"/>
      <c r="AHY95" s="18"/>
      <c r="AHZ95" s="18"/>
      <c r="AIA95" s="18"/>
      <c r="AIB95" s="18"/>
      <c r="AIC95" s="18"/>
      <c r="AID95" s="18"/>
      <c r="AIE95" s="18"/>
      <c r="AIF95" s="18"/>
      <c r="AIG95" s="18"/>
      <c r="AIH95" s="18"/>
      <c r="AII95" s="18"/>
      <c r="AIJ95" s="18"/>
      <c r="AIK95" s="18"/>
      <c r="AIL95" s="18"/>
      <c r="AIM95" s="18"/>
      <c r="AIN95" s="18"/>
      <c r="AIO95" s="18"/>
      <c r="AIP95" s="18"/>
      <c r="AIQ95" s="18"/>
      <c r="AIR95" s="18"/>
      <c r="AIS95" s="18"/>
      <c r="AIT95" s="18"/>
      <c r="AIU95" s="18"/>
      <c r="AIV95" s="18"/>
      <c r="AIW95" s="18"/>
      <c r="AIX95" s="18"/>
      <c r="AIY95" s="18"/>
      <c r="AIZ95" s="18"/>
      <c r="AJA95" s="18"/>
      <c r="AJB95" s="18"/>
      <c r="AJC95" s="18"/>
      <c r="AJD95" s="18"/>
      <c r="AJE95" s="18"/>
      <c r="AJF95" s="18"/>
      <c r="AJG95" s="18"/>
      <c r="AJH95" s="18"/>
      <c r="AJI95" s="18"/>
      <c r="AJJ95" s="18"/>
      <c r="AJK95" s="18"/>
      <c r="AJL95" s="18"/>
      <c r="AJM95" s="18"/>
      <c r="AJN95" s="18"/>
      <c r="AJO95" s="18"/>
      <c r="AJP95" s="18"/>
      <c r="AJQ95" s="18"/>
      <c r="AJR95" s="18"/>
      <c r="AJS95" s="18"/>
      <c r="AJT95" s="18"/>
      <c r="AJU95" s="18"/>
      <c r="AJV95" s="18"/>
      <c r="AJW95" s="18"/>
      <c r="AJX95" s="18"/>
      <c r="AJY95" s="18"/>
      <c r="AJZ95" s="18"/>
      <c r="AKA95" s="18"/>
      <c r="AKB95" s="18"/>
      <c r="AKC95" s="18"/>
      <c r="AKD95" s="18"/>
      <c r="AKE95" s="18"/>
      <c r="AKF95" s="18"/>
      <c r="AKG95" s="18"/>
      <c r="AKH95" s="18"/>
      <c r="AKI95" s="18"/>
      <c r="AKJ95" s="18"/>
      <c r="AKK95" s="18"/>
      <c r="AKL95" s="18"/>
      <c r="AKM95" s="18"/>
      <c r="AKN95" s="18"/>
      <c r="AKO95" s="18"/>
      <c r="AKP95" s="18"/>
      <c r="AKQ95" s="18"/>
      <c r="AKR95" s="18"/>
      <c r="AKS95" s="18"/>
      <c r="AKT95" s="18"/>
      <c r="AKU95" s="18"/>
      <c r="AKV95" s="18"/>
      <c r="AKW95" s="18"/>
      <c r="AKX95" s="18"/>
      <c r="AKY95" s="18"/>
      <c r="AKZ95" s="18"/>
      <c r="ALA95" s="18"/>
      <c r="ALB95" s="18"/>
      <c r="ALC95" s="18"/>
      <c r="ALD95" s="18"/>
      <c r="ALE95" s="18"/>
      <c r="ALF95" s="18"/>
      <c r="ALG95" s="18"/>
      <c r="ALH95" s="18"/>
      <c r="ALI95" s="18"/>
      <c r="ALJ95" s="18"/>
      <c r="ALK95" s="18"/>
      <c r="ALL95" s="18"/>
      <c r="ALM95" s="18"/>
      <c r="ALN95" s="18"/>
      <c r="ALO95" s="18"/>
      <c r="ALP95" s="18"/>
      <c r="ALQ95" s="18"/>
      <c r="ALR95" s="18"/>
      <c r="ALS95" s="18"/>
      <c r="ALT95" s="18"/>
      <c r="ALU95" s="18"/>
      <c r="ALV95" s="18"/>
      <c r="ALW95" s="18"/>
      <c r="ALX95" s="18"/>
      <c r="ALY95" s="18"/>
      <c r="ALZ95" s="18"/>
      <c r="AMA95" s="18"/>
      <c r="AMB95" s="18"/>
      <c r="AMC95" s="18"/>
      <c r="AMD95" s="18"/>
      <c r="AME95" s="18"/>
      <c r="AMF95" s="18"/>
      <c r="AMG95" s="18"/>
      <c r="AMH95" s="18"/>
    </row>
    <row r="96" spans="1:1022" s="23" customFormat="1" x14ac:dyDescent="0.3">
      <c r="A96" s="33">
        <v>192</v>
      </c>
      <c r="B96" s="19"/>
      <c r="C96" s="19"/>
      <c r="D96" s="34" t="s">
        <v>365</v>
      </c>
      <c r="E96" s="34" t="s">
        <v>515</v>
      </c>
      <c r="F96" s="43">
        <v>68</v>
      </c>
      <c r="G96" s="19"/>
      <c r="H96" s="38" t="s">
        <v>281</v>
      </c>
      <c r="I96" s="31"/>
      <c r="J96" s="31"/>
      <c r="K96" s="31"/>
      <c r="L96" s="31"/>
      <c r="M96" s="32"/>
      <c r="N96" s="32"/>
      <c r="O96" s="18"/>
      <c r="P96" s="36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8"/>
      <c r="BV96" s="18"/>
      <c r="BW96" s="18"/>
      <c r="BX96" s="18"/>
      <c r="BY96" s="18"/>
      <c r="BZ96" s="18"/>
      <c r="CA96" s="18"/>
      <c r="CB96" s="18"/>
      <c r="CC96" s="18"/>
      <c r="CD96" s="18"/>
      <c r="CE96" s="18"/>
      <c r="CF96" s="18"/>
      <c r="CG96" s="18"/>
      <c r="CH96" s="18"/>
      <c r="CI96" s="18"/>
      <c r="CJ96" s="18"/>
      <c r="CK96" s="18"/>
      <c r="CL96" s="18"/>
      <c r="CM96" s="18"/>
      <c r="CN96" s="18"/>
      <c r="CO96" s="18"/>
      <c r="CP96" s="18"/>
      <c r="CQ96" s="18"/>
      <c r="CR96" s="18"/>
      <c r="CS96" s="18"/>
      <c r="CT96" s="18"/>
      <c r="CU96" s="18"/>
      <c r="CV96" s="18"/>
      <c r="CW96" s="18"/>
      <c r="CX96" s="18"/>
      <c r="CY96" s="18"/>
      <c r="CZ96" s="18"/>
      <c r="DA96" s="18"/>
      <c r="DB96" s="18"/>
      <c r="DC96" s="18"/>
      <c r="DD96" s="18"/>
      <c r="DE96" s="18"/>
      <c r="DF96" s="18"/>
      <c r="DG96" s="18"/>
      <c r="DH96" s="18"/>
      <c r="DI96" s="18"/>
      <c r="DJ96" s="18"/>
      <c r="DK96" s="18"/>
      <c r="DL96" s="18"/>
      <c r="DM96" s="18"/>
      <c r="DN96" s="18"/>
      <c r="DO96" s="18"/>
      <c r="DP96" s="18"/>
      <c r="DQ96" s="18"/>
      <c r="DR96" s="18"/>
      <c r="DS96" s="18"/>
      <c r="DT96" s="18"/>
      <c r="DU96" s="18"/>
      <c r="DV96" s="18"/>
      <c r="DW96" s="18"/>
      <c r="DX96" s="18"/>
      <c r="DY96" s="18"/>
      <c r="DZ96" s="18"/>
      <c r="EA96" s="18"/>
      <c r="EB96" s="18"/>
      <c r="EC96" s="18"/>
      <c r="ED96" s="18"/>
      <c r="EE96" s="18"/>
      <c r="EF96" s="18"/>
      <c r="EG96" s="18"/>
      <c r="EH96" s="18"/>
      <c r="EI96" s="18"/>
      <c r="EJ96" s="18"/>
      <c r="EK96" s="18"/>
      <c r="EL96" s="18"/>
      <c r="EM96" s="18"/>
      <c r="EN96" s="18"/>
      <c r="EO96" s="18"/>
      <c r="EP96" s="18"/>
      <c r="EQ96" s="18"/>
      <c r="ER96" s="18"/>
      <c r="ES96" s="18"/>
      <c r="ET96" s="18"/>
      <c r="EU96" s="18"/>
      <c r="EV96" s="18"/>
      <c r="EW96" s="18"/>
      <c r="EX96" s="18"/>
      <c r="EY96" s="18"/>
      <c r="EZ96" s="18"/>
      <c r="FA96" s="18"/>
      <c r="FB96" s="18"/>
      <c r="FC96" s="18"/>
      <c r="FD96" s="18"/>
      <c r="FE96" s="18"/>
      <c r="FF96" s="18"/>
      <c r="FG96" s="18"/>
      <c r="FH96" s="18"/>
      <c r="FI96" s="18"/>
      <c r="FJ96" s="18"/>
      <c r="FK96" s="18"/>
      <c r="FL96" s="18"/>
      <c r="FM96" s="18"/>
      <c r="FN96" s="18"/>
      <c r="FO96" s="18"/>
      <c r="FP96" s="18"/>
      <c r="FQ96" s="18"/>
      <c r="FR96" s="18"/>
      <c r="FS96" s="18"/>
      <c r="FT96" s="18"/>
      <c r="FU96" s="18"/>
      <c r="FV96" s="18"/>
      <c r="FW96" s="18"/>
      <c r="FX96" s="18"/>
      <c r="FY96" s="18"/>
      <c r="FZ96" s="18"/>
      <c r="GA96" s="18"/>
      <c r="GB96" s="18"/>
      <c r="GC96" s="18"/>
      <c r="GD96" s="18"/>
      <c r="GE96" s="18"/>
      <c r="GF96" s="18"/>
      <c r="GG96" s="18"/>
      <c r="GH96" s="18"/>
      <c r="GI96" s="18"/>
      <c r="GJ96" s="18"/>
      <c r="GK96" s="18"/>
      <c r="GL96" s="18"/>
      <c r="GM96" s="18"/>
      <c r="GN96" s="18"/>
      <c r="GO96" s="18"/>
      <c r="GP96" s="18"/>
      <c r="GQ96" s="18"/>
      <c r="GR96" s="18"/>
      <c r="GS96" s="18"/>
      <c r="GT96" s="18"/>
      <c r="GU96" s="18"/>
      <c r="GV96" s="18"/>
      <c r="GW96" s="18"/>
      <c r="GX96" s="18"/>
      <c r="GY96" s="18"/>
      <c r="GZ96" s="18"/>
      <c r="HA96" s="18"/>
      <c r="HB96" s="18"/>
      <c r="HC96" s="18"/>
      <c r="HD96" s="18"/>
      <c r="HE96" s="18"/>
      <c r="HF96" s="18"/>
      <c r="HG96" s="18"/>
      <c r="HH96" s="18"/>
      <c r="HI96" s="18"/>
      <c r="HJ96" s="18"/>
      <c r="HK96" s="18"/>
      <c r="HL96" s="18"/>
      <c r="HM96" s="18"/>
      <c r="HN96" s="18"/>
      <c r="HO96" s="18"/>
      <c r="HP96" s="18"/>
      <c r="HQ96" s="18"/>
      <c r="HR96" s="18"/>
      <c r="HS96" s="18"/>
      <c r="HT96" s="18"/>
      <c r="HU96" s="18"/>
      <c r="HV96" s="18"/>
      <c r="HW96" s="18"/>
      <c r="HX96" s="18"/>
      <c r="HY96" s="18"/>
      <c r="HZ96" s="18"/>
      <c r="IA96" s="18"/>
      <c r="IB96" s="18"/>
      <c r="IC96" s="18"/>
      <c r="ID96" s="18"/>
      <c r="IE96" s="18"/>
      <c r="IF96" s="18"/>
      <c r="IG96" s="18"/>
      <c r="IH96" s="18"/>
      <c r="II96" s="18"/>
      <c r="IJ96" s="18"/>
      <c r="IK96" s="18"/>
      <c r="IL96" s="18"/>
      <c r="IM96" s="18"/>
      <c r="IN96" s="18"/>
      <c r="IO96" s="18"/>
      <c r="IP96" s="18"/>
      <c r="IQ96" s="18"/>
      <c r="IR96" s="18"/>
      <c r="IS96" s="18"/>
      <c r="IT96" s="18"/>
      <c r="IU96" s="18"/>
      <c r="IV96" s="18"/>
      <c r="IW96" s="18"/>
      <c r="IX96" s="18"/>
      <c r="IY96" s="18"/>
      <c r="IZ96" s="18"/>
      <c r="JA96" s="18"/>
      <c r="JB96" s="18"/>
      <c r="JC96" s="18"/>
      <c r="JD96" s="18"/>
      <c r="JE96" s="18"/>
      <c r="JF96" s="18"/>
      <c r="JG96" s="18"/>
      <c r="JH96" s="18"/>
      <c r="JI96" s="18"/>
      <c r="JJ96" s="18"/>
      <c r="JK96" s="18"/>
      <c r="JL96" s="18"/>
      <c r="JM96" s="18"/>
      <c r="JN96" s="18"/>
      <c r="JO96" s="18"/>
      <c r="JP96" s="18"/>
      <c r="JQ96" s="18"/>
      <c r="JR96" s="18"/>
      <c r="JS96" s="18"/>
      <c r="JT96" s="18"/>
      <c r="JU96" s="18"/>
      <c r="JV96" s="18"/>
      <c r="JW96" s="18"/>
      <c r="JX96" s="18"/>
      <c r="JY96" s="18"/>
      <c r="JZ96" s="18"/>
      <c r="KA96" s="18"/>
      <c r="KB96" s="18"/>
      <c r="KC96" s="18"/>
      <c r="KD96" s="18"/>
      <c r="KE96" s="18"/>
      <c r="KF96" s="18"/>
      <c r="KG96" s="18"/>
      <c r="KH96" s="18"/>
      <c r="KI96" s="18"/>
      <c r="KJ96" s="18"/>
      <c r="KK96" s="18"/>
      <c r="KL96" s="18"/>
      <c r="KM96" s="18"/>
      <c r="KN96" s="18"/>
      <c r="KO96" s="18"/>
      <c r="KP96" s="18"/>
      <c r="KQ96" s="18"/>
      <c r="KR96" s="18"/>
      <c r="KS96" s="18"/>
      <c r="KT96" s="18"/>
      <c r="KU96" s="18"/>
      <c r="KV96" s="18"/>
      <c r="KW96" s="18"/>
      <c r="KX96" s="18"/>
      <c r="KY96" s="18"/>
      <c r="KZ96" s="18"/>
      <c r="LA96" s="18"/>
      <c r="LB96" s="18"/>
      <c r="LC96" s="18"/>
      <c r="LD96" s="18"/>
      <c r="LE96" s="18"/>
      <c r="LF96" s="18"/>
      <c r="LG96" s="18"/>
      <c r="LH96" s="18"/>
      <c r="LI96" s="18"/>
      <c r="LJ96" s="18"/>
      <c r="LK96" s="18"/>
      <c r="LL96" s="18"/>
      <c r="LM96" s="18"/>
      <c r="LN96" s="18"/>
      <c r="LO96" s="18"/>
      <c r="LP96" s="18"/>
      <c r="LQ96" s="18"/>
      <c r="LR96" s="18"/>
      <c r="LS96" s="18"/>
      <c r="LT96" s="18"/>
      <c r="LU96" s="18"/>
      <c r="LV96" s="18"/>
      <c r="LW96" s="18"/>
      <c r="LX96" s="18"/>
      <c r="LY96" s="18"/>
      <c r="LZ96" s="18"/>
      <c r="MA96" s="18"/>
      <c r="MB96" s="18"/>
      <c r="MC96" s="18"/>
      <c r="MD96" s="18"/>
      <c r="ME96" s="18"/>
      <c r="MF96" s="18"/>
      <c r="MG96" s="18"/>
      <c r="MH96" s="18"/>
      <c r="MI96" s="18"/>
      <c r="MJ96" s="18"/>
      <c r="MK96" s="18"/>
      <c r="ML96" s="18"/>
      <c r="MM96" s="18"/>
      <c r="MN96" s="18"/>
      <c r="MO96" s="18"/>
      <c r="MP96" s="18"/>
      <c r="MQ96" s="18"/>
      <c r="MR96" s="18"/>
      <c r="MS96" s="18"/>
      <c r="MT96" s="18"/>
      <c r="MU96" s="18"/>
      <c r="MV96" s="18"/>
      <c r="MW96" s="18"/>
      <c r="MX96" s="18"/>
      <c r="MY96" s="18"/>
      <c r="MZ96" s="18"/>
      <c r="NA96" s="18"/>
      <c r="NB96" s="18"/>
      <c r="NC96" s="18"/>
      <c r="ND96" s="18"/>
      <c r="NE96" s="18"/>
      <c r="NF96" s="18"/>
      <c r="NG96" s="18"/>
      <c r="NH96" s="18"/>
      <c r="NI96" s="18"/>
      <c r="NJ96" s="18"/>
      <c r="NK96" s="18"/>
      <c r="NL96" s="18"/>
      <c r="NM96" s="18"/>
      <c r="NN96" s="18"/>
      <c r="NO96" s="18"/>
      <c r="NP96" s="18"/>
      <c r="NQ96" s="18"/>
      <c r="NR96" s="18"/>
      <c r="NS96" s="18"/>
      <c r="NT96" s="18"/>
      <c r="NU96" s="18"/>
      <c r="NV96" s="18"/>
      <c r="NW96" s="18"/>
      <c r="NX96" s="18"/>
      <c r="NY96" s="18"/>
      <c r="NZ96" s="18"/>
      <c r="OA96" s="18"/>
      <c r="OB96" s="18"/>
      <c r="OC96" s="18"/>
      <c r="OD96" s="18"/>
      <c r="OE96" s="18"/>
      <c r="OF96" s="18"/>
      <c r="OG96" s="18"/>
      <c r="OH96" s="18"/>
      <c r="OI96" s="18"/>
      <c r="OJ96" s="18"/>
      <c r="OK96" s="18"/>
      <c r="OL96" s="18"/>
      <c r="OM96" s="18"/>
      <c r="ON96" s="18"/>
      <c r="OO96" s="18"/>
      <c r="OP96" s="18"/>
      <c r="OQ96" s="18"/>
      <c r="OR96" s="18"/>
      <c r="OS96" s="18"/>
      <c r="OT96" s="18"/>
      <c r="OU96" s="18"/>
      <c r="OV96" s="18"/>
      <c r="OW96" s="18"/>
      <c r="OX96" s="18"/>
      <c r="OY96" s="18"/>
      <c r="OZ96" s="18"/>
      <c r="PA96" s="18"/>
      <c r="PB96" s="18"/>
      <c r="PC96" s="18"/>
      <c r="PD96" s="18"/>
      <c r="PE96" s="18"/>
      <c r="PF96" s="18"/>
      <c r="PG96" s="18"/>
      <c r="PH96" s="18"/>
      <c r="PI96" s="18"/>
      <c r="PJ96" s="18"/>
      <c r="PK96" s="18"/>
      <c r="PL96" s="18"/>
      <c r="PM96" s="18"/>
      <c r="PN96" s="18"/>
      <c r="PO96" s="18"/>
      <c r="PP96" s="18"/>
      <c r="PQ96" s="18"/>
      <c r="PR96" s="18"/>
      <c r="PS96" s="18"/>
      <c r="PT96" s="18"/>
      <c r="PU96" s="18"/>
      <c r="PV96" s="18"/>
      <c r="PW96" s="18"/>
      <c r="PX96" s="18"/>
      <c r="PY96" s="18"/>
      <c r="PZ96" s="18"/>
      <c r="QA96" s="18"/>
      <c r="QB96" s="18"/>
      <c r="QC96" s="18"/>
      <c r="QD96" s="18"/>
      <c r="QE96" s="18"/>
      <c r="QF96" s="18"/>
      <c r="QG96" s="18"/>
      <c r="QH96" s="18"/>
      <c r="QI96" s="18"/>
      <c r="QJ96" s="18"/>
      <c r="QK96" s="18"/>
      <c r="QL96" s="18"/>
      <c r="QM96" s="18"/>
      <c r="QN96" s="18"/>
      <c r="QO96" s="18"/>
      <c r="QP96" s="18"/>
      <c r="QQ96" s="18"/>
      <c r="QR96" s="18"/>
      <c r="QS96" s="18"/>
      <c r="QT96" s="18"/>
      <c r="QU96" s="18"/>
      <c r="QV96" s="18"/>
      <c r="QW96" s="18"/>
      <c r="QX96" s="18"/>
      <c r="QY96" s="18"/>
      <c r="QZ96" s="18"/>
      <c r="RA96" s="18"/>
      <c r="RB96" s="18"/>
      <c r="RC96" s="18"/>
      <c r="RD96" s="18"/>
      <c r="RE96" s="18"/>
      <c r="RF96" s="18"/>
      <c r="RG96" s="18"/>
      <c r="RH96" s="18"/>
      <c r="RI96" s="18"/>
      <c r="RJ96" s="18"/>
      <c r="RK96" s="18"/>
      <c r="RL96" s="18"/>
      <c r="RM96" s="18"/>
      <c r="RN96" s="18"/>
      <c r="RO96" s="18"/>
      <c r="RP96" s="18"/>
      <c r="RQ96" s="18"/>
      <c r="RR96" s="18"/>
      <c r="RS96" s="18"/>
      <c r="RT96" s="18"/>
      <c r="RU96" s="18"/>
      <c r="RV96" s="18"/>
      <c r="RW96" s="18"/>
      <c r="RX96" s="18"/>
      <c r="RY96" s="18"/>
      <c r="RZ96" s="18"/>
      <c r="SA96" s="18"/>
      <c r="SB96" s="18"/>
      <c r="SC96" s="18"/>
      <c r="SD96" s="18"/>
      <c r="SE96" s="18"/>
      <c r="SF96" s="18"/>
      <c r="SG96" s="18"/>
      <c r="SH96" s="18"/>
      <c r="SI96" s="18"/>
      <c r="SJ96" s="18"/>
      <c r="SK96" s="18"/>
      <c r="SL96" s="18"/>
      <c r="SM96" s="18"/>
      <c r="SN96" s="18"/>
      <c r="SO96" s="18"/>
      <c r="SP96" s="18"/>
      <c r="SQ96" s="18"/>
      <c r="SR96" s="18"/>
      <c r="SS96" s="18"/>
      <c r="ST96" s="18"/>
      <c r="SU96" s="18"/>
      <c r="SV96" s="18"/>
      <c r="SW96" s="18"/>
      <c r="SX96" s="18"/>
      <c r="SY96" s="18"/>
      <c r="SZ96" s="18"/>
      <c r="TA96" s="18"/>
      <c r="TB96" s="18"/>
      <c r="TC96" s="18"/>
      <c r="TD96" s="18"/>
      <c r="TE96" s="18"/>
      <c r="TF96" s="18"/>
      <c r="TG96" s="18"/>
      <c r="TH96" s="18"/>
      <c r="TI96" s="18"/>
      <c r="TJ96" s="18"/>
      <c r="TK96" s="18"/>
      <c r="TL96" s="18"/>
      <c r="TM96" s="18"/>
      <c r="TN96" s="18"/>
      <c r="TO96" s="18"/>
      <c r="TP96" s="18"/>
      <c r="TQ96" s="18"/>
      <c r="TR96" s="18"/>
      <c r="TS96" s="18"/>
      <c r="TT96" s="18"/>
      <c r="TU96" s="18"/>
      <c r="TV96" s="18"/>
      <c r="TW96" s="18"/>
      <c r="TX96" s="18"/>
      <c r="TY96" s="18"/>
      <c r="TZ96" s="18"/>
      <c r="UA96" s="18"/>
      <c r="UB96" s="18"/>
      <c r="UC96" s="18"/>
      <c r="UD96" s="18"/>
      <c r="UE96" s="18"/>
      <c r="UF96" s="18"/>
      <c r="UG96" s="18"/>
      <c r="UH96" s="18"/>
      <c r="UI96" s="18"/>
      <c r="UJ96" s="18"/>
      <c r="UK96" s="18"/>
      <c r="UL96" s="18"/>
      <c r="UM96" s="18"/>
      <c r="UN96" s="18"/>
      <c r="UO96" s="18"/>
      <c r="UP96" s="18"/>
      <c r="UQ96" s="18"/>
      <c r="UR96" s="18"/>
      <c r="US96" s="18"/>
      <c r="UT96" s="18"/>
      <c r="UU96" s="18"/>
      <c r="UV96" s="18"/>
      <c r="UW96" s="18"/>
      <c r="UX96" s="18"/>
      <c r="UY96" s="18"/>
      <c r="UZ96" s="18"/>
      <c r="VA96" s="18"/>
      <c r="VB96" s="18"/>
      <c r="VC96" s="18"/>
      <c r="VD96" s="18"/>
      <c r="VE96" s="18"/>
      <c r="VF96" s="18"/>
      <c r="VG96" s="18"/>
      <c r="VH96" s="18"/>
      <c r="VI96" s="18"/>
      <c r="VJ96" s="18"/>
      <c r="VK96" s="18"/>
      <c r="VL96" s="18"/>
      <c r="VM96" s="18"/>
      <c r="VN96" s="18"/>
      <c r="VO96" s="18"/>
      <c r="VP96" s="18"/>
      <c r="VQ96" s="18"/>
      <c r="VR96" s="18"/>
      <c r="VS96" s="18"/>
      <c r="VT96" s="18"/>
      <c r="VU96" s="18"/>
      <c r="VV96" s="18"/>
      <c r="VW96" s="18"/>
      <c r="VX96" s="18"/>
      <c r="VY96" s="18"/>
      <c r="VZ96" s="18"/>
      <c r="WA96" s="18"/>
      <c r="WB96" s="18"/>
      <c r="WC96" s="18"/>
      <c r="WD96" s="18"/>
      <c r="WE96" s="18"/>
      <c r="WF96" s="18"/>
      <c r="WG96" s="18"/>
      <c r="WH96" s="18"/>
      <c r="WI96" s="18"/>
      <c r="WJ96" s="18"/>
      <c r="WK96" s="18"/>
      <c r="WL96" s="18"/>
      <c r="WM96" s="18"/>
      <c r="WN96" s="18"/>
      <c r="WO96" s="18"/>
      <c r="WP96" s="18"/>
      <c r="WQ96" s="18"/>
      <c r="WR96" s="18"/>
      <c r="WS96" s="18"/>
      <c r="WT96" s="18"/>
      <c r="WU96" s="18"/>
      <c r="WV96" s="18"/>
      <c r="WW96" s="18"/>
      <c r="WX96" s="18"/>
      <c r="WY96" s="18"/>
      <c r="WZ96" s="18"/>
      <c r="XA96" s="18"/>
      <c r="XB96" s="18"/>
      <c r="XC96" s="18"/>
      <c r="XD96" s="18"/>
      <c r="XE96" s="18"/>
      <c r="XF96" s="18"/>
      <c r="XG96" s="18"/>
      <c r="XH96" s="18"/>
      <c r="XI96" s="18"/>
      <c r="XJ96" s="18"/>
      <c r="XK96" s="18"/>
      <c r="XL96" s="18"/>
      <c r="XM96" s="18"/>
      <c r="XN96" s="18"/>
      <c r="XO96" s="18"/>
      <c r="XP96" s="18"/>
      <c r="XQ96" s="18"/>
      <c r="XR96" s="18"/>
      <c r="XS96" s="18"/>
      <c r="XT96" s="18"/>
      <c r="XU96" s="18"/>
      <c r="XV96" s="18"/>
      <c r="XW96" s="18"/>
      <c r="XX96" s="18"/>
      <c r="XY96" s="18"/>
      <c r="XZ96" s="18"/>
      <c r="YA96" s="18"/>
      <c r="YB96" s="18"/>
      <c r="YC96" s="18"/>
      <c r="YD96" s="18"/>
      <c r="YE96" s="18"/>
      <c r="YF96" s="18"/>
      <c r="YG96" s="18"/>
      <c r="YH96" s="18"/>
      <c r="YI96" s="18"/>
      <c r="YJ96" s="18"/>
      <c r="YK96" s="18"/>
      <c r="YL96" s="18"/>
      <c r="YM96" s="18"/>
      <c r="YN96" s="18"/>
      <c r="YO96" s="18"/>
      <c r="YP96" s="18"/>
      <c r="YQ96" s="18"/>
      <c r="YR96" s="18"/>
      <c r="YS96" s="18"/>
      <c r="YT96" s="18"/>
      <c r="YU96" s="18"/>
      <c r="YV96" s="18"/>
      <c r="YW96" s="18"/>
      <c r="YX96" s="18"/>
      <c r="YY96" s="18"/>
      <c r="YZ96" s="18"/>
      <c r="ZA96" s="18"/>
      <c r="ZB96" s="18"/>
      <c r="ZC96" s="18"/>
      <c r="ZD96" s="18"/>
      <c r="ZE96" s="18"/>
      <c r="ZF96" s="18"/>
      <c r="ZG96" s="18"/>
      <c r="ZH96" s="18"/>
      <c r="ZI96" s="18"/>
      <c r="ZJ96" s="18"/>
      <c r="ZK96" s="18"/>
      <c r="ZL96" s="18"/>
      <c r="ZM96" s="18"/>
      <c r="ZN96" s="18"/>
      <c r="ZO96" s="18"/>
      <c r="ZP96" s="18"/>
      <c r="ZQ96" s="18"/>
      <c r="ZR96" s="18"/>
      <c r="ZS96" s="18"/>
      <c r="ZT96" s="18"/>
      <c r="ZU96" s="18"/>
      <c r="ZV96" s="18"/>
      <c r="ZW96" s="18"/>
      <c r="ZX96" s="18"/>
      <c r="ZY96" s="18"/>
      <c r="ZZ96" s="18"/>
      <c r="AAA96" s="18"/>
      <c r="AAB96" s="18"/>
      <c r="AAC96" s="18"/>
      <c r="AAD96" s="18"/>
      <c r="AAE96" s="18"/>
      <c r="AAF96" s="18"/>
      <c r="AAG96" s="18"/>
      <c r="AAH96" s="18"/>
      <c r="AAI96" s="18"/>
      <c r="AAJ96" s="18"/>
      <c r="AAK96" s="18"/>
      <c r="AAL96" s="18"/>
      <c r="AAM96" s="18"/>
      <c r="AAN96" s="18"/>
      <c r="AAO96" s="18"/>
      <c r="AAP96" s="18"/>
      <c r="AAQ96" s="18"/>
      <c r="AAR96" s="18"/>
      <c r="AAS96" s="18"/>
      <c r="AAT96" s="18"/>
      <c r="AAU96" s="18"/>
      <c r="AAV96" s="18"/>
      <c r="AAW96" s="18"/>
      <c r="AAX96" s="18"/>
      <c r="AAY96" s="18"/>
      <c r="AAZ96" s="18"/>
      <c r="ABA96" s="18"/>
      <c r="ABB96" s="18"/>
      <c r="ABC96" s="18"/>
      <c r="ABD96" s="18"/>
      <c r="ABE96" s="18"/>
      <c r="ABF96" s="18"/>
      <c r="ABG96" s="18"/>
      <c r="ABH96" s="18"/>
      <c r="ABI96" s="18"/>
      <c r="ABJ96" s="18"/>
      <c r="ABK96" s="18"/>
      <c r="ABL96" s="18"/>
      <c r="ABM96" s="18"/>
      <c r="ABN96" s="18"/>
      <c r="ABO96" s="18"/>
      <c r="ABP96" s="18"/>
      <c r="ABQ96" s="18"/>
      <c r="ABR96" s="18"/>
      <c r="ABS96" s="18"/>
      <c r="ABT96" s="18"/>
      <c r="ABU96" s="18"/>
      <c r="ABV96" s="18"/>
      <c r="ABW96" s="18"/>
      <c r="ABX96" s="18"/>
      <c r="ABY96" s="18"/>
      <c r="ABZ96" s="18"/>
      <c r="ACA96" s="18"/>
      <c r="ACB96" s="18"/>
      <c r="ACC96" s="18"/>
      <c r="ACD96" s="18"/>
      <c r="ACE96" s="18"/>
      <c r="ACF96" s="18"/>
      <c r="ACG96" s="18"/>
      <c r="ACH96" s="18"/>
      <c r="ACI96" s="18"/>
      <c r="ACJ96" s="18"/>
      <c r="ACK96" s="18"/>
      <c r="ACL96" s="18"/>
      <c r="ACM96" s="18"/>
      <c r="ACN96" s="18"/>
      <c r="ACO96" s="18"/>
      <c r="ACP96" s="18"/>
      <c r="ACQ96" s="18"/>
      <c r="ACR96" s="18"/>
      <c r="ACS96" s="18"/>
      <c r="ACT96" s="18"/>
      <c r="ACU96" s="18"/>
      <c r="ACV96" s="18"/>
      <c r="ACW96" s="18"/>
      <c r="ACX96" s="18"/>
      <c r="ACY96" s="18"/>
      <c r="ACZ96" s="18"/>
      <c r="ADA96" s="18"/>
      <c r="ADB96" s="18"/>
      <c r="ADC96" s="18"/>
      <c r="ADD96" s="18"/>
      <c r="ADE96" s="18"/>
      <c r="ADF96" s="18"/>
      <c r="ADG96" s="18"/>
      <c r="ADH96" s="18"/>
      <c r="ADI96" s="18"/>
      <c r="ADJ96" s="18"/>
      <c r="ADK96" s="18"/>
      <c r="ADL96" s="18"/>
      <c r="ADM96" s="18"/>
      <c r="ADN96" s="18"/>
      <c r="ADO96" s="18"/>
      <c r="ADP96" s="18"/>
      <c r="ADQ96" s="18"/>
      <c r="ADR96" s="18"/>
      <c r="ADS96" s="18"/>
      <c r="ADT96" s="18"/>
      <c r="ADU96" s="18"/>
      <c r="ADV96" s="18"/>
      <c r="ADW96" s="18"/>
      <c r="ADX96" s="18"/>
      <c r="ADY96" s="18"/>
      <c r="ADZ96" s="18"/>
      <c r="AEA96" s="18"/>
      <c r="AEB96" s="18"/>
      <c r="AEC96" s="18"/>
      <c r="AED96" s="18"/>
      <c r="AEE96" s="18"/>
      <c r="AEF96" s="18"/>
      <c r="AEG96" s="18"/>
      <c r="AEH96" s="18"/>
      <c r="AEI96" s="18"/>
      <c r="AEJ96" s="18"/>
      <c r="AEK96" s="18"/>
      <c r="AEL96" s="18"/>
      <c r="AEM96" s="18"/>
      <c r="AEN96" s="18"/>
      <c r="AEO96" s="18"/>
      <c r="AEP96" s="18"/>
      <c r="AEQ96" s="18"/>
      <c r="AER96" s="18"/>
      <c r="AES96" s="18"/>
      <c r="AET96" s="18"/>
      <c r="AEU96" s="18"/>
      <c r="AEV96" s="18"/>
      <c r="AEW96" s="18"/>
      <c r="AEX96" s="18"/>
      <c r="AEY96" s="18"/>
      <c r="AEZ96" s="18"/>
      <c r="AFA96" s="18"/>
      <c r="AFB96" s="18"/>
      <c r="AFC96" s="18"/>
      <c r="AFD96" s="18"/>
      <c r="AFE96" s="18"/>
      <c r="AFF96" s="18"/>
      <c r="AFG96" s="18"/>
      <c r="AFH96" s="18"/>
      <c r="AFI96" s="18"/>
      <c r="AFJ96" s="18"/>
      <c r="AFK96" s="18"/>
      <c r="AFL96" s="18"/>
      <c r="AFM96" s="18"/>
      <c r="AFN96" s="18"/>
      <c r="AFO96" s="18"/>
      <c r="AFP96" s="18"/>
      <c r="AFQ96" s="18"/>
      <c r="AFR96" s="18"/>
      <c r="AFS96" s="18"/>
      <c r="AFT96" s="18"/>
      <c r="AFU96" s="18"/>
      <c r="AFV96" s="18"/>
      <c r="AFW96" s="18"/>
      <c r="AFX96" s="18"/>
      <c r="AFY96" s="18"/>
      <c r="AFZ96" s="18"/>
      <c r="AGA96" s="18"/>
      <c r="AGB96" s="18"/>
      <c r="AGC96" s="18"/>
      <c r="AGD96" s="18"/>
      <c r="AGE96" s="18"/>
      <c r="AGF96" s="18"/>
      <c r="AGG96" s="18"/>
      <c r="AGH96" s="18"/>
      <c r="AGI96" s="18"/>
      <c r="AGJ96" s="18"/>
      <c r="AGK96" s="18"/>
      <c r="AGL96" s="18"/>
      <c r="AGM96" s="18"/>
      <c r="AGN96" s="18"/>
      <c r="AGO96" s="18"/>
      <c r="AGP96" s="18"/>
      <c r="AGQ96" s="18"/>
      <c r="AGR96" s="18"/>
      <c r="AGS96" s="18"/>
      <c r="AGT96" s="18"/>
      <c r="AGU96" s="18"/>
      <c r="AGV96" s="18"/>
      <c r="AGW96" s="18"/>
      <c r="AGX96" s="18"/>
      <c r="AGY96" s="18"/>
      <c r="AGZ96" s="18"/>
      <c r="AHA96" s="18"/>
      <c r="AHB96" s="18"/>
      <c r="AHC96" s="18"/>
      <c r="AHD96" s="18"/>
      <c r="AHE96" s="18"/>
      <c r="AHF96" s="18"/>
      <c r="AHG96" s="18"/>
      <c r="AHH96" s="18"/>
      <c r="AHI96" s="18"/>
      <c r="AHJ96" s="18"/>
      <c r="AHK96" s="18"/>
      <c r="AHL96" s="18"/>
      <c r="AHM96" s="18"/>
      <c r="AHN96" s="18"/>
      <c r="AHO96" s="18"/>
      <c r="AHP96" s="18"/>
      <c r="AHQ96" s="18"/>
      <c r="AHR96" s="18"/>
      <c r="AHS96" s="18"/>
      <c r="AHT96" s="18"/>
      <c r="AHU96" s="18"/>
      <c r="AHV96" s="18"/>
      <c r="AHW96" s="18"/>
      <c r="AHX96" s="18"/>
      <c r="AHY96" s="18"/>
      <c r="AHZ96" s="18"/>
      <c r="AIA96" s="18"/>
      <c r="AIB96" s="18"/>
      <c r="AIC96" s="18"/>
      <c r="AID96" s="18"/>
      <c r="AIE96" s="18"/>
      <c r="AIF96" s="18"/>
      <c r="AIG96" s="18"/>
      <c r="AIH96" s="18"/>
      <c r="AII96" s="18"/>
      <c r="AIJ96" s="18"/>
      <c r="AIK96" s="18"/>
      <c r="AIL96" s="18"/>
      <c r="AIM96" s="18"/>
      <c r="AIN96" s="18"/>
      <c r="AIO96" s="18"/>
      <c r="AIP96" s="18"/>
      <c r="AIQ96" s="18"/>
      <c r="AIR96" s="18"/>
      <c r="AIS96" s="18"/>
      <c r="AIT96" s="18"/>
      <c r="AIU96" s="18"/>
      <c r="AIV96" s="18"/>
      <c r="AIW96" s="18"/>
      <c r="AIX96" s="18"/>
      <c r="AIY96" s="18"/>
      <c r="AIZ96" s="18"/>
      <c r="AJA96" s="18"/>
      <c r="AJB96" s="18"/>
      <c r="AJC96" s="18"/>
      <c r="AJD96" s="18"/>
      <c r="AJE96" s="18"/>
      <c r="AJF96" s="18"/>
      <c r="AJG96" s="18"/>
      <c r="AJH96" s="18"/>
      <c r="AJI96" s="18"/>
      <c r="AJJ96" s="18"/>
      <c r="AJK96" s="18"/>
      <c r="AJL96" s="18"/>
      <c r="AJM96" s="18"/>
      <c r="AJN96" s="18"/>
      <c r="AJO96" s="18"/>
      <c r="AJP96" s="18"/>
      <c r="AJQ96" s="18"/>
      <c r="AJR96" s="18"/>
      <c r="AJS96" s="18"/>
      <c r="AJT96" s="18"/>
      <c r="AJU96" s="18"/>
      <c r="AJV96" s="18"/>
      <c r="AJW96" s="18"/>
      <c r="AJX96" s="18"/>
      <c r="AJY96" s="18"/>
      <c r="AJZ96" s="18"/>
      <c r="AKA96" s="18"/>
      <c r="AKB96" s="18"/>
      <c r="AKC96" s="18"/>
      <c r="AKD96" s="18"/>
      <c r="AKE96" s="18"/>
      <c r="AKF96" s="18"/>
      <c r="AKG96" s="18"/>
      <c r="AKH96" s="18"/>
      <c r="AKI96" s="18"/>
      <c r="AKJ96" s="18"/>
      <c r="AKK96" s="18"/>
      <c r="AKL96" s="18"/>
      <c r="AKM96" s="18"/>
      <c r="AKN96" s="18"/>
      <c r="AKO96" s="18"/>
      <c r="AKP96" s="18"/>
      <c r="AKQ96" s="18"/>
      <c r="AKR96" s="18"/>
      <c r="AKS96" s="18"/>
      <c r="AKT96" s="18"/>
      <c r="AKU96" s="18"/>
      <c r="AKV96" s="18"/>
      <c r="AKW96" s="18"/>
      <c r="AKX96" s="18"/>
      <c r="AKY96" s="18"/>
      <c r="AKZ96" s="18"/>
      <c r="ALA96" s="18"/>
      <c r="ALB96" s="18"/>
      <c r="ALC96" s="18"/>
      <c r="ALD96" s="18"/>
      <c r="ALE96" s="18"/>
      <c r="ALF96" s="18"/>
      <c r="ALG96" s="18"/>
      <c r="ALH96" s="18"/>
      <c r="ALI96" s="18"/>
      <c r="ALJ96" s="18"/>
      <c r="ALK96" s="18"/>
      <c r="ALL96" s="18"/>
      <c r="ALM96" s="18"/>
      <c r="ALN96" s="18"/>
      <c r="ALO96" s="18"/>
      <c r="ALP96" s="18"/>
      <c r="ALQ96" s="18"/>
      <c r="ALR96" s="18"/>
      <c r="ALS96" s="18"/>
      <c r="ALT96" s="18"/>
      <c r="ALU96" s="18"/>
      <c r="ALV96" s="18"/>
      <c r="ALW96" s="18"/>
      <c r="ALX96" s="18"/>
      <c r="ALY96" s="18"/>
      <c r="ALZ96" s="18"/>
      <c r="AMA96" s="18"/>
      <c r="AMB96" s="18"/>
      <c r="AMC96" s="18"/>
      <c r="AMD96" s="18"/>
      <c r="AME96" s="18"/>
      <c r="AMF96" s="18"/>
      <c r="AMG96" s="18"/>
      <c r="AMH96" s="18"/>
    </row>
    <row r="97" spans="1:1022" s="23" customFormat="1" x14ac:dyDescent="0.3">
      <c r="A97" s="33">
        <v>193</v>
      </c>
      <c r="B97" s="19"/>
      <c r="C97" s="19"/>
      <c r="D97" s="34" t="s">
        <v>366</v>
      </c>
      <c r="E97" s="34" t="s">
        <v>516</v>
      </c>
      <c r="F97" s="46">
        <v>68</v>
      </c>
      <c r="G97" s="46"/>
      <c r="H97" s="48" t="s">
        <v>281</v>
      </c>
      <c r="I97" s="31"/>
      <c r="J97" s="31"/>
      <c r="K97" s="31"/>
      <c r="L97" s="31"/>
      <c r="M97" s="32"/>
      <c r="N97" s="32"/>
      <c r="O97" s="18"/>
      <c r="P97" s="36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18"/>
      <c r="BK97" s="18"/>
      <c r="BL97" s="18"/>
      <c r="BM97" s="18"/>
      <c r="BN97" s="18"/>
      <c r="BO97" s="18"/>
      <c r="BP97" s="18"/>
      <c r="BQ97" s="18"/>
      <c r="BR97" s="18"/>
      <c r="BS97" s="18"/>
      <c r="BT97" s="18"/>
      <c r="BU97" s="18"/>
      <c r="BV97" s="18"/>
      <c r="BW97" s="18"/>
      <c r="BX97" s="18"/>
      <c r="BY97" s="18"/>
      <c r="BZ97" s="18"/>
      <c r="CA97" s="18"/>
      <c r="CB97" s="18"/>
      <c r="CC97" s="18"/>
      <c r="CD97" s="18"/>
      <c r="CE97" s="18"/>
      <c r="CF97" s="18"/>
      <c r="CG97" s="18"/>
      <c r="CH97" s="18"/>
      <c r="CI97" s="18"/>
      <c r="CJ97" s="18"/>
      <c r="CK97" s="18"/>
      <c r="CL97" s="18"/>
      <c r="CM97" s="18"/>
      <c r="CN97" s="18"/>
      <c r="CO97" s="18"/>
      <c r="CP97" s="18"/>
      <c r="CQ97" s="18"/>
      <c r="CR97" s="18"/>
      <c r="CS97" s="18"/>
      <c r="CT97" s="18"/>
      <c r="CU97" s="18"/>
      <c r="CV97" s="18"/>
      <c r="CW97" s="18"/>
      <c r="CX97" s="18"/>
      <c r="CY97" s="18"/>
      <c r="CZ97" s="18"/>
      <c r="DA97" s="18"/>
      <c r="DB97" s="18"/>
      <c r="DC97" s="18"/>
      <c r="DD97" s="18"/>
      <c r="DE97" s="18"/>
      <c r="DF97" s="18"/>
      <c r="DG97" s="18"/>
      <c r="DH97" s="18"/>
      <c r="DI97" s="18"/>
      <c r="DJ97" s="18"/>
      <c r="DK97" s="18"/>
      <c r="DL97" s="18"/>
      <c r="DM97" s="18"/>
      <c r="DN97" s="18"/>
      <c r="DO97" s="18"/>
      <c r="DP97" s="18"/>
      <c r="DQ97" s="18"/>
      <c r="DR97" s="18"/>
      <c r="DS97" s="18"/>
      <c r="DT97" s="18"/>
      <c r="DU97" s="18"/>
      <c r="DV97" s="18"/>
      <c r="DW97" s="18"/>
      <c r="DX97" s="18"/>
      <c r="DY97" s="18"/>
      <c r="DZ97" s="18"/>
      <c r="EA97" s="18"/>
      <c r="EB97" s="18"/>
      <c r="EC97" s="18"/>
      <c r="ED97" s="18"/>
      <c r="EE97" s="18"/>
      <c r="EF97" s="18"/>
      <c r="EG97" s="18"/>
      <c r="EH97" s="18"/>
      <c r="EI97" s="18"/>
      <c r="EJ97" s="18"/>
      <c r="EK97" s="18"/>
      <c r="EL97" s="18"/>
      <c r="EM97" s="18"/>
      <c r="EN97" s="18"/>
      <c r="EO97" s="18"/>
      <c r="EP97" s="18"/>
      <c r="EQ97" s="18"/>
      <c r="ER97" s="18"/>
      <c r="ES97" s="18"/>
      <c r="ET97" s="18"/>
      <c r="EU97" s="18"/>
      <c r="EV97" s="18"/>
      <c r="EW97" s="18"/>
      <c r="EX97" s="18"/>
      <c r="EY97" s="18"/>
      <c r="EZ97" s="18"/>
      <c r="FA97" s="18"/>
      <c r="FB97" s="18"/>
      <c r="FC97" s="18"/>
      <c r="FD97" s="18"/>
      <c r="FE97" s="18"/>
      <c r="FF97" s="18"/>
      <c r="FG97" s="18"/>
      <c r="FH97" s="18"/>
      <c r="FI97" s="18"/>
      <c r="FJ97" s="18"/>
      <c r="FK97" s="18"/>
      <c r="FL97" s="18"/>
      <c r="FM97" s="18"/>
      <c r="FN97" s="18"/>
      <c r="FO97" s="18"/>
      <c r="FP97" s="18"/>
      <c r="FQ97" s="18"/>
      <c r="FR97" s="18"/>
      <c r="FS97" s="18"/>
      <c r="FT97" s="18"/>
      <c r="FU97" s="18"/>
      <c r="FV97" s="18"/>
      <c r="FW97" s="18"/>
      <c r="FX97" s="18"/>
      <c r="FY97" s="18"/>
      <c r="FZ97" s="18"/>
      <c r="GA97" s="18"/>
      <c r="GB97" s="18"/>
      <c r="GC97" s="18"/>
      <c r="GD97" s="18"/>
      <c r="GE97" s="18"/>
      <c r="GF97" s="18"/>
      <c r="GG97" s="18"/>
      <c r="GH97" s="18"/>
      <c r="GI97" s="18"/>
      <c r="GJ97" s="18"/>
      <c r="GK97" s="18"/>
      <c r="GL97" s="18"/>
      <c r="GM97" s="18"/>
      <c r="GN97" s="18"/>
      <c r="GO97" s="18"/>
      <c r="GP97" s="18"/>
      <c r="GQ97" s="18"/>
      <c r="GR97" s="18"/>
      <c r="GS97" s="18"/>
      <c r="GT97" s="18"/>
      <c r="GU97" s="18"/>
      <c r="GV97" s="18"/>
      <c r="GW97" s="18"/>
      <c r="GX97" s="18"/>
      <c r="GY97" s="18"/>
      <c r="GZ97" s="18"/>
      <c r="HA97" s="18"/>
      <c r="HB97" s="18"/>
      <c r="HC97" s="18"/>
      <c r="HD97" s="18"/>
      <c r="HE97" s="18"/>
      <c r="HF97" s="18"/>
      <c r="HG97" s="18"/>
      <c r="HH97" s="18"/>
      <c r="HI97" s="18"/>
      <c r="HJ97" s="18"/>
      <c r="HK97" s="18"/>
      <c r="HL97" s="18"/>
      <c r="HM97" s="18"/>
      <c r="HN97" s="18"/>
      <c r="HO97" s="18"/>
      <c r="HP97" s="18"/>
      <c r="HQ97" s="18"/>
      <c r="HR97" s="18"/>
      <c r="HS97" s="18"/>
      <c r="HT97" s="18"/>
      <c r="HU97" s="18"/>
      <c r="HV97" s="18"/>
      <c r="HW97" s="18"/>
      <c r="HX97" s="18"/>
      <c r="HY97" s="18"/>
      <c r="HZ97" s="18"/>
      <c r="IA97" s="18"/>
      <c r="IB97" s="18"/>
      <c r="IC97" s="18"/>
      <c r="ID97" s="18"/>
      <c r="IE97" s="18"/>
      <c r="IF97" s="18"/>
      <c r="IG97" s="18"/>
      <c r="IH97" s="18"/>
      <c r="II97" s="18"/>
      <c r="IJ97" s="18"/>
      <c r="IK97" s="18"/>
      <c r="IL97" s="18"/>
      <c r="IM97" s="18"/>
      <c r="IN97" s="18"/>
      <c r="IO97" s="18"/>
      <c r="IP97" s="18"/>
      <c r="IQ97" s="18"/>
      <c r="IR97" s="18"/>
      <c r="IS97" s="18"/>
      <c r="IT97" s="18"/>
      <c r="IU97" s="18"/>
      <c r="IV97" s="18"/>
      <c r="IW97" s="18"/>
      <c r="IX97" s="18"/>
      <c r="IY97" s="18"/>
      <c r="IZ97" s="18"/>
      <c r="JA97" s="18"/>
      <c r="JB97" s="18"/>
      <c r="JC97" s="18"/>
      <c r="JD97" s="18"/>
      <c r="JE97" s="18"/>
      <c r="JF97" s="18"/>
      <c r="JG97" s="18"/>
      <c r="JH97" s="18"/>
      <c r="JI97" s="18"/>
      <c r="JJ97" s="18"/>
      <c r="JK97" s="18"/>
      <c r="JL97" s="18"/>
      <c r="JM97" s="18"/>
      <c r="JN97" s="18"/>
      <c r="JO97" s="18"/>
      <c r="JP97" s="18"/>
      <c r="JQ97" s="18"/>
      <c r="JR97" s="18"/>
      <c r="JS97" s="18"/>
      <c r="JT97" s="18"/>
      <c r="JU97" s="18"/>
      <c r="JV97" s="18"/>
      <c r="JW97" s="18"/>
      <c r="JX97" s="18"/>
      <c r="JY97" s="18"/>
      <c r="JZ97" s="18"/>
      <c r="KA97" s="18"/>
      <c r="KB97" s="18"/>
      <c r="KC97" s="18"/>
      <c r="KD97" s="18"/>
      <c r="KE97" s="18"/>
      <c r="KF97" s="18"/>
      <c r="KG97" s="18"/>
      <c r="KH97" s="18"/>
      <c r="KI97" s="18"/>
      <c r="KJ97" s="18"/>
      <c r="KK97" s="18"/>
      <c r="KL97" s="18"/>
      <c r="KM97" s="18"/>
      <c r="KN97" s="18"/>
      <c r="KO97" s="18"/>
      <c r="KP97" s="18"/>
      <c r="KQ97" s="18"/>
      <c r="KR97" s="18"/>
      <c r="KS97" s="18"/>
      <c r="KT97" s="18"/>
      <c r="KU97" s="18"/>
      <c r="KV97" s="18"/>
      <c r="KW97" s="18"/>
      <c r="KX97" s="18"/>
      <c r="KY97" s="18"/>
      <c r="KZ97" s="18"/>
      <c r="LA97" s="18"/>
      <c r="LB97" s="18"/>
      <c r="LC97" s="18"/>
      <c r="LD97" s="18"/>
      <c r="LE97" s="18"/>
      <c r="LF97" s="18"/>
      <c r="LG97" s="18"/>
      <c r="LH97" s="18"/>
      <c r="LI97" s="18"/>
      <c r="LJ97" s="18"/>
      <c r="LK97" s="18"/>
      <c r="LL97" s="18"/>
      <c r="LM97" s="18"/>
      <c r="LN97" s="18"/>
      <c r="LO97" s="18"/>
      <c r="LP97" s="18"/>
      <c r="LQ97" s="18"/>
      <c r="LR97" s="18"/>
      <c r="LS97" s="18"/>
      <c r="LT97" s="18"/>
      <c r="LU97" s="18"/>
      <c r="LV97" s="18"/>
      <c r="LW97" s="18"/>
      <c r="LX97" s="18"/>
      <c r="LY97" s="18"/>
      <c r="LZ97" s="18"/>
      <c r="MA97" s="18"/>
      <c r="MB97" s="18"/>
      <c r="MC97" s="18"/>
      <c r="MD97" s="18"/>
      <c r="ME97" s="18"/>
      <c r="MF97" s="18"/>
      <c r="MG97" s="18"/>
      <c r="MH97" s="18"/>
      <c r="MI97" s="18"/>
      <c r="MJ97" s="18"/>
      <c r="MK97" s="18"/>
      <c r="ML97" s="18"/>
      <c r="MM97" s="18"/>
      <c r="MN97" s="18"/>
      <c r="MO97" s="18"/>
      <c r="MP97" s="18"/>
      <c r="MQ97" s="18"/>
      <c r="MR97" s="18"/>
      <c r="MS97" s="18"/>
      <c r="MT97" s="18"/>
      <c r="MU97" s="18"/>
      <c r="MV97" s="18"/>
      <c r="MW97" s="18"/>
      <c r="MX97" s="18"/>
      <c r="MY97" s="18"/>
      <c r="MZ97" s="18"/>
      <c r="NA97" s="18"/>
      <c r="NB97" s="18"/>
      <c r="NC97" s="18"/>
      <c r="ND97" s="18"/>
      <c r="NE97" s="18"/>
      <c r="NF97" s="18"/>
      <c r="NG97" s="18"/>
      <c r="NH97" s="18"/>
      <c r="NI97" s="18"/>
      <c r="NJ97" s="18"/>
      <c r="NK97" s="18"/>
      <c r="NL97" s="18"/>
      <c r="NM97" s="18"/>
      <c r="NN97" s="18"/>
      <c r="NO97" s="18"/>
      <c r="NP97" s="18"/>
      <c r="NQ97" s="18"/>
      <c r="NR97" s="18"/>
      <c r="NS97" s="18"/>
      <c r="NT97" s="18"/>
      <c r="NU97" s="18"/>
      <c r="NV97" s="18"/>
      <c r="NW97" s="18"/>
      <c r="NX97" s="18"/>
      <c r="NY97" s="18"/>
      <c r="NZ97" s="18"/>
      <c r="OA97" s="18"/>
      <c r="OB97" s="18"/>
      <c r="OC97" s="18"/>
      <c r="OD97" s="18"/>
      <c r="OE97" s="18"/>
      <c r="OF97" s="18"/>
      <c r="OG97" s="18"/>
      <c r="OH97" s="18"/>
      <c r="OI97" s="18"/>
      <c r="OJ97" s="18"/>
      <c r="OK97" s="18"/>
      <c r="OL97" s="18"/>
      <c r="OM97" s="18"/>
      <c r="ON97" s="18"/>
      <c r="OO97" s="18"/>
      <c r="OP97" s="18"/>
      <c r="OQ97" s="18"/>
      <c r="OR97" s="18"/>
      <c r="OS97" s="18"/>
      <c r="OT97" s="18"/>
      <c r="OU97" s="18"/>
      <c r="OV97" s="18"/>
      <c r="OW97" s="18"/>
      <c r="OX97" s="18"/>
      <c r="OY97" s="18"/>
      <c r="OZ97" s="18"/>
      <c r="PA97" s="18"/>
      <c r="PB97" s="18"/>
      <c r="PC97" s="18"/>
      <c r="PD97" s="18"/>
      <c r="PE97" s="18"/>
      <c r="PF97" s="18"/>
      <c r="PG97" s="18"/>
      <c r="PH97" s="18"/>
      <c r="PI97" s="18"/>
      <c r="PJ97" s="18"/>
      <c r="PK97" s="18"/>
      <c r="PL97" s="18"/>
      <c r="PM97" s="18"/>
      <c r="PN97" s="18"/>
      <c r="PO97" s="18"/>
      <c r="PP97" s="18"/>
      <c r="PQ97" s="18"/>
      <c r="PR97" s="18"/>
      <c r="PS97" s="18"/>
      <c r="PT97" s="18"/>
      <c r="PU97" s="18"/>
      <c r="PV97" s="18"/>
      <c r="PW97" s="18"/>
      <c r="PX97" s="18"/>
      <c r="PY97" s="18"/>
      <c r="PZ97" s="18"/>
      <c r="QA97" s="18"/>
      <c r="QB97" s="18"/>
      <c r="QC97" s="18"/>
      <c r="QD97" s="18"/>
      <c r="QE97" s="18"/>
      <c r="QF97" s="18"/>
      <c r="QG97" s="18"/>
      <c r="QH97" s="18"/>
      <c r="QI97" s="18"/>
      <c r="QJ97" s="18"/>
      <c r="QK97" s="18"/>
      <c r="QL97" s="18"/>
      <c r="QM97" s="18"/>
      <c r="QN97" s="18"/>
      <c r="QO97" s="18"/>
      <c r="QP97" s="18"/>
      <c r="QQ97" s="18"/>
      <c r="QR97" s="18"/>
      <c r="QS97" s="18"/>
      <c r="QT97" s="18"/>
      <c r="QU97" s="18"/>
      <c r="QV97" s="18"/>
      <c r="QW97" s="18"/>
      <c r="QX97" s="18"/>
      <c r="QY97" s="18"/>
      <c r="QZ97" s="18"/>
      <c r="RA97" s="18"/>
      <c r="RB97" s="18"/>
      <c r="RC97" s="18"/>
      <c r="RD97" s="18"/>
      <c r="RE97" s="18"/>
      <c r="RF97" s="18"/>
      <c r="RG97" s="18"/>
      <c r="RH97" s="18"/>
      <c r="RI97" s="18"/>
      <c r="RJ97" s="18"/>
      <c r="RK97" s="18"/>
      <c r="RL97" s="18"/>
      <c r="RM97" s="18"/>
      <c r="RN97" s="18"/>
      <c r="RO97" s="18"/>
      <c r="RP97" s="18"/>
      <c r="RQ97" s="18"/>
      <c r="RR97" s="18"/>
      <c r="RS97" s="18"/>
      <c r="RT97" s="18"/>
      <c r="RU97" s="18"/>
      <c r="RV97" s="18"/>
      <c r="RW97" s="18"/>
      <c r="RX97" s="18"/>
      <c r="RY97" s="18"/>
      <c r="RZ97" s="18"/>
      <c r="SA97" s="18"/>
      <c r="SB97" s="18"/>
      <c r="SC97" s="18"/>
      <c r="SD97" s="18"/>
      <c r="SE97" s="18"/>
      <c r="SF97" s="18"/>
      <c r="SG97" s="18"/>
      <c r="SH97" s="18"/>
      <c r="SI97" s="18"/>
      <c r="SJ97" s="18"/>
      <c r="SK97" s="18"/>
      <c r="SL97" s="18"/>
      <c r="SM97" s="18"/>
      <c r="SN97" s="18"/>
      <c r="SO97" s="18"/>
      <c r="SP97" s="18"/>
      <c r="SQ97" s="18"/>
      <c r="SR97" s="18"/>
      <c r="SS97" s="18"/>
      <c r="ST97" s="18"/>
      <c r="SU97" s="18"/>
      <c r="SV97" s="18"/>
      <c r="SW97" s="18"/>
      <c r="SX97" s="18"/>
      <c r="SY97" s="18"/>
      <c r="SZ97" s="18"/>
      <c r="TA97" s="18"/>
      <c r="TB97" s="18"/>
      <c r="TC97" s="18"/>
      <c r="TD97" s="18"/>
      <c r="TE97" s="18"/>
      <c r="TF97" s="18"/>
      <c r="TG97" s="18"/>
      <c r="TH97" s="18"/>
      <c r="TI97" s="18"/>
      <c r="TJ97" s="18"/>
      <c r="TK97" s="18"/>
      <c r="TL97" s="18"/>
      <c r="TM97" s="18"/>
      <c r="TN97" s="18"/>
      <c r="TO97" s="18"/>
      <c r="TP97" s="18"/>
      <c r="TQ97" s="18"/>
      <c r="TR97" s="18"/>
      <c r="TS97" s="18"/>
      <c r="TT97" s="18"/>
      <c r="TU97" s="18"/>
      <c r="TV97" s="18"/>
      <c r="TW97" s="18"/>
      <c r="TX97" s="18"/>
      <c r="TY97" s="18"/>
      <c r="TZ97" s="18"/>
      <c r="UA97" s="18"/>
      <c r="UB97" s="18"/>
      <c r="UC97" s="18"/>
      <c r="UD97" s="18"/>
      <c r="UE97" s="18"/>
      <c r="UF97" s="18"/>
      <c r="UG97" s="18"/>
      <c r="UH97" s="18"/>
      <c r="UI97" s="18"/>
      <c r="UJ97" s="18"/>
      <c r="UK97" s="18"/>
      <c r="UL97" s="18"/>
      <c r="UM97" s="18"/>
      <c r="UN97" s="18"/>
      <c r="UO97" s="18"/>
      <c r="UP97" s="18"/>
      <c r="UQ97" s="18"/>
      <c r="UR97" s="18"/>
      <c r="US97" s="18"/>
      <c r="UT97" s="18"/>
      <c r="UU97" s="18"/>
      <c r="UV97" s="18"/>
      <c r="UW97" s="18"/>
      <c r="UX97" s="18"/>
      <c r="UY97" s="18"/>
      <c r="UZ97" s="18"/>
      <c r="VA97" s="18"/>
      <c r="VB97" s="18"/>
      <c r="VC97" s="18"/>
      <c r="VD97" s="18"/>
      <c r="VE97" s="18"/>
      <c r="VF97" s="18"/>
      <c r="VG97" s="18"/>
      <c r="VH97" s="18"/>
      <c r="VI97" s="18"/>
      <c r="VJ97" s="18"/>
      <c r="VK97" s="18"/>
      <c r="VL97" s="18"/>
      <c r="VM97" s="18"/>
      <c r="VN97" s="18"/>
      <c r="VO97" s="18"/>
      <c r="VP97" s="18"/>
      <c r="VQ97" s="18"/>
      <c r="VR97" s="18"/>
      <c r="VS97" s="18"/>
      <c r="VT97" s="18"/>
      <c r="VU97" s="18"/>
      <c r="VV97" s="18"/>
      <c r="VW97" s="18"/>
      <c r="VX97" s="18"/>
      <c r="VY97" s="18"/>
      <c r="VZ97" s="18"/>
      <c r="WA97" s="18"/>
      <c r="WB97" s="18"/>
      <c r="WC97" s="18"/>
      <c r="WD97" s="18"/>
      <c r="WE97" s="18"/>
      <c r="WF97" s="18"/>
      <c r="WG97" s="18"/>
      <c r="WH97" s="18"/>
      <c r="WI97" s="18"/>
      <c r="WJ97" s="18"/>
      <c r="WK97" s="18"/>
      <c r="WL97" s="18"/>
      <c r="WM97" s="18"/>
      <c r="WN97" s="18"/>
      <c r="WO97" s="18"/>
      <c r="WP97" s="18"/>
      <c r="WQ97" s="18"/>
      <c r="WR97" s="18"/>
      <c r="WS97" s="18"/>
      <c r="WT97" s="18"/>
      <c r="WU97" s="18"/>
      <c r="WV97" s="18"/>
      <c r="WW97" s="18"/>
      <c r="WX97" s="18"/>
      <c r="WY97" s="18"/>
      <c r="WZ97" s="18"/>
      <c r="XA97" s="18"/>
      <c r="XB97" s="18"/>
      <c r="XC97" s="18"/>
      <c r="XD97" s="18"/>
      <c r="XE97" s="18"/>
      <c r="XF97" s="18"/>
      <c r="XG97" s="18"/>
      <c r="XH97" s="18"/>
      <c r="XI97" s="18"/>
      <c r="XJ97" s="18"/>
      <c r="XK97" s="18"/>
      <c r="XL97" s="18"/>
      <c r="XM97" s="18"/>
      <c r="XN97" s="18"/>
      <c r="XO97" s="18"/>
      <c r="XP97" s="18"/>
      <c r="XQ97" s="18"/>
      <c r="XR97" s="18"/>
      <c r="XS97" s="18"/>
      <c r="XT97" s="18"/>
      <c r="XU97" s="18"/>
      <c r="XV97" s="18"/>
      <c r="XW97" s="18"/>
      <c r="XX97" s="18"/>
      <c r="XY97" s="18"/>
      <c r="XZ97" s="18"/>
      <c r="YA97" s="18"/>
      <c r="YB97" s="18"/>
      <c r="YC97" s="18"/>
      <c r="YD97" s="18"/>
      <c r="YE97" s="18"/>
      <c r="YF97" s="18"/>
      <c r="YG97" s="18"/>
      <c r="YH97" s="18"/>
      <c r="YI97" s="18"/>
      <c r="YJ97" s="18"/>
      <c r="YK97" s="18"/>
      <c r="YL97" s="18"/>
      <c r="YM97" s="18"/>
      <c r="YN97" s="18"/>
      <c r="YO97" s="18"/>
      <c r="YP97" s="18"/>
      <c r="YQ97" s="18"/>
      <c r="YR97" s="18"/>
      <c r="YS97" s="18"/>
      <c r="YT97" s="18"/>
      <c r="YU97" s="18"/>
      <c r="YV97" s="18"/>
      <c r="YW97" s="18"/>
      <c r="YX97" s="18"/>
      <c r="YY97" s="18"/>
      <c r="YZ97" s="18"/>
      <c r="ZA97" s="18"/>
      <c r="ZB97" s="18"/>
      <c r="ZC97" s="18"/>
      <c r="ZD97" s="18"/>
      <c r="ZE97" s="18"/>
      <c r="ZF97" s="18"/>
      <c r="ZG97" s="18"/>
      <c r="ZH97" s="18"/>
      <c r="ZI97" s="18"/>
      <c r="ZJ97" s="18"/>
      <c r="ZK97" s="18"/>
      <c r="ZL97" s="18"/>
      <c r="ZM97" s="18"/>
      <c r="ZN97" s="18"/>
      <c r="ZO97" s="18"/>
      <c r="ZP97" s="18"/>
      <c r="ZQ97" s="18"/>
      <c r="ZR97" s="18"/>
      <c r="ZS97" s="18"/>
      <c r="ZT97" s="18"/>
      <c r="ZU97" s="18"/>
      <c r="ZV97" s="18"/>
      <c r="ZW97" s="18"/>
      <c r="ZX97" s="18"/>
      <c r="ZY97" s="18"/>
      <c r="ZZ97" s="18"/>
      <c r="AAA97" s="18"/>
      <c r="AAB97" s="18"/>
      <c r="AAC97" s="18"/>
      <c r="AAD97" s="18"/>
      <c r="AAE97" s="18"/>
      <c r="AAF97" s="18"/>
      <c r="AAG97" s="18"/>
      <c r="AAH97" s="18"/>
      <c r="AAI97" s="18"/>
      <c r="AAJ97" s="18"/>
      <c r="AAK97" s="18"/>
      <c r="AAL97" s="18"/>
      <c r="AAM97" s="18"/>
      <c r="AAN97" s="18"/>
      <c r="AAO97" s="18"/>
      <c r="AAP97" s="18"/>
      <c r="AAQ97" s="18"/>
      <c r="AAR97" s="18"/>
      <c r="AAS97" s="18"/>
      <c r="AAT97" s="18"/>
      <c r="AAU97" s="18"/>
      <c r="AAV97" s="18"/>
      <c r="AAW97" s="18"/>
      <c r="AAX97" s="18"/>
      <c r="AAY97" s="18"/>
      <c r="AAZ97" s="18"/>
      <c r="ABA97" s="18"/>
      <c r="ABB97" s="18"/>
      <c r="ABC97" s="18"/>
      <c r="ABD97" s="18"/>
      <c r="ABE97" s="18"/>
      <c r="ABF97" s="18"/>
      <c r="ABG97" s="18"/>
      <c r="ABH97" s="18"/>
      <c r="ABI97" s="18"/>
      <c r="ABJ97" s="18"/>
      <c r="ABK97" s="18"/>
      <c r="ABL97" s="18"/>
      <c r="ABM97" s="18"/>
      <c r="ABN97" s="18"/>
      <c r="ABO97" s="18"/>
      <c r="ABP97" s="18"/>
      <c r="ABQ97" s="18"/>
      <c r="ABR97" s="18"/>
      <c r="ABS97" s="18"/>
      <c r="ABT97" s="18"/>
      <c r="ABU97" s="18"/>
      <c r="ABV97" s="18"/>
      <c r="ABW97" s="18"/>
      <c r="ABX97" s="18"/>
      <c r="ABY97" s="18"/>
      <c r="ABZ97" s="18"/>
      <c r="ACA97" s="18"/>
      <c r="ACB97" s="18"/>
      <c r="ACC97" s="18"/>
      <c r="ACD97" s="18"/>
      <c r="ACE97" s="18"/>
      <c r="ACF97" s="18"/>
      <c r="ACG97" s="18"/>
      <c r="ACH97" s="18"/>
      <c r="ACI97" s="18"/>
      <c r="ACJ97" s="18"/>
      <c r="ACK97" s="18"/>
      <c r="ACL97" s="18"/>
      <c r="ACM97" s="18"/>
      <c r="ACN97" s="18"/>
      <c r="ACO97" s="18"/>
      <c r="ACP97" s="18"/>
      <c r="ACQ97" s="18"/>
      <c r="ACR97" s="18"/>
      <c r="ACS97" s="18"/>
      <c r="ACT97" s="18"/>
      <c r="ACU97" s="18"/>
      <c r="ACV97" s="18"/>
      <c r="ACW97" s="18"/>
      <c r="ACX97" s="18"/>
      <c r="ACY97" s="18"/>
      <c r="ACZ97" s="18"/>
      <c r="ADA97" s="18"/>
      <c r="ADB97" s="18"/>
      <c r="ADC97" s="18"/>
      <c r="ADD97" s="18"/>
      <c r="ADE97" s="18"/>
      <c r="ADF97" s="18"/>
      <c r="ADG97" s="18"/>
      <c r="ADH97" s="18"/>
      <c r="ADI97" s="18"/>
      <c r="ADJ97" s="18"/>
      <c r="ADK97" s="18"/>
      <c r="ADL97" s="18"/>
      <c r="ADM97" s="18"/>
      <c r="ADN97" s="18"/>
      <c r="ADO97" s="18"/>
      <c r="ADP97" s="18"/>
      <c r="ADQ97" s="18"/>
      <c r="ADR97" s="18"/>
      <c r="ADS97" s="18"/>
      <c r="ADT97" s="18"/>
      <c r="ADU97" s="18"/>
      <c r="ADV97" s="18"/>
      <c r="ADW97" s="18"/>
      <c r="ADX97" s="18"/>
      <c r="ADY97" s="18"/>
      <c r="ADZ97" s="18"/>
      <c r="AEA97" s="18"/>
      <c r="AEB97" s="18"/>
      <c r="AEC97" s="18"/>
      <c r="AED97" s="18"/>
      <c r="AEE97" s="18"/>
      <c r="AEF97" s="18"/>
      <c r="AEG97" s="18"/>
      <c r="AEH97" s="18"/>
      <c r="AEI97" s="18"/>
      <c r="AEJ97" s="18"/>
      <c r="AEK97" s="18"/>
      <c r="AEL97" s="18"/>
      <c r="AEM97" s="18"/>
      <c r="AEN97" s="18"/>
      <c r="AEO97" s="18"/>
      <c r="AEP97" s="18"/>
      <c r="AEQ97" s="18"/>
      <c r="AER97" s="18"/>
      <c r="AES97" s="18"/>
      <c r="AET97" s="18"/>
      <c r="AEU97" s="18"/>
      <c r="AEV97" s="18"/>
      <c r="AEW97" s="18"/>
      <c r="AEX97" s="18"/>
      <c r="AEY97" s="18"/>
      <c r="AEZ97" s="18"/>
      <c r="AFA97" s="18"/>
      <c r="AFB97" s="18"/>
      <c r="AFC97" s="18"/>
      <c r="AFD97" s="18"/>
      <c r="AFE97" s="18"/>
      <c r="AFF97" s="18"/>
      <c r="AFG97" s="18"/>
      <c r="AFH97" s="18"/>
      <c r="AFI97" s="18"/>
      <c r="AFJ97" s="18"/>
      <c r="AFK97" s="18"/>
      <c r="AFL97" s="18"/>
      <c r="AFM97" s="18"/>
      <c r="AFN97" s="18"/>
      <c r="AFO97" s="18"/>
      <c r="AFP97" s="18"/>
      <c r="AFQ97" s="18"/>
      <c r="AFR97" s="18"/>
      <c r="AFS97" s="18"/>
      <c r="AFT97" s="18"/>
      <c r="AFU97" s="18"/>
      <c r="AFV97" s="18"/>
      <c r="AFW97" s="18"/>
      <c r="AFX97" s="18"/>
      <c r="AFY97" s="18"/>
      <c r="AFZ97" s="18"/>
      <c r="AGA97" s="18"/>
      <c r="AGB97" s="18"/>
      <c r="AGC97" s="18"/>
      <c r="AGD97" s="18"/>
      <c r="AGE97" s="18"/>
      <c r="AGF97" s="18"/>
      <c r="AGG97" s="18"/>
      <c r="AGH97" s="18"/>
      <c r="AGI97" s="18"/>
      <c r="AGJ97" s="18"/>
      <c r="AGK97" s="18"/>
      <c r="AGL97" s="18"/>
      <c r="AGM97" s="18"/>
      <c r="AGN97" s="18"/>
      <c r="AGO97" s="18"/>
      <c r="AGP97" s="18"/>
      <c r="AGQ97" s="18"/>
      <c r="AGR97" s="18"/>
      <c r="AGS97" s="18"/>
      <c r="AGT97" s="18"/>
      <c r="AGU97" s="18"/>
      <c r="AGV97" s="18"/>
      <c r="AGW97" s="18"/>
      <c r="AGX97" s="18"/>
      <c r="AGY97" s="18"/>
      <c r="AGZ97" s="18"/>
      <c r="AHA97" s="18"/>
      <c r="AHB97" s="18"/>
      <c r="AHC97" s="18"/>
      <c r="AHD97" s="18"/>
      <c r="AHE97" s="18"/>
      <c r="AHF97" s="18"/>
      <c r="AHG97" s="18"/>
      <c r="AHH97" s="18"/>
      <c r="AHI97" s="18"/>
      <c r="AHJ97" s="18"/>
      <c r="AHK97" s="18"/>
      <c r="AHL97" s="18"/>
      <c r="AHM97" s="18"/>
      <c r="AHN97" s="18"/>
      <c r="AHO97" s="18"/>
      <c r="AHP97" s="18"/>
      <c r="AHQ97" s="18"/>
      <c r="AHR97" s="18"/>
      <c r="AHS97" s="18"/>
      <c r="AHT97" s="18"/>
      <c r="AHU97" s="18"/>
      <c r="AHV97" s="18"/>
      <c r="AHW97" s="18"/>
      <c r="AHX97" s="18"/>
      <c r="AHY97" s="18"/>
      <c r="AHZ97" s="18"/>
      <c r="AIA97" s="18"/>
      <c r="AIB97" s="18"/>
      <c r="AIC97" s="18"/>
      <c r="AID97" s="18"/>
      <c r="AIE97" s="18"/>
      <c r="AIF97" s="18"/>
      <c r="AIG97" s="18"/>
      <c r="AIH97" s="18"/>
      <c r="AII97" s="18"/>
      <c r="AIJ97" s="18"/>
      <c r="AIK97" s="18"/>
      <c r="AIL97" s="18"/>
      <c r="AIM97" s="18"/>
      <c r="AIN97" s="18"/>
      <c r="AIO97" s="18"/>
      <c r="AIP97" s="18"/>
      <c r="AIQ97" s="18"/>
      <c r="AIR97" s="18"/>
      <c r="AIS97" s="18"/>
      <c r="AIT97" s="18"/>
      <c r="AIU97" s="18"/>
      <c r="AIV97" s="18"/>
      <c r="AIW97" s="18"/>
      <c r="AIX97" s="18"/>
      <c r="AIY97" s="18"/>
      <c r="AIZ97" s="18"/>
      <c r="AJA97" s="18"/>
      <c r="AJB97" s="18"/>
      <c r="AJC97" s="18"/>
      <c r="AJD97" s="18"/>
      <c r="AJE97" s="18"/>
      <c r="AJF97" s="18"/>
      <c r="AJG97" s="18"/>
      <c r="AJH97" s="18"/>
      <c r="AJI97" s="18"/>
      <c r="AJJ97" s="18"/>
      <c r="AJK97" s="18"/>
      <c r="AJL97" s="18"/>
      <c r="AJM97" s="18"/>
      <c r="AJN97" s="18"/>
      <c r="AJO97" s="18"/>
      <c r="AJP97" s="18"/>
      <c r="AJQ97" s="18"/>
      <c r="AJR97" s="18"/>
      <c r="AJS97" s="18"/>
      <c r="AJT97" s="18"/>
      <c r="AJU97" s="18"/>
      <c r="AJV97" s="18"/>
      <c r="AJW97" s="18"/>
      <c r="AJX97" s="18"/>
      <c r="AJY97" s="18"/>
      <c r="AJZ97" s="18"/>
      <c r="AKA97" s="18"/>
      <c r="AKB97" s="18"/>
      <c r="AKC97" s="18"/>
      <c r="AKD97" s="18"/>
      <c r="AKE97" s="18"/>
      <c r="AKF97" s="18"/>
      <c r="AKG97" s="18"/>
      <c r="AKH97" s="18"/>
      <c r="AKI97" s="18"/>
      <c r="AKJ97" s="18"/>
      <c r="AKK97" s="18"/>
      <c r="AKL97" s="18"/>
      <c r="AKM97" s="18"/>
      <c r="AKN97" s="18"/>
      <c r="AKO97" s="18"/>
      <c r="AKP97" s="18"/>
      <c r="AKQ97" s="18"/>
      <c r="AKR97" s="18"/>
      <c r="AKS97" s="18"/>
      <c r="AKT97" s="18"/>
      <c r="AKU97" s="18"/>
      <c r="AKV97" s="18"/>
      <c r="AKW97" s="18"/>
      <c r="AKX97" s="18"/>
      <c r="AKY97" s="18"/>
      <c r="AKZ97" s="18"/>
      <c r="ALA97" s="18"/>
      <c r="ALB97" s="18"/>
      <c r="ALC97" s="18"/>
      <c r="ALD97" s="18"/>
      <c r="ALE97" s="18"/>
      <c r="ALF97" s="18"/>
      <c r="ALG97" s="18"/>
      <c r="ALH97" s="18"/>
      <c r="ALI97" s="18"/>
      <c r="ALJ97" s="18"/>
      <c r="ALK97" s="18"/>
      <c r="ALL97" s="18"/>
      <c r="ALM97" s="18"/>
      <c r="ALN97" s="18"/>
      <c r="ALO97" s="18"/>
      <c r="ALP97" s="18"/>
      <c r="ALQ97" s="18"/>
      <c r="ALR97" s="18"/>
      <c r="ALS97" s="18"/>
      <c r="ALT97" s="18"/>
      <c r="ALU97" s="18"/>
      <c r="ALV97" s="18"/>
      <c r="ALW97" s="18"/>
      <c r="ALX97" s="18"/>
      <c r="ALY97" s="18"/>
      <c r="ALZ97" s="18"/>
      <c r="AMA97" s="18"/>
      <c r="AMB97" s="18"/>
      <c r="AMC97" s="18"/>
      <c r="AMD97" s="18"/>
      <c r="AME97" s="18"/>
      <c r="AMF97" s="18"/>
      <c r="AMG97" s="18"/>
      <c r="AMH97" s="18"/>
    </row>
    <row r="98" spans="1:1022" s="23" customFormat="1" x14ac:dyDescent="0.3">
      <c r="A98" s="33">
        <v>194</v>
      </c>
      <c r="B98" s="19"/>
      <c r="C98" s="19"/>
      <c r="D98" s="34" t="s">
        <v>367</v>
      </c>
      <c r="E98" s="34" t="s">
        <v>517</v>
      </c>
      <c r="F98" s="19"/>
      <c r="G98" s="19"/>
      <c r="H98" s="38" t="s">
        <v>281</v>
      </c>
      <c r="I98" s="31"/>
      <c r="J98" s="31"/>
      <c r="K98" s="31"/>
      <c r="L98" s="31"/>
      <c r="M98" s="32"/>
      <c r="N98" s="32"/>
      <c r="O98" s="18"/>
      <c r="P98" s="36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18"/>
      <c r="BK98" s="18"/>
      <c r="BL98" s="18"/>
      <c r="BM98" s="18"/>
      <c r="BN98" s="18"/>
      <c r="BO98" s="18"/>
      <c r="BP98" s="18"/>
      <c r="BQ98" s="18"/>
      <c r="BR98" s="18"/>
      <c r="BS98" s="18"/>
      <c r="BT98" s="18"/>
      <c r="BU98" s="18"/>
      <c r="BV98" s="18"/>
      <c r="BW98" s="18"/>
      <c r="BX98" s="18"/>
      <c r="BY98" s="18"/>
      <c r="BZ98" s="18"/>
      <c r="CA98" s="18"/>
      <c r="CB98" s="18"/>
      <c r="CC98" s="18"/>
      <c r="CD98" s="18"/>
      <c r="CE98" s="18"/>
      <c r="CF98" s="18"/>
      <c r="CG98" s="18"/>
      <c r="CH98" s="18"/>
      <c r="CI98" s="18"/>
      <c r="CJ98" s="18"/>
      <c r="CK98" s="18"/>
      <c r="CL98" s="18"/>
      <c r="CM98" s="18"/>
      <c r="CN98" s="18"/>
      <c r="CO98" s="18"/>
      <c r="CP98" s="18"/>
      <c r="CQ98" s="18"/>
      <c r="CR98" s="18"/>
      <c r="CS98" s="18"/>
      <c r="CT98" s="18"/>
      <c r="CU98" s="18"/>
      <c r="CV98" s="18"/>
      <c r="CW98" s="18"/>
      <c r="CX98" s="18"/>
      <c r="CY98" s="18"/>
      <c r="CZ98" s="18"/>
      <c r="DA98" s="18"/>
      <c r="DB98" s="18"/>
      <c r="DC98" s="18"/>
      <c r="DD98" s="18"/>
      <c r="DE98" s="18"/>
      <c r="DF98" s="18"/>
      <c r="DG98" s="18"/>
      <c r="DH98" s="18"/>
      <c r="DI98" s="18"/>
      <c r="DJ98" s="18"/>
      <c r="DK98" s="18"/>
      <c r="DL98" s="18"/>
      <c r="DM98" s="18"/>
      <c r="DN98" s="18"/>
      <c r="DO98" s="18"/>
      <c r="DP98" s="18"/>
      <c r="DQ98" s="18"/>
      <c r="DR98" s="18"/>
      <c r="DS98" s="18"/>
      <c r="DT98" s="18"/>
      <c r="DU98" s="18"/>
      <c r="DV98" s="18"/>
      <c r="DW98" s="18"/>
      <c r="DX98" s="18"/>
      <c r="DY98" s="18"/>
      <c r="DZ98" s="18"/>
      <c r="EA98" s="18"/>
      <c r="EB98" s="18"/>
      <c r="EC98" s="18"/>
      <c r="ED98" s="18"/>
      <c r="EE98" s="18"/>
      <c r="EF98" s="18"/>
      <c r="EG98" s="18"/>
      <c r="EH98" s="18"/>
      <c r="EI98" s="18"/>
      <c r="EJ98" s="18"/>
      <c r="EK98" s="18"/>
      <c r="EL98" s="18"/>
      <c r="EM98" s="18"/>
      <c r="EN98" s="18"/>
      <c r="EO98" s="18"/>
      <c r="EP98" s="18"/>
      <c r="EQ98" s="18"/>
      <c r="ER98" s="18"/>
      <c r="ES98" s="18"/>
      <c r="ET98" s="18"/>
      <c r="EU98" s="18"/>
      <c r="EV98" s="18"/>
      <c r="EW98" s="18"/>
      <c r="EX98" s="18"/>
      <c r="EY98" s="18"/>
      <c r="EZ98" s="18"/>
      <c r="FA98" s="18"/>
      <c r="FB98" s="18"/>
      <c r="FC98" s="18"/>
      <c r="FD98" s="18"/>
      <c r="FE98" s="18"/>
      <c r="FF98" s="18"/>
      <c r="FG98" s="18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  <c r="FV98" s="18"/>
      <c r="FW98" s="18"/>
      <c r="FX98" s="18"/>
      <c r="FY98" s="18"/>
      <c r="FZ98" s="18"/>
      <c r="GA98" s="18"/>
      <c r="GB98" s="18"/>
      <c r="GC98" s="18"/>
      <c r="GD98" s="18"/>
      <c r="GE98" s="18"/>
      <c r="GF98" s="18"/>
      <c r="GG98" s="18"/>
      <c r="GH98" s="18"/>
      <c r="GI98" s="18"/>
      <c r="GJ98" s="18"/>
      <c r="GK98" s="18"/>
      <c r="GL98" s="18"/>
      <c r="GM98" s="18"/>
      <c r="GN98" s="18"/>
      <c r="GO98" s="18"/>
      <c r="GP98" s="18"/>
      <c r="GQ98" s="18"/>
      <c r="GR98" s="18"/>
      <c r="GS98" s="18"/>
      <c r="GT98" s="18"/>
      <c r="GU98" s="18"/>
      <c r="GV98" s="18"/>
      <c r="GW98" s="18"/>
      <c r="GX98" s="18"/>
      <c r="GY98" s="18"/>
      <c r="GZ98" s="18"/>
      <c r="HA98" s="18"/>
      <c r="HB98" s="18"/>
      <c r="HC98" s="18"/>
      <c r="HD98" s="18"/>
      <c r="HE98" s="18"/>
      <c r="HF98" s="18"/>
      <c r="HG98" s="18"/>
      <c r="HH98" s="18"/>
      <c r="HI98" s="18"/>
      <c r="HJ98" s="18"/>
      <c r="HK98" s="18"/>
      <c r="HL98" s="18"/>
      <c r="HM98" s="18"/>
      <c r="HN98" s="18"/>
      <c r="HO98" s="18"/>
      <c r="HP98" s="18"/>
      <c r="HQ98" s="18"/>
      <c r="HR98" s="18"/>
      <c r="HS98" s="18"/>
      <c r="HT98" s="18"/>
      <c r="HU98" s="18"/>
      <c r="HV98" s="18"/>
      <c r="HW98" s="18"/>
      <c r="HX98" s="18"/>
      <c r="HY98" s="18"/>
      <c r="HZ98" s="18"/>
      <c r="IA98" s="18"/>
      <c r="IB98" s="18"/>
      <c r="IC98" s="18"/>
      <c r="ID98" s="18"/>
      <c r="IE98" s="18"/>
      <c r="IF98" s="18"/>
      <c r="IG98" s="18"/>
      <c r="IH98" s="18"/>
      <c r="II98" s="18"/>
      <c r="IJ98" s="18"/>
      <c r="IK98" s="18"/>
      <c r="IL98" s="18"/>
      <c r="IM98" s="18"/>
      <c r="IN98" s="18"/>
      <c r="IO98" s="18"/>
      <c r="IP98" s="18"/>
      <c r="IQ98" s="18"/>
      <c r="IR98" s="18"/>
      <c r="IS98" s="18"/>
      <c r="IT98" s="18"/>
      <c r="IU98" s="18"/>
      <c r="IV98" s="18"/>
      <c r="IW98" s="18"/>
      <c r="IX98" s="18"/>
      <c r="IY98" s="18"/>
      <c r="IZ98" s="18"/>
      <c r="JA98" s="18"/>
      <c r="JB98" s="18"/>
      <c r="JC98" s="18"/>
      <c r="JD98" s="18"/>
      <c r="JE98" s="18"/>
      <c r="JF98" s="18"/>
      <c r="JG98" s="18"/>
      <c r="JH98" s="18"/>
      <c r="JI98" s="18"/>
      <c r="JJ98" s="18"/>
      <c r="JK98" s="18"/>
      <c r="JL98" s="18"/>
      <c r="JM98" s="18"/>
      <c r="JN98" s="18"/>
      <c r="JO98" s="18"/>
      <c r="JP98" s="18"/>
      <c r="JQ98" s="18"/>
      <c r="JR98" s="18"/>
      <c r="JS98" s="18"/>
      <c r="JT98" s="18"/>
      <c r="JU98" s="18"/>
      <c r="JV98" s="18"/>
      <c r="JW98" s="18"/>
      <c r="JX98" s="18"/>
      <c r="JY98" s="18"/>
      <c r="JZ98" s="18"/>
      <c r="KA98" s="18"/>
      <c r="KB98" s="18"/>
      <c r="KC98" s="18"/>
      <c r="KD98" s="18"/>
      <c r="KE98" s="18"/>
      <c r="KF98" s="18"/>
      <c r="KG98" s="18"/>
      <c r="KH98" s="18"/>
      <c r="KI98" s="18"/>
      <c r="KJ98" s="18"/>
      <c r="KK98" s="18"/>
      <c r="KL98" s="18"/>
      <c r="KM98" s="18"/>
      <c r="KN98" s="18"/>
      <c r="KO98" s="18"/>
      <c r="KP98" s="18"/>
      <c r="KQ98" s="18"/>
      <c r="KR98" s="18"/>
      <c r="KS98" s="18"/>
      <c r="KT98" s="18"/>
      <c r="KU98" s="18"/>
      <c r="KV98" s="18"/>
      <c r="KW98" s="18"/>
      <c r="KX98" s="18"/>
      <c r="KY98" s="18"/>
      <c r="KZ98" s="18"/>
      <c r="LA98" s="18"/>
      <c r="LB98" s="18"/>
      <c r="LC98" s="18"/>
      <c r="LD98" s="18"/>
      <c r="LE98" s="18"/>
      <c r="LF98" s="18"/>
      <c r="LG98" s="18"/>
      <c r="LH98" s="18"/>
      <c r="LI98" s="18"/>
      <c r="LJ98" s="18"/>
      <c r="LK98" s="18"/>
      <c r="LL98" s="18"/>
      <c r="LM98" s="18"/>
      <c r="LN98" s="18"/>
      <c r="LO98" s="18"/>
      <c r="LP98" s="18"/>
      <c r="LQ98" s="18"/>
      <c r="LR98" s="18"/>
      <c r="LS98" s="18"/>
      <c r="LT98" s="18"/>
      <c r="LU98" s="18"/>
      <c r="LV98" s="18"/>
      <c r="LW98" s="18"/>
      <c r="LX98" s="18"/>
      <c r="LY98" s="18"/>
      <c r="LZ98" s="18"/>
      <c r="MA98" s="18"/>
      <c r="MB98" s="18"/>
      <c r="MC98" s="18"/>
      <c r="MD98" s="18"/>
      <c r="ME98" s="18"/>
      <c r="MF98" s="18"/>
      <c r="MG98" s="18"/>
      <c r="MH98" s="18"/>
      <c r="MI98" s="18"/>
      <c r="MJ98" s="18"/>
      <c r="MK98" s="18"/>
      <c r="ML98" s="18"/>
      <c r="MM98" s="18"/>
      <c r="MN98" s="18"/>
      <c r="MO98" s="18"/>
      <c r="MP98" s="18"/>
      <c r="MQ98" s="18"/>
      <c r="MR98" s="18"/>
      <c r="MS98" s="18"/>
      <c r="MT98" s="18"/>
      <c r="MU98" s="18"/>
      <c r="MV98" s="18"/>
      <c r="MW98" s="18"/>
      <c r="MX98" s="18"/>
      <c r="MY98" s="18"/>
      <c r="MZ98" s="18"/>
      <c r="NA98" s="18"/>
      <c r="NB98" s="18"/>
      <c r="NC98" s="18"/>
      <c r="ND98" s="18"/>
      <c r="NE98" s="18"/>
      <c r="NF98" s="18"/>
      <c r="NG98" s="18"/>
      <c r="NH98" s="18"/>
      <c r="NI98" s="18"/>
      <c r="NJ98" s="18"/>
      <c r="NK98" s="18"/>
      <c r="NL98" s="18"/>
      <c r="NM98" s="18"/>
      <c r="NN98" s="18"/>
      <c r="NO98" s="18"/>
      <c r="NP98" s="18"/>
      <c r="NQ98" s="18"/>
      <c r="NR98" s="18"/>
      <c r="NS98" s="18"/>
      <c r="NT98" s="18"/>
      <c r="NU98" s="18"/>
      <c r="NV98" s="18"/>
      <c r="NW98" s="18"/>
      <c r="NX98" s="18"/>
      <c r="NY98" s="18"/>
      <c r="NZ98" s="18"/>
      <c r="OA98" s="18"/>
      <c r="OB98" s="18"/>
      <c r="OC98" s="18"/>
      <c r="OD98" s="18"/>
      <c r="OE98" s="18"/>
      <c r="OF98" s="18"/>
      <c r="OG98" s="18"/>
      <c r="OH98" s="18"/>
      <c r="OI98" s="18"/>
      <c r="OJ98" s="18"/>
      <c r="OK98" s="18"/>
      <c r="OL98" s="18"/>
      <c r="OM98" s="18"/>
      <c r="ON98" s="18"/>
      <c r="OO98" s="18"/>
      <c r="OP98" s="18"/>
      <c r="OQ98" s="18"/>
      <c r="OR98" s="18"/>
      <c r="OS98" s="18"/>
      <c r="OT98" s="18"/>
      <c r="OU98" s="18"/>
      <c r="OV98" s="18"/>
      <c r="OW98" s="18"/>
      <c r="OX98" s="18"/>
      <c r="OY98" s="18"/>
      <c r="OZ98" s="18"/>
      <c r="PA98" s="18"/>
      <c r="PB98" s="18"/>
      <c r="PC98" s="18"/>
      <c r="PD98" s="18"/>
      <c r="PE98" s="18"/>
      <c r="PF98" s="18"/>
      <c r="PG98" s="18"/>
      <c r="PH98" s="18"/>
      <c r="PI98" s="18"/>
      <c r="PJ98" s="18"/>
      <c r="PK98" s="18"/>
      <c r="PL98" s="18"/>
      <c r="PM98" s="18"/>
      <c r="PN98" s="18"/>
      <c r="PO98" s="18"/>
      <c r="PP98" s="18"/>
      <c r="PQ98" s="18"/>
      <c r="PR98" s="18"/>
      <c r="PS98" s="18"/>
      <c r="PT98" s="18"/>
      <c r="PU98" s="18"/>
      <c r="PV98" s="18"/>
      <c r="PW98" s="18"/>
      <c r="PX98" s="18"/>
      <c r="PY98" s="18"/>
      <c r="PZ98" s="18"/>
      <c r="QA98" s="18"/>
      <c r="QB98" s="18"/>
      <c r="QC98" s="18"/>
      <c r="QD98" s="18"/>
      <c r="QE98" s="18"/>
      <c r="QF98" s="18"/>
      <c r="QG98" s="18"/>
      <c r="QH98" s="18"/>
      <c r="QI98" s="18"/>
      <c r="QJ98" s="18"/>
      <c r="QK98" s="18"/>
      <c r="QL98" s="18"/>
      <c r="QM98" s="18"/>
      <c r="QN98" s="18"/>
      <c r="QO98" s="18"/>
      <c r="QP98" s="18"/>
      <c r="QQ98" s="18"/>
      <c r="QR98" s="18"/>
      <c r="QS98" s="18"/>
      <c r="QT98" s="18"/>
      <c r="QU98" s="18"/>
      <c r="QV98" s="18"/>
      <c r="QW98" s="18"/>
      <c r="QX98" s="18"/>
      <c r="QY98" s="18"/>
      <c r="QZ98" s="18"/>
      <c r="RA98" s="18"/>
      <c r="RB98" s="18"/>
      <c r="RC98" s="18"/>
      <c r="RD98" s="18"/>
      <c r="RE98" s="18"/>
      <c r="RF98" s="18"/>
      <c r="RG98" s="18"/>
      <c r="RH98" s="18"/>
      <c r="RI98" s="18"/>
      <c r="RJ98" s="18"/>
      <c r="RK98" s="18"/>
      <c r="RL98" s="18"/>
      <c r="RM98" s="18"/>
      <c r="RN98" s="18"/>
      <c r="RO98" s="18"/>
      <c r="RP98" s="18"/>
      <c r="RQ98" s="18"/>
      <c r="RR98" s="18"/>
      <c r="RS98" s="18"/>
      <c r="RT98" s="18"/>
      <c r="RU98" s="18"/>
      <c r="RV98" s="18"/>
      <c r="RW98" s="18"/>
      <c r="RX98" s="18"/>
      <c r="RY98" s="18"/>
      <c r="RZ98" s="18"/>
      <c r="SA98" s="18"/>
      <c r="SB98" s="18"/>
      <c r="SC98" s="18"/>
      <c r="SD98" s="18"/>
      <c r="SE98" s="18"/>
      <c r="SF98" s="18"/>
      <c r="SG98" s="18"/>
      <c r="SH98" s="18"/>
      <c r="SI98" s="18"/>
      <c r="SJ98" s="18"/>
      <c r="SK98" s="18"/>
      <c r="SL98" s="18"/>
      <c r="SM98" s="18"/>
      <c r="SN98" s="18"/>
      <c r="SO98" s="18"/>
      <c r="SP98" s="18"/>
      <c r="SQ98" s="18"/>
      <c r="SR98" s="18"/>
      <c r="SS98" s="18"/>
      <c r="ST98" s="18"/>
      <c r="SU98" s="18"/>
      <c r="SV98" s="18"/>
      <c r="SW98" s="18"/>
      <c r="SX98" s="18"/>
      <c r="SY98" s="18"/>
      <c r="SZ98" s="18"/>
      <c r="TA98" s="18"/>
      <c r="TB98" s="18"/>
      <c r="TC98" s="18"/>
      <c r="TD98" s="18"/>
      <c r="TE98" s="18"/>
      <c r="TF98" s="18"/>
      <c r="TG98" s="18"/>
      <c r="TH98" s="18"/>
      <c r="TI98" s="18"/>
      <c r="TJ98" s="18"/>
      <c r="TK98" s="18"/>
      <c r="TL98" s="18"/>
      <c r="TM98" s="18"/>
      <c r="TN98" s="18"/>
      <c r="TO98" s="18"/>
      <c r="TP98" s="18"/>
      <c r="TQ98" s="18"/>
      <c r="TR98" s="18"/>
      <c r="TS98" s="18"/>
      <c r="TT98" s="18"/>
      <c r="TU98" s="18"/>
      <c r="TV98" s="18"/>
      <c r="TW98" s="18"/>
      <c r="TX98" s="18"/>
      <c r="TY98" s="18"/>
      <c r="TZ98" s="18"/>
      <c r="UA98" s="18"/>
      <c r="UB98" s="18"/>
      <c r="UC98" s="18"/>
      <c r="UD98" s="18"/>
      <c r="UE98" s="18"/>
      <c r="UF98" s="18"/>
      <c r="UG98" s="18"/>
      <c r="UH98" s="18"/>
      <c r="UI98" s="18"/>
      <c r="UJ98" s="18"/>
      <c r="UK98" s="18"/>
      <c r="UL98" s="18"/>
      <c r="UM98" s="18"/>
      <c r="UN98" s="18"/>
      <c r="UO98" s="18"/>
      <c r="UP98" s="18"/>
      <c r="UQ98" s="18"/>
      <c r="UR98" s="18"/>
      <c r="US98" s="18"/>
      <c r="UT98" s="18"/>
      <c r="UU98" s="18"/>
      <c r="UV98" s="18"/>
      <c r="UW98" s="18"/>
      <c r="UX98" s="18"/>
      <c r="UY98" s="18"/>
      <c r="UZ98" s="18"/>
      <c r="VA98" s="18"/>
      <c r="VB98" s="18"/>
      <c r="VC98" s="18"/>
      <c r="VD98" s="18"/>
      <c r="VE98" s="18"/>
      <c r="VF98" s="18"/>
      <c r="VG98" s="18"/>
      <c r="VH98" s="18"/>
      <c r="VI98" s="18"/>
      <c r="VJ98" s="18"/>
      <c r="VK98" s="18"/>
      <c r="VL98" s="18"/>
      <c r="VM98" s="18"/>
      <c r="VN98" s="18"/>
      <c r="VO98" s="18"/>
      <c r="VP98" s="18"/>
      <c r="VQ98" s="18"/>
      <c r="VR98" s="18"/>
      <c r="VS98" s="18"/>
      <c r="VT98" s="18"/>
      <c r="VU98" s="18"/>
      <c r="VV98" s="18"/>
      <c r="VW98" s="18"/>
      <c r="VX98" s="18"/>
      <c r="VY98" s="18"/>
      <c r="VZ98" s="18"/>
      <c r="WA98" s="18"/>
      <c r="WB98" s="18"/>
      <c r="WC98" s="18"/>
      <c r="WD98" s="18"/>
      <c r="WE98" s="18"/>
      <c r="WF98" s="18"/>
      <c r="WG98" s="18"/>
      <c r="WH98" s="18"/>
      <c r="WI98" s="18"/>
      <c r="WJ98" s="18"/>
      <c r="WK98" s="18"/>
      <c r="WL98" s="18"/>
      <c r="WM98" s="18"/>
      <c r="WN98" s="18"/>
      <c r="WO98" s="18"/>
      <c r="WP98" s="18"/>
      <c r="WQ98" s="18"/>
      <c r="WR98" s="18"/>
      <c r="WS98" s="18"/>
      <c r="WT98" s="18"/>
      <c r="WU98" s="18"/>
      <c r="WV98" s="18"/>
      <c r="WW98" s="18"/>
      <c r="WX98" s="18"/>
      <c r="WY98" s="18"/>
      <c r="WZ98" s="18"/>
      <c r="XA98" s="18"/>
      <c r="XB98" s="18"/>
      <c r="XC98" s="18"/>
      <c r="XD98" s="18"/>
      <c r="XE98" s="18"/>
      <c r="XF98" s="18"/>
      <c r="XG98" s="18"/>
      <c r="XH98" s="18"/>
      <c r="XI98" s="18"/>
      <c r="XJ98" s="18"/>
      <c r="XK98" s="18"/>
      <c r="XL98" s="18"/>
      <c r="XM98" s="18"/>
      <c r="XN98" s="18"/>
      <c r="XO98" s="18"/>
      <c r="XP98" s="18"/>
      <c r="XQ98" s="18"/>
      <c r="XR98" s="18"/>
      <c r="XS98" s="18"/>
      <c r="XT98" s="18"/>
      <c r="XU98" s="18"/>
      <c r="XV98" s="18"/>
      <c r="XW98" s="18"/>
      <c r="XX98" s="18"/>
      <c r="XY98" s="18"/>
      <c r="XZ98" s="18"/>
      <c r="YA98" s="18"/>
      <c r="YB98" s="18"/>
      <c r="YC98" s="18"/>
      <c r="YD98" s="18"/>
      <c r="YE98" s="18"/>
      <c r="YF98" s="18"/>
      <c r="YG98" s="18"/>
      <c r="YH98" s="18"/>
      <c r="YI98" s="18"/>
      <c r="YJ98" s="18"/>
      <c r="YK98" s="18"/>
      <c r="YL98" s="18"/>
      <c r="YM98" s="18"/>
      <c r="YN98" s="18"/>
      <c r="YO98" s="18"/>
      <c r="YP98" s="18"/>
      <c r="YQ98" s="18"/>
      <c r="YR98" s="18"/>
      <c r="YS98" s="18"/>
      <c r="YT98" s="18"/>
      <c r="YU98" s="18"/>
      <c r="YV98" s="18"/>
      <c r="YW98" s="18"/>
      <c r="YX98" s="18"/>
      <c r="YY98" s="18"/>
      <c r="YZ98" s="18"/>
      <c r="ZA98" s="18"/>
      <c r="ZB98" s="18"/>
      <c r="ZC98" s="18"/>
      <c r="ZD98" s="18"/>
      <c r="ZE98" s="18"/>
      <c r="ZF98" s="18"/>
      <c r="ZG98" s="18"/>
      <c r="ZH98" s="18"/>
      <c r="ZI98" s="18"/>
      <c r="ZJ98" s="18"/>
      <c r="ZK98" s="18"/>
      <c r="ZL98" s="18"/>
      <c r="ZM98" s="18"/>
      <c r="ZN98" s="18"/>
      <c r="ZO98" s="18"/>
      <c r="ZP98" s="18"/>
      <c r="ZQ98" s="18"/>
      <c r="ZR98" s="18"/>
      <c r="ZS98" s="18"/>
      <c r="ZT98" s="18"/>
      <c r="ZU98" s="18"/>
      <c r="ZV98" s="18"/>
      <c r="ZW98" s="18"/>
      <c r="ZX98" s="18"/>
      <c r="ZY98" s="18"/>
      <c r="ZZ98" s="18"/>
      <c r="AAA98" s="18"/>
      <c r="AAB98" s="18"/>
      <c r="AAC98" s="18"/>
      <c r="AAD98" s="18"/>
      <c r="AAE98" s="18"/>
      <c r="AAF98" s="18"/>
      <c r="AAG98" s="18"/>
      <c r="AAH98" s="18"/>
      <c r="AAI98" s="18"/>
      <c r="AAJ98" s="18"/>
      <c r="AAK98" s="18"/>
      <c r="AAL98" s="18"/>
      <c r="AAM98" s="18"/>
      <c r="AAN98" s="18"/>
      <c r="AAO98" s="18"/>
      <c r="AAP98" s="18"/>
      <c r="AAQ98" s="18"/>
      <c r="AAR98" s="18"/>
      <c r="AAS98" s="18"/>
      <c r="AAT98" s="18"/>
      <c r="AAU98" s="18"/>
      <c r="AAV98" s="18"/>
      <c r="AAW98" s="18"/>
      <c r="AAX98" s="18"/>
      <c r="AAY98" s="18"/>
      <c r="AAZ98" s="18"/>
      <c r="ABA98" s="18"/>
      <c r="ABB98" s="18"/>
      <c r="ABC98" s="18"/>
      <c r="ABD98" s="18"/>
      <c r="ABE98" s="18"/>
      <c r="ABF98" s="18"/>
      <c r="ABG98" s="18"/>
      <c r="ABH98" s="18"/>
      <c r="ABI98" s="18"/>
      <c r="ABJ98" s="18"/>
      <c r="ABK98" s="18"/>
      <c r="ABL98" s="18"/>
      <c r="ABM98" s="18"/>
      <c r="ABN98" s="18"/>
      <c r="ABO98" s="18"/>
      <c r="ABP98" s="18"/>
      <c r="ABQ98" s="18"/>
      <c r="ABR98" s="18"/>
      <c r="ABS98" s="18"/>
      <c r="ABT98" s="18"/>
      <c r="ABU98" s="18"/>
      <c r="ABV98" s="18"/>
      <c r="ABW98" s="18"/>
      <c r="ABX98" s="18"/>
      <c r="ABY98" s="18"/>
      <c r="ABZ98" s="18"/>
      <c r="ACA98" s="18"/>
      <c r="ACB98" s="18"/>
      <c r="ACC98" s="18"/>
      <c r="ACD98" s="18"/>
      <c r="ACE98" s="18"/>
      <c r="ACF98" s="18"/>
      <c r="ACG98" s="18"/>
      <c r="ACH98" s="18"/>
      <c r="ACI98" s="18"/>
      <c r="ACJ98" s="18"/>
      <c r="ACK98" s="18"/>
      <c r="ACL98" s="18"/>
      <c r="ACM98" s="18"/>
      <c r="ACN98" s="18"/>
      <c r="ACO98" s="18"/>
      <c r="ACP98" s="18"/>
      <c r="ACQ98" s="18"/>
      <c r="ACR98" s="18"/>
      <c r="ACS98" s="18"/>
      <c r="ACT98" s="18"/>
      <c r="ACU98" s="18"/>
      <c r="ACV98" s="18"/>
      <c r="ACW98" s="18"/>
      <c r="ACX98" s="18"/>
      <c r="ACY98" s="18"/>
      <c r="ACZ98" s="18"/>
      <c r="ADA98" s="18"/>
      <c r="ADB98" s="18"/>
      <c r="ADC98" s="18"/>
      <c r="ADD98" s="18"/>
      <c r="ADE98" s="18"/>
      <c r="ADF98" s="18"/>
      <c r="ADG98" s="18"/>
      <c r="ADH98" s="18"/>
      <c r="ADI98" s="18"/>
      <c r="ADJ98" s="18"/>
      <c r="ADK98" s="18"/>
      <c r="ADL98" s="18"/>
      <c r="ADM98" s="18"/>
      <c r="ADN98" s="18"/>
      <c r="ADO98" s="18"/>
      <c r="ADP98" s="18"/>
      <c r="ADQ98" s="18"/>
      <c r="ADR98" s="18"/>
      <c r="ADS98" s="18"/>
      <c r="ADT98" s="18"/>
      <c r="ADU98" s="18"/>
      <c r="ADV98" s="18"/>
      <c r="ADW98" s="18"/>
      <c r="ADX98" s="18"/>
      <c r="ADY98" s="18"/>
      <c r="ADZ98" s="18"/>
      <c r="AEA98" s="18"/>
      <c r="AEB98" s="18"/>
      <c r="AEC98" s="18"/>
      <c r="AED98" s="18"/>
      <c r="AEE98" s="18"/>
      <c r="AEF98" s="18"/>
      <c r="AEG98" s="18"/>
      <c r="AEH98" s="18"/>
      <c r="AEI98" s="18"/>
      <c r="AEJ98" s="18"/>
      <c r="AEK98" s="18"/>
      <c r="AEL98" s="18"/>
      <c r="AEM98" s="18"/>
      <c r="AEN98" s="18"/>
      <c r="AEO98" s="18"/>
      <c r="AEP98" s="18"/>
      <c r="AEQ98" s="18"/>
      <c r="AER98" s="18"/>
      <c r="AES98" s="18"/>
      <c r="AET98" s="18"/>
      <c r="AEU98" s="18"/>
      <c r="AEV98" s="18"/>
      <c r="AEW98" s="18"/>
      <c r="AEX98" s="18"/>
      <c r="AEY98" s="18"/>
      <c r="AEZ98" s="18"/>
      <c r="AFA98" s="18"/>
      <c r="AFB98" s="18"/>
      <c r="AFC98" s="18"/>
      <c r="AFD98" s="18"/>
      <c r="AFE98" s="18"/>
      <c r="AFF98" s="18"/>
      <c r="AFG98" s="18"/>
      <c r="AFH98" s="18"/>
      <c r="AFI98" s="18"/>
      <c r="AFJ98" s="18"/>
      <c r="AFK98" s="18"/>
      <c r="AFL98" s="18"/>
      <c r="AFM98" s="18"/>
      <c r="AFN98" s="18"/>
      <c r="AFO98" s="18"/>
      <c r="AFP98" s="18"/>
      <c r="AFQ98" s="18"/>
      <c r="AFR98" s="18"/>
      <c r="AFS98" s="18"/>
      <c r="AFT98" s="18"/>
      <c r="AFU98" s="18"/>
      <c r="AFV98" s="18"/>
      <c r="AFW98" s="18"/>
      <c r="AFX98" s="18"/>
      <c r="AFY98" s="18"/>
      <c r="AFZ98" s="18"/>
      <c r="AGA98" s="18"/>
      <c r="AGB98" s="18"/>
      <c r="AGC98" s="18"/>
      <c r="AGD98" s="18"/>
      <c r="AGE98" s="18"/>
      <c r="AGF98" s="18"/>
      <c r="AGG98" s="18"/>
      <c r="AGH98" s="18"/>
      <c r="AGI98" s="18"/>
      <c r="AGJ98" s="18"/>
      <c r="AGK98" s="18"/>
      <c r="AGL98" s="18"/>
      <c r="AGM98" s="18"/>
      <c r="AGN98" s="18"/>
      <c r="AGO98" s="18"/>
      <c r="AGP98" s="18"/>
      <c r="AGQ98" s="18"/>
      <c r="AGR98" s="18"/>
      <c r="AGS98" s="18"/>
      <c r="AGT98" s="18"/>
      <c r="AGU98" s="18"/>
      <c r="AGV98" s="18"/>
      <c r="AGW98" s="18"/>
      <c r="AGX98" s="18"/>
      <c r="AGY98" s="18"/>
      <c r="AGZ98" s="18"/>
      <c r="AHA98" s="18"/>
      <c r="AHB98" s="18"/>
      <c r="AHC98" s="18"/>
      <c r="AHD98" s="18"/>
      <c r="AHE98" s="18"/>
      <c r="AHF98" s="18"/>
      <c r="AHG98" s="18"/>
      <c r="AHH98" s="18"/>
      <c r="AHI98" s="18"/>
      <c r="AHJ98" s="18"/>
      <c r="AHK98" s="18"/>
      <c r="AHL98" s="18"/>
      <c r="AHM98" s="18"/>
      <c r="AHN98" s="18"/>
      <c r="AHO98" s="18"/>
      <c r="AHP98" s="18"/>
      <c r="AHQ98" s="18"/>
      <c r="AHR98" s="18"/>
      <c r="AHS98" s="18"/>
      <c r="AHT98" s="18"/>
      <c r="AHU98" s="18"/>
      <c r="AHV98" s="18"/>
      <c r="AHW98" s="18"/>
      <c r="AHX98" s="18"/>
      <c r="AHY98" s="18"/>
      <c r="AHZ98" s="18"/>
      <c r="AIA98" s="18"/>
      <c r="AIB98" s="18"/>
      <c r="AIC98" s="18"/>
      <c r="AID98" s="18"/>
      <c r="AIE98" s="18"/>
      <c r="AIF98" s="18"/>
      <c r="AIG98" s="18"/>
      <c r="AIH98" s="18"/>
      <c r="AII98" s="18"/>
      <c r="AIJ98" s="18"/>
      <c r="AIK98" s="18"/>
      <c r="AIL98" s="18"/>
      <c r="AIM98" s="18"/>
      <c r="AIN98" s="18"/>
      <c r="AIO98" s="18"/>
      <c r="AIP98" s="18"/>
      <c r="AIQ98" s="18"/>
      <c r="AIR98" s="18"/>
      <c r="AIS98" s="18"/>
      <c r="AIT98" s="18"/>
      <c r="AIU98" s="18"/>
      <c r="AIV98" s="18"/>
      <c r="AIW98" s="18"/>
      <c r="AIX98" s="18"/>
      <c r="AIY98" s="18"/>
      <c r="AIZ98" s="18"/>
      <c r="AJA98" s="18"/>
      <c r="AJB98" s="18"/>
      <c r="AJC98" s="18"/>
      <c r="AJD98" s="18"/>
      <c r="AJE98" s="18"/>
      <c r="AJF98" s="18"/>
      <c r="AJG98" s="18"/>
      <c r="AJH98" s="18"/>
      <c r="AJI98" s="18"/>
      <c r="AJJ98" s="18"/>
      <c r="AJK98" s="18"/>
      <c r="AJL98" s="18"/>
      <c r="AJM98" s="18"/>
      <c r="AJN98" s="18"/>
      <c r="AJO98" s="18"/>
      <c r="AJP98" s="18"/>
      <c r="AJQ98" s="18"/>
      <c r="AJR98" s="18"/>
      <c r="AJS98" s="18"/>
      <c r="AJT98" s="18"/>
      <c r="AJU98" s="18"/>
      <c r="AJV98" s="18"/>
      <c r="AJW98" s="18"/>
      <c r="AJX98" s="18"/>
      <c r="AJY98" s="18"/>
      <c r="AJZ98" s="18"/>
      <c r="AKA98" s="18"/>
      <c r="AKB98" s="18"/>
      <c r="AKC98" s="18"/>
      <c r="AKD98" s="18"/>
      <c r="AKE98" s="18"/>
      <c r="AKF98" s="18"/>
      <c r="AKG98" s="18"/>
      <c r="AKH98" s="18"/>
      <c r="AKI98" s="18"/>
      <c r="AKJ98" s="18"/>
      <c r="AKK98" s="18"/>
      <c r="AKL98" s="18"/>
      <c r="AKM98" s="18"/>
      <c r="AKN98" s="18"/>
      <c r="AKO98" s="18"/>
      <c r="AKP98" s="18"/>
      <c r="AKQ98" s="18"/>
      <c r="AKR98" s="18"/>
      <c r="AKS98" s="18"/>
      <c r="AKT98" s="18"/>
      <c r="AKU98" s="18"/>
      <c r="AKV98" s="18"/>
      <c r="AKW98" s="18"/>
      <c r="AKX98" s="18"/>
      <c r="AKY98" s="18"/>
      <c r="AKZ98" s="18"/>
      <c r="ALA98" s="18"/>
      <c r="ALB98" s="18"/>
      <c r="ALC98" s="18"/>
      <c r="ALD98" s="18"/>
      <c r="ALE98" s="18"/>
      <c r="ALF98" s="18"/>
      <c r="ALG98" s="18"/>
      <c r="ALH98" s="18"/>
      <c r="ALI98" s="18"/>
      <c r="ALJ98" s="18"/>
      <c r="ALK98" s="18"/>
      <c r="ALL98" s="18"/>
      <c r="ALM98" s="18"/>
      <c r="ALN98" s="18"/>
      <c r="ALO98" s="18"/>
      <c r="ALP98" s="18"/>
      <c r="ALQ98" s="18"/>
      <c r="ALR98" s="18"/>
      <c r="ALS98" s="18"/>
      <c r="ALT98" s="18"/>
      <c r="ALU98" s="18"/>
      <c r="ALV98" s="18"/>
      <c r="ALW98" s="18"/>
      <c r="ALX98" s="18"/>
      <c r="ALY98" s="18"/>
      <c r="ALZ98" s="18"/>
      <c r="AMA98" s="18"/>
      <c r="AMB98" s="18"/>
      <c r="AMC98" s="18"/>
      <c r="AMD98" s="18"/>
      <c r="AME98" s="18"/>
      <c r="AMF98" s="18"/>
      <c r="AMG98" s="18"/>
      <c r="AMH98" s="18"/>
    </row>
    <row r="99" spans="1:1022" s="23" customFormat="1" x14ac:dyDescent="0.3">
      <c r="A99" s="33">
        <v>195</v>
      </c>
      <c r="B99" s="19"/>
      <c r="C99" s="19"/>
      <c r="D99" s="34" t="s">
        <v>368</v>
      </c>
      <c r="E99" s="34" t="s">
        <v>518</v>
      </c>
      <c r="F99" s="19"/>
      <c r="G99" s="19"/>
      <c r="H99" s="18"/>
      <c r="I99" s="31"/>
      <c r="J99" s="31"/>
      <c r="K99" s="31"/>
      <c r="L99" s="35" t="s">
        <v>281</v>
      </c>
      <c r="M99" s="32"/>
      <c r="N99" s="32"/>
      <c r="O99" s="18"/>
      <c r="P99" s="36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18"/>
      <c r="BK99" s="18"/>
      <c r="BL99" s="18"/>
      <c r="BM99" s="18"/>
      <c r="BN99" s="18"/>
      <c r="BO99" s="18"/>
      <c r="BP99" s="18"/>
      <c r="BQ99" s="18"/>
      <c r="BR99" s="18"/>
      <c r="BS99" s="18"/>
      <c r="BT99" s="18"/>
      <c r="BU99" s="18"/>
      <c r="BV99" s="18"/>
      <c r="BW99" s="18"/>
      <c r="BX99" s="18"/>
      <c r="BY99" s="18"/>
      <c r="BZ99" s="18"/>
      <c r="CA99" s="18"/>
      <c r="CB99" s="18"/>
      <c r="CC99" s="18"/>
      <c r="CD99" s="18"/>
      <c r="CE99" s="18"/>
      <c r="CF99" s="18"/>
      <c r="CG99" s="18"/>
      <c r="CH99" s="18"/>
      <c r="CI99" s="18"/>
      <c r="CJ99" s="18"/>
      <c r="CK99" s="18"/>
      <c r="CL99" s="18"/>
      <c r="CM99" s="18"/>
      <c r="CN99" s="18"/>
      <c r="CO99" s="18"/>
      <c r="CP99" s="18"/>
      <c r="CQ99" s="18"/>
      <c r="CR99" s="18"/>
      <c r="CS99" s="18"/>
      <c r="CT99" s="18"/>
      <c r="CU99" s="18"/>
      <c r="CV99" s="18"/>
      <c r="CW99" s="18"/>
      <c r="CX99" s="18"/>
      <c r="CY99" s="18"/>
      <c r="CZ99" s="18"/>
      <c r="DA99" s="18"/>
      <c r="DB99" s="18"/>
      <c r="DC99" s="18"/>
      <c r="DD99" s="18"/>
      <c r="DE99" s="18"/>
      <c r="DF99" s="18"/>
      <c r="DG99" s="18"/>
      <c r="DH99" s="18"/>
      <c r="DI99" s="18"/>
      <c r="DJ99" s="18"/>
      <c r="DK99" s="18"/>
      <c r="DL99" s="18"/>
      <c r="DM99" s="18"/>
      <c r="DN99" s="18"/>
      <c r="DO99" s="18"/>
      <c r="DP99" s="18"/>
      <c r="DQ99" s="18"/>
      <c r="DR99" s="18"/>
      <c r="DS99" s="18"/>
      <c r="DT99" s="18"/>
      <c r="DU99" s="18"/>
      <c r="DV99" s="18"/>
      <c r="DW99" s="18"/>
      <c r="DX99" s="18"/>
      <c r="DY99" s="18"/>
      <c r="DZ99" s="18"/>
      <c r="EA99" s="18"/>
      <c r="EB99" s="18"/>
      <c r="EC99" s="18"/>
      <c r="ED99" s="18"/>
      <c r="EE99" s="18"/>
      <c r="EF99" s="18"/>
      <c r="EG99" s="18"/>
      <c r="EH99" s="18"/>
      <c r="EI99" s="18"/>
      <c r="EJ99" s="18"/>
      <c r="EK99" s="18"/>
      <c r="EL99" s="18"/>
      <c r="EM99" s="18"/>
      <c r="EN99" s="18"/>
      <c r="EO99" s="18"/>
      <c r="EP99" s="18"/>
      <c r="EQ99" s="18"/>
      <c r="ER99" s="18"/>
      <c r="ES99" s="18"/>
      <c r="ET99" s="18"/>
      <c r="EU99" s="18"/>
      <c r="EV99" s="18"/>
      <c r="EW99" s="18"/>
      <c r="EX99" s="18"/>
      <c r="EY99" s="18"/>
      <c r="EZ99" s="18"/>
      <c r="FA99" s="18"/>
      <c r="FB99" s="18"/>
      <c r="FC99" s="18"/>
      <c r="FD99" s="18"/>
      <c r="FE99" s="18"/>
      <c r="FF99" s="18"/>
      <c r="FG99" s="18"/>
      <c r="FH99" s="18"/>
      <c r="FI99" s="18"/>
      <c r="FJ99" s="18"/>
      <c r="FK99" s="18"/>
      <c r="FL99" s="18"/>
      <c r="FM99" s="18"/>
      <c r="FN99" s="18"/>
      <c r="FO99" s="18"/>
      <c r="FP99" s="18"/>
      <c r="FQ99" s="18"/>
      <c r="FR99" s="18"/>
      <c r="FS99" s="18"/>
      <c r="FT99" s="18"/>
      <c r="FU99" s="18"/>
      <c r="FV99" s="18"/>
      <c r="FW99" s="18"/>
      <c r="FX99" s="18"/>
      <c r="FY99" s="18"/>
      <c r="FZ99" s="18"/>
      <c r="GA99" s="18"/>
      <c r="GB99" s="18"/>
      <c r="GC99" s="18"/>
      <c r="GD99" s="18"/>
      <c r="GE99" s="18"/>
      <c r="GF99" s="18"/>
      <c r="GG99" s="18"/>
      <c r="GH99" s="18"/>
      <c r="GI99" s="18"/>
      <c r="GJ99" s="18"/>
      <c r="GK99" s="18"/>
      <c r="GL99" s="18"/>
      <c r="GM99" s="18"/>
      <c r="GN99" s="18"/>
      <c r="GO99" s="18"/>
      <c r="GP99" s="18"/>
      <c r="GQ99" s="18"/>
      <c r="GR99" s="18"/>
      <c r="GS99" s="18"/>
      <c r="GT99" s="18"/>
      <c r="GU99" s="18"/>
      <c r="GV99" s="18"/>
      <c r="GW99" s="18"/>
      <c r="GX99" s="18"/>
      <c r="GY99" s="18"/>
      <c r="GZ99" s="18"/>
      <c r="HA99" s="18"/>
      <c r="HB99" s="18"/>
      <c r="HC99" s="18"/>
      <c r="HD99" s="18"/>
      <c r="HE99" s="18"/>
      <c r="HF99" s="18"/>
      <c r="HG99" s="18"/>
      <c r="HH99" s="18"/>
      <c r="HI99" s="18"/>
      <c r="HJ99" s="18"/>
      <c r="HK99" s="18"/>
      <c r="HL99" s="18"/>
      <c r="HM99" s="18"/>
      <c r="HN99" s="18"/>
      <c r="HO99" s="18"/>
      <c r="HP99" s="18"/>
      <c r="HQ99" s="18"/>
      <c r="HR99" s="18"/>
      <c r="HS99" s="18"/>
      <c r="HT99" s="18"/>
      <c r="HU99" s="18"/>
      <c r="HV99" s="18"/>
      <c r="HW99" s="18"/>
      <c r="HX99" s="18"/>
      <c r="HY99" s="18"/>
      <c r="HZ99" s="18"/>
      <c r="IA99" s="18"/>
      <c r="IB99" s="18"/>
      <c r="IC99" s="18"/>
      <c r="ID99" s="18"/>
      <c r="IE99" s="18"/>
      <c r="IF99" s="18"/>
      <c r="IG99" s="18"/>
      <c r="IH99" s="18"/>
      <c r="II99" s="18"/>
      <c r="IJ99" s="18"/>
      <c r="IK99" s="18"/>
      <c r="IL99" s="18"/>
      <c r="IM99" s="18"/>
      <c r="IN99" s="18"/>
      <c r="IO99" s="18"/>
      <c r="IP99" s="18"/>
      <c r="IQ99" s="18"/>
      <c r="IR99" s="18"/>
      <c r="IS99" s="18"/>
      <c r="IT99" s="18"/>
      <c r="IU99" s="18"/>
      <c r="IV99" s="18"/>
      <c r="IW99" s="18"/>
      <c r="IX99" s="18"/>
      <c r="IY99" s="18"/>
      <c r="IZ99" s="18"/>
      <c r="JA99" s="18"/>
      <c r="JB99" s="18"/>
      <c r="JC99" s="18"/>
      <c r="JD99" s="18"/>
      <c r="JE99" s="18"/>
      <c r="JF99" s="18"/>
      <c r="JG99" s="18"/>
      <c r="JH99" s="18"/>
      <c r="JI99" s="18"/>
      <c r="JJ99" s="18"/>
      <c r="JK99" s="18"/>
      <c r="JL99" s="18"/>
      <c r="JM99" s="18"/>
      <c r="JN99" s="18"/>
      <c r="JO99" s="18"/>
      <c r="JP99" s="18"/>
      <c r="JQ99" s="18"/>
      <c r="JR99" s="18"/>
      <c r="JS99" s="18"/>
      <c r="JT99" s="18"/>
      <c r="JU99" s="18"/>
      <c r="JV99" s="18"/>
      <c r="JW99" s="18"/>
      <c r="JX99" s="18"/>
      <c r="JY99" s="18"/>
      <c r="JZ99" s="18"/>
      <c r="KA99" s="18"/>
      <c r="KB99" s="18"/>
      <c r="KC99" s="18"/>
      <c r="KD99" s="18"/>
      <c r="KE99" s="18"/>
      <c r="KF99" s="18"/>
      <c r="KG99" s="18"/>
      <c r="KH99" s="18"/>
      <c r="KI99" s="18"/>
      <c r="KJ99" s="18"/>
      <c r="KK99" s="18"/>
      <c r="KL99" s="18"/>
      <c r="KM99" s="18"/>
      <c r="KN99" s="18"/>
      <c r="KO99" s="18"/>
      <c r="KP99" s="18"/>
      <c r="KQ99" s="18"/>
      <c r="KR99" s="18"/>
      <c r="KS99" s="18"/>
      <c r="KT99" s="18"/>
      <c r="KU99" s="18"/>
      <c r="KV99" s="18"/>
      <c r="KW99" s="18"/>
      <c r="KX99" s="18"/>
      <c r="KY99" s="18"/>
      <c r="KZ99" s="18"/>
      <c r="LA99" s="18"/>
      <c r="LB99" s="18"/>
      <c r="LC99" s="18"/>
      <c r="LD99" s="18"/>
      <c r="LE99" s="18"/>
      <c r="LF99" s="18"/>
      <c r="LG99" s="18"/>
      <c r="LH99" s="18"/>
      <c r="LI99" s="18"/>
      <c r="LJ99" s="18"/>
      <c r="LK99" s="18"/>
      <c r="LL99" s="18"/>
      <c r="LM99" s="18"/>
      <c r="LN99" s="18"/>
      <c r="LO99" s="18"/>
      <c r="LP99" s="18"/>
      <c r="LQ99" s="18"/>
      <c r="LR99" s="18"/>
      <c r="LS99" s="18"/>
      <c r="LT99" s="18"/>
      <c r="LU99" s="18"/>
      <c r="LV99" s="18"/>
      <c r="LW99" s="18"/>
      <c r="LX99" s="18"/>
      <c r="LY99" s="18"/>
      <c r="LZ99" s="18"/>
      <c r="MA99" s="18"/>
      <c r="MB99" s="18"/>
      <c r="MC99" s="18"/>
      <c r="MD99" s="18"/>
      <c r="ME99" s="18"/>
      <c r="MF99" s="18"/>
      <c r="MG99" s="18"/>
      <c r="MH99" s="18"/>
      <c r="MI99" s="18"/>
      <c r="MJ99" s="18"/>
      <c r="MK99" s="18"/>
      <c r="ML99" s="18"/>
      <c r="MM99" s="18"/>
      <c r="MN99" s="18"/>
      <c r="MO99" s="18"/>
      <c r="MP99" s="18"/>
      <c r="MQ99" s="18"/>
      <c r="MR99" s="18"/>
      <c r="MS99" s="18"/>
      <c r="MT99" s="18"/>
      <c r="MU99" s="18"/>
      <c r="MV99" s="18"/>
      <c r="MW99" s="18"/>
      <c r="MX99" s="18"/>
      <c r="MY99" s="18"/>
      <c r="MZ99" s="18"/>
      <c r="NA99" s="18"/>
      <c r="NB99" s="18"/>
      <c r="NC99" s="18"/>
      <c r="ND99" s="18"/>
      <c r="NE99" s="18"/>
      <c r="NF99" s="18"/>
      <c r="NG99" s="18"/>
      <c r="NH99" s="18"/>
      <c r="NI99" s="18"/>
      <c r="NJ99" s="18"/>
      <c r="NK99" s="18"/>
      <c r="NL99" s="18"/>
      <c r="NM99" s="18"/>
      <c r="NN99" s="18"/>
      <c r="NO99" s="18"/>
      <c r="NP99" s="18"/>
      <c r="NQ99" s="18"/>
      <c r="NR99" s="18"/>
      <c r="NS99" s="18"/>
      <c r="NT99" s="18"/>
      <c r="NU99" s="18"/>
      <c r="NV99" s="18"/>
      <c r="NW99" s="18"/>
      <c r="NX99" s="18"/>
      <c r="NY99" s="18"/>
      <c r="NZ99" s="18"/>
      <c r="OA99" s="18"/>
      <c r="OB99" s="18"/>
      <c r="OC99" s="18"/>
      <c r="OD99" s="18"/>
      <c r="OE99" s="18"/>
      <c r="OF99" s="18"/>
      <c r="OG99" s="18"/>
      <c r="OH99" s="18"/>
      <c r="OI99" s="18"/>
      <c r="OJ99" s="18"/>
      <c r="OK99" s="18"/>
      <c r="OL99" s="18"/>
      <c r="OM99" s="18"/>
      <c r="ON99" s="18"/>
      <c r="OO99" s="18"/>
      <c r="OP99" s="18"/>
      <c r="OQ99" s="18"/>
      <c r="OR99" s="18"/>
      <c r="OS99" s="18"/>
      <c r="OT99" s="18"/>
      <c r="OU99" s="18"/>
      <c r="OV99" s="18"/>
      <c r="OW99" s="18"/>
      <c r="OX99" s="18"/>
      <c r="OY99" s="18"/>
      <c r="OZ99" s="18"/>
      <c r="PA99" s="18"/>
      <c r="PB99" s="18"/>
      <c r="PC99" s="18"/>
      <c r="PD99" s="18"/>
      <c r="PE99" s="18"/>
      <c r="PF99" s="18"/>
      <c r="PG99" s="18"/>
      <c r="PH99" s="18"/>
      <c r="PI99" s="18"/>
      <c r="PJ99" s="18"/>
      <c r="PK99" s="18"/>
      <c r="PL99" s="18"/>
      <c r="PM99" s="18"/>
      <c r="PN99" s="18"/>
      <c r="PO99" s="18"/>
      <c r="PP99" s="18"/>
      <c r="PQ99" s="18"/>
      <c r="PR99" s="18"/>
      <c r="PS99" s="18"/>
      <c r="PT99" s="18"/>
      <c r="PU99" s="18"/>
      <c r="PV99" s="18"/>
      <c r="PW99" s="18"/>
      <c r="PX99" s="18"/>
      <c r="PY99" s="18"/>
      <c r="PZ99" s="18"/>
      <c r="QA99" s="18"/>
      <c r="QB99" s="18"/>
      <c r="QC99" s="18"/>
      <c r="QD99" s="18"/>
      <c r="QE99" s="18"/>
      <c r="QF99" s="18"/>
      <c r="QG99" s="18"/>
      <c r="QH99" s="18"/>
      <c r="QI99" s="18"/>
      <c r="QJ99" s="18"/>
      <c r="QK99" s="18"/>
      <c r="QL99" s="18"/>
      <c r="QM99" s="18"/>
      <c r="QN99" s="18"/>
      <c r="QO99" s="18"/>
      <c r="QP99" s="18"/>
      <c r="QQ99" s="18"/>
      <c r="QR99" s="18"/>
      <c r="QS99" s="18"/>
      <c r="QT99" s="18"/>
      <c r="QU99" s="18"/>
      <c r="QV99" s="18"/>
      <c r="QW99" s="18"/>
      <c r="QX99" s="18"/>
      <c r="QY99" s="18"/>
      <c r="QZ99" s="18"/>
      <c r="RA99" s="18"/>
      <c r="RB99" s="18"/>
      <c r="RC99" s="18"/>
      <c r="RD99" s="18"/>
      <c r="RE99" s="18"/>
      <c r="RF99" s="18"/>
      <c r="RG99" s="18"/>
      <c r="RH99" s="18"/>
      <c r="RI99" s="18"/>
      <c r="RJ99" s="18"/>
      <c r="RK99" s="18"/>
      <c r="RL99" s="18"/>
      <c r="RM99" s="18"/>
      <c r="RN99" s="18"/>
      <c r="RO99" s="18"/>
      <c r="RP99" s="18"/>
      <c r="RQ99" s="18"/>
      <c r="RR99" s="18"/>
      <c r="RS99" s="18"/>
      <c r="RT99" s="18"/>
      <c r="RU99" s="18"/>
      <c r="RV99" s="18"/>
      <c r="RW99" s="18"/>
      <c r="RX99" s="18"/>
      <c r="RY99" s="18"/>
      <c r="RZ99" s="18"/>
      <c r="SA99" s="18"/>
      <c r="SB99" s="18"/>
      <c r="SC99" s="18"/>
      <c r="SD99" s="18"/>
      <c r="SE99" s="18"/>
      <c r="SF99" s="18"/>
      <c r="SG99" s="18"/>
      <c r="SH99" s="18"/>
      <c r="SI99" s="18"/>
      <c r="SJ99" s="18"/>
      <c r="SK99" s="18"/>
      <c r="SL99" s="18"/>
      <c r="SM99" s="18"/>
      <c r="SN99" s="18"/>
      <c r="SO99" s="18"/>
      <c r="SP99" s="18"/>
      <c r="SQ99" s="18"/>
      <c r="SR99" s="18"/>
      <c r="SS99" s="18"/>
      <c r="ST99" s="18"/>
      <c r="SU99" s="18"/>
      <c r="SV99" s="18"/>
      <c r="SW99" s="18"/>
      <c r="SX99" s="18"/>
      <c r="SY99" s="18"/>
      <c r="SZ99" s="18"/>
      <c r="TA99" s="18"/>
      <c r="TB99" s="18"/>
      <c r="TC99" s="18"/>
      <c r="TD99" s="18"/>
      <c r="TE99" s="18"/>
      <c r="TF99" s="18"/>
      <c r="TG99" s="18"/>
      <c r="TH99" s="18"/>
      <c r="TI99" s="18"/>
      <c r="TJ99" s="18"/>
      <c r="TK99" s="18"/>
      <c r="TL99" s="18"/>
      <c r="TM99" s="18"/>
      <c r="TN99" s="18"/>
      <c r="TO99" s="18"/>
      <c r="TP99" s="18"/>
      <c r="TQ99" s="18"/>
      <c r="TR99" s="18"/>
      <c r="TS99" s="18"/>
      <c r="TT99" s="18"/>
      <c r="TU99" s="18"/>
      <c r="TV99" s="18"/>
      <c r="TW99" s="18"/>
      <c r="TX99" s="18"/>
      <c r="TY99" s="18"/>
      <c r="TZ99" s="18"/>
      <c r="UA99" s="18"/>
      <c r="UB99" s="18"/>
      <c r="UC99" s="18"/>
      <c r="UD99" s="18"/>
      <c r="UE99" s="18"/>
      <c r="UF99" s="18"/>
      <c r="UG99" s="18"/>
      <c r="UH99" s="18"/>
      <c r="UI99" s="18"/>
      <c r="UJ99" s="18"/>
      <c r="UK99" s="18"/>
      <c r="UL99" s="18"/>
      <c r="UM99" s="18"/>
      <c r="UN99" s="18"/>
      <c r="UO99" s="18"/>
      <c r="UP99" s="18"/>
      <c r="UQ99" s="18"/>
      <c r="UR99" s="18"/>
      <c r="US99" s="18"/>
      <c r="UT99" s="18"/>
      <c r="UU99" s="18"/>
      <c r="UV99" s="18"/>
      <c r="UW99" s="18"/>
      <c r="UX99" s="18"/>
      <c r="UY99" s="18"/>
      <c r="UZ99" s="18"/>
      <c r="VA99" s="18"/>
      <c r="VB99" s="18"/>
      <c r="VC99" s="18"/>
      <c r="VD99" s="18"/>
      <c r="VE99" s="18"/>
      <c r="VF99" s="18"/>
      <c r="VG99" s="18"/>
      <c r="VH99" s="18"/>
      <c r="VI99" s="18"/>
      <c r="VJ99" s="18"/>
      <c r="VK99" s="18"/>
      <c r="VL99" s="18"/>
      <c r="VM99" s="18"/>
      <c r="VN99" s="18"/>
      <c r="VO99" s="18"/>
      <c r="VP99" s="18"/>
      <c r="VQ99" s="18"/>
      <c r="VR99" s="18"/>
      <c r="VS99" s="18"/>
      <c r="VT99" s="18"/>
      <c r="VU99" s="18"/>
      <c r="VV99" s="18"/>
      <c r="VW99" s="18"/>
      <c r="VX99" s="18"/>
      <c r="VY99" s="18"/>
      <c r="VZ99" s="18"/>
      <c r="WA99" s="18"/>
      <c r="WB99" s="18"/>
      <c r="WC99" s="18"/>
      <c r="WD99" s="18"/>
      <c r="WE99" s="18"/>
      <c r="WF99" s="18"/>
      <c r="WG99" s="18"/>
      <c r="WH99" s="18"/>
      <c r="WI99" s="18"/>
      <c r="WJ99" s="18"/>
      <c r="WK99" s="18"/>
      <c r="WL99" s="18"/>
      <c r="WM99" s="18"/>
      <c r="WN99" s="18"/>
      <c r="WO99" s="18"/>
      <c r="WP99" s="18"/>
      <c r="WQ99" s="18"/>
      <c r="WR99" s="18"/>
      <c r="WS99" s="18"/>
      <c r="WT99" s="18"/>
      <c r="WU99" s="18"/>
      <c r="WV99" s="18"/>
      <c r="WW99" s="18"/>
      <c r="WX99" s="18"/>
      <c r="WY99" s="18"/>
      <c r="WZ99" s="18"/>
      <c r="XA99" s="18"/>
      <c r="XB99" s="18"/>
      <c r="XC99" s="18"/>
      <c r="XD99" s="18"/>
      <c r="XE99" s="18"/>
      <c r="XF99" s="18"/>
      <c r="XG99" s="18"/>
      <c r="XH99" s="18"/>
      <c r="XI99" s="18"/>
      <c r="XJ99" s="18"/>
      <c r="XK99" s="18"/>
      <c r="XL99" s="18"/>
      <c r="XM99" s="18"/>
      <c r="XN99" s="18"/>
      <c r="XO99" s="18"/>
      <c r="XP99" s="18"/>
      <c r="XQ99" s="18"/>
      <c r="XR99" s="18"/>
      <c r="XS99" s="18"/>
      <c r="XT99" s="18"/>
      <c r="XU99" s="18"/>
      <c r="XV99" s="18"/>
      <c r="XW99" s="18"/>
      <c r="XX99" s="18"/>
      <c r="XY99" s="18"/>
      <c r="XZ99" s="18"/>
      <c r="YA99" s="18"/>
      <c r="YB99" s="18"/>
      <c r="YC99" s="18"/>
      <c r="YD99" s="18"/>
      <c r="YE99" s="18"/>
      <c r="YF99" s="18"/>
      <c r="YG99" s="18"/>
      <c r="YH99" s="18"/>
      <c r="YI99" s="18"/>
      <c r="YJ99" s="18"/>
      <c r="YK99" s="18"/>
      <c r="YL99" s="18"/>
      <c r="YM99" s="18"/>
      <c r="YN99" s="18"/>
      <c r="YO99" s="18"/>
      <c r="YP99" s="18"/>
      <c r="YQ99" s="18"/>
      <c r="YR99" s="18"/>
      <c r="YS99" s="18"/>
      <c r="YT99" s="18"/>
      <c r="YU99" s="18"/>
      <c r="YV99" s="18"/>
      <c r="YW99" s="18"/>
      <c r="YX99" s="18"/>
      <c r="YY99" s="18"/>
      <c r="YZ99" s="18"/>
      <c r="ZA99" s="18"/>
      <c r="ZB99" s="18"/>
      <c r="ZC99" s="18"/>
      <c r="ZD99" s="18"/>
      <c r="ZE99" s="18"/>
      <c r="ZF99" s="18"/>
      <c r="ZG99" s="18"/>
      <c r="ZH99" s="18"/>
      <c r="ZI99" s="18"/>
      <c r="ZJ99" s="18"/>
      <c r="ZK99" s="18"/>
      <c r="ZL99" s="18"/>
      <c r="ZM99" s="18"/>
      <c r="ZN99" s="18"/>
      <c r="ZO99" s="18"/>
      <c r="ZP99" s="18"/>
      <c r="ZQ99" s="18"/>
      <c r="ZR99" s="18"/>
      <c r="ZS99" s="18"/>
      <c r="ZT99" s="18"/>
      <c r="ZU99" s="18"/>
      <c r="ZV99" s="18"/>
      <c r="ZW99" s="18"/>
      <c r="ZX99" s="18"/>
      <c r="ZY99" s="18"/>
      <c r="ZZ99" s="18"/>
      <c r="AAA99" s="18"/>
      <c r="AAB99" s="18"/>
      <c r="AAC99" s="18"/>
      <c r="AAD99" s="18"/>
      <c r="AAE99" s="18"/>
      <c r="AAF99" s="18"/>
      <c r="AAG99" s="18"/>
      <c r="AAH99" s="18"/>
      <c r="AAI99" s="18"/>
      <c r="AAJ99" s="18"/>
      <c r="AAK99" s="18"/>
      <c r="AAL99" s="18"/>
      <c r="AAM99" s="18"/>
      <c r="AAN99" s="18"/>
      <c r="AAO99" s="18"/>
      <c r="AAP99" s="18"/>
      <c r="AAQ99" s="18"/>
      <c r="AAR99" s="18"/>
      <c r="AAS99" s="18"/>
      <c r="AAT99" s="18"/>
      <c r="AAU99" s="18"/>
      <c r="AAV99" s="18"/>
      <c r="AAW99" s="18"/>
      <c r="AAX99" s="18"/>
      <c r="AAY99" s="18"/>
      <c r="AAZ99" s="18"/>
      <c r="ABA99" s="18"/>
      <c r="ABB99" s="18"/>
      <c r="ABC99" s="18"/>
      <c r="ABD99" s="18"/>
      <c r="ABE99" s="18"/>
      <c r="ABF99" s="18"/>
      <c r="ABG99" s="18"/>
      <c r="ABH99" s="18"/>
      <c r="ABI99" s="18"/>
      <c r="ABJ99" s="18"/>
      <c r="ABK99" s="18"/>
      <c r="ABL99" s="18"/>
      <c r="ABM99" s="18"/>
      <c r="ABN99" s="18"/>
      <c r="ABO99" s="18"/>
      <c r="ABP99" s="18"/>
      <c r="ABQ99" s="18"/>
      <c r="ABR99" s="18"/>
      <c r="ABS99" s="18"/>
      <c r="ABT99" s="18"/>
      <c r="ABU99" s="18"/>
      <c r="ABV99" s="18"/>
      <c r="ABW99" s="18"/>
      <c r="ABX99" s="18"/>
      <c r="ABY99" s="18"/>
      <c r="ABZ99" s="18"/>
      <c r="ACA99" s="18"/>
      <c r="ACB99" s="18"/>
      <c r="ACC99" s="18"/>
      <c r="ACD99" s="18"/>
      <c r="ACE99" s="18"/>
      <c r="ACF99" s="18"/>
      <c r="ACG99" s="18"/>
      <c r="ACH99" s="18"/>
      <c r="ACI99" s="18"/>
      <c r="ACJ99" s="18"/>
      <c r="ACK99" s="18"/>
      <c r="ACL99" s="18"/>
      <c r="ACM99" s="18"/>
      <c r="ACN99" s="18"/>
      <c r="ACO99" s="18"/>
      <c r="ACP99" s="18"/>
      <c r="ACQ99" s="18"/>
      <c r="ACR99" s="18"/>
      <c r="ACS99" s="18"/>
      <c r="ACT99" s="18"/>
      <c r="ACU99" s="18"/>
      <c r="ACV99" s="18"/>
      <c r="ACW99" s="18"/>
      <c r="ACX99" s="18"/>
      <c r="ACY99" s="18"/>
      <c r="ACZ99" s="18"/>
      <c r="ADA99" s="18"/>
      <c r="ADB99" s="18"/>
      <c r="ADC99" s="18"/>
      <c r="ADD99" s="18"/>
      <c r="ADE99" s="18"/>
      <c r="ADF99" s="18"/>
      <c r="ADG99" s="18"/>
      <c r="ADH99" s="18"/>
      <c r="ADI99" s="18"/>
      <c r="ADJ99" s="18"/>
      <c r="ADK99" s="18"/>
      <c r="ADL99" s="18"/>
      <c r="ADM99" s="18"/>
      <c r="ADN99" s="18"/>
      <c r="ADO99" s="18"/>
      <c r="ADP99" s="18"/>
      <c r="ADQ99" s="18"/>
      <c r="ADR99" s="18"/>
      <c r="ADS99" s="18"/>
      <c r="ADT99" s="18"/>
      <c r="ADU99" s="18"/>
      <c r="ADV99" s="18"/>
      <c r="ADW99" s="18"/>
      <c r="ADX99" s="18"/>
      <c r="ADY99" s="18"/>
      <c r="ADZ99" s="18"/>
      <c r="AEA99" s="18"/>
      <c r="AEB99" s="18"/>
      <c r="AEC99" s="18"/>
      <c r="AED99" s="18"/>
      <c r="AEE99" s="18"/>
      <c r="AEF99" s="18"/>
      <c r="AEG99" s="18"/>
      <c r="AEH99" s="18"/>
      <c r="AEI99" s="18"/>
      <c r="AEJ99" s="18"/>
      <c r="AEK99" s="18"/>
      <c r="AEL99" s="18"/>
      <c r="AEM99" s="18"/>
      <c r="AEN99" s="18"/>
      <c r="AEO99" s="18"/>
      <c r="AEP99" s="18"/>
      <c r="AEQ99" s="18"/>
      <c r="AER99" s="18"/>
      <c r="AES99" s="18"/>
      <c r="AET99" s="18"/>
      <c r="AEU99" s="18"/>
      <c r="AEV99" s="18"/>
      <c r="AEW99" s="18"/>
      <c r="AEX99" s="18"/>
      <c r="AEY99" s="18"/>
      <c r="AEZ99" s="18"/>
      <c r="AFA99" s="18"/>
      <c r="AFB99" s="18"/>
      <c r="AFC99" s="18"/>
      <c r="AFD99" s="18"/>
      <c r="AFE99" s="18"/>
      <c r="AFF99" s="18"/>
      <c r="AFG99" s="18"/>
      <c r="AFH99" s="18"/>
      <c r="AFI99" s="18"/>
      <c r="AFJ99" s="18"/>
      <c r="AFK99" s="18"/>
      <c r="AFL99" s="18"/>
      <c r="AFM99" s="18"/>
      <c r="AFN99" s="18"/>
      <c r="AFO99" s="18"/>
      <c r="AFP99" s="18"/>
      <c r="AFQ99" s="18"/>
      <c r="AFR99" s="18"/>
      <c r="AFS99" s="18"/>
      <c r="AFT99" s="18"/>
      <c r="AFU99" s="18"/>
      <c r="AFV99" s="18"/>
      <c r="AFW99" s="18"/>
      <c r="AFX99" s="18"/>
      <c r="AFY99" s="18"/>
      <c r="AFZ99" s="18"/>
      <c r="AGA99" s="18"/>
      <c r="AGB99" s="18"/>
      <c r="AGC99" s="18"/>
      <c r="AGD99" s="18"/>
      <c r="AGE99" s="18"/>
      <c r="AGF99" s="18"/>
      <c r="AGG99" s="18"/>
      <c r="AGH99" s="18"/>
      <c r="AGI99" s="18"/>
      <c r="AGJ99" s="18"/>
      <c r="AGK99" s="18"/>
      <c r="AGL99" s="18"/>
      <c r="AGM99" s="18"/>
      <c r="AGN99" s="18"/>
      <c r="AGO99" s="18"/>
      <c r="AGP99" s="18"/>
      <c r="AGQ99" s="18"/>
      <c r="AGR99" s="18"/>
      <c r="AGS99" s="18"/>
      <c r="AGT99" s="18"/>
      <c r="AGU99" s="18"/>
      <c r="AGV99" s="18"/>
      <c r="AGW99" s="18"/>
      <c r="AGX99" s="18"/>
      <c r="AGY99" s="18"/>
      <c r="AGZ99" s="18"/>
      <c r="AHA99" s="18"/>
      <c r="AHB99" s="18"/>
      <c r="AHC99" s="18"/>
      <c r="AHD99" s="18"/>
      <c r="AHE99" s="18"/>
      <c r="AHF99" s="18"/>
      <c r="AHG99" s="18"/>
      <c r="AHH99" s="18"/>
      <c r="AHI99" s="18"/>
      <c r="AHJ99" s="18"/>
      <c r="AHK99" s="18"/>
      <c r="AHL99" s="18"/>
      <c r="AHM99" s="18"/>
      <c r="AHN99" s="18"/>
      <c r="AHO99" s="18"/>
      <c r="AHP99" s="18"/>
      <c r="AHQ99" s="18"/>
      <c r="AHR99" s="18"/>
      <c r="AHS99" s="18"/>
      <c r="AHT99" s="18"/>
      <c r="AHU99" s="18"/>
      <c r="AHV99" s="18"/>
      <c r="AHW99" s="18"/>
      <c r="AHX99" s="18"/>
      <c r="AHY99" s="18"/>
      <c r="AHZ99" s="18"/>
      <c r="AIA99" s="18"/>
      <c r="AIB99" s="18"/>
      <c r="AIC99" s="18"/>
      <c r="AID99" s="18"/>
      <c r="AIE99" s="18"/>
      <c r="AIF99" s="18"/>
      <c r="AIG99" s="18"/>
      <c r="AIH99" s="18"/>
      <c r="AII99" s="18"/>
      <c r="AIJ99" s="18"/>
      <c r="AIK99" s="18"/>
      <c r="AIL99" s="18"/>
      <c r="AIM99" s="18"/>
      <c r="AIN99" s="18"/>
      <c r="AIO99" s="18"/>
      <c r="AIP99" s="18"/>
      <c r="AIQ99" s="18"/>
      <c r="AIR99" s="18"/>
      <c r="AIS99" s="18"/>
      <c r="AIT99" s="18"/>
      <c r="AIU99" s="18"/>
      <c r="AIV99" s="18"/>
      <c r="AIW99" s="18"/>
      <c r="AIX99" s="18"/>
      <c r="AIY99" s="18"/>
      <c r="AIZ99" s="18"/>
      <c r="AJA99" s="18"/>
      <c r="AJB99" s="18"/>
      <c r="AJC99" s="18"/>
      <c r="AJD99" s="18"/>
      <c r="AJE99" s="18"/>
      <c r="AJF99" s="18"/>
      <c r="AJG99" s="18"/>
      <c r="AJH99" s="18"/>
      <c r="AJI99" s="18"/>
      <c r="AJJ99" s="18"/>
      <c r="AJK99" s="18"/>
      <c r="AJL99" s="18"/>
      <c r="AJM99" s="18"/>
      <c r="AJN99" s="18"/>
      <c r="AJO99" s="18"/>
      <c r="AJP99" s="18"/>
      <c r="AJQ99" s="18"/>
      <c r="AJR99" s="18"/>
      <c r="AJS99" s="18"/>
      <c r="AJT99" s="18"/>
      <c r="AJU99" s="18"/>
      <c r="AJV99" s="18"/>
      <c r="AJW99" s="18"/>
      <c r="AJX99" s="18"/>
      <c r="AJY99" s="18"/>
      <c r="AJZ99" s="18"/>
      <c r="AKA99" s="18"/>
      <c r="AKB99" s="18"/>
      <c r="AKC99" s="18"/>
      <c r="AKD99" s="18"/>
      <c r="AKE99" s="18"/>
      <c r="AKF99" s="18"/>
      <c r="AKG99" s="18"/>
      <c r="AKH99" s="18"/>
      <c r="AKI99" s="18"/>
      <c r="AKJ99" s="18"/>
      <c r="AKK99" s="18"/>
      <c r="AKL99" s="18"/>
      <c r="AKM99" s="18"/>
      <c r="AKN99" s="18"/>
      <c r="AKO99" s="18"/>
      <c r="AKP99" s="18"/>
      <c r="AKQ99" s="18"/>
      <c r="AKR99" s="18"/>
      <c r="AKS99" s="18"/>
      <c r="AKT99" s="18"/>
      <c r="AKU99" s="18"/>
      <c r="AKV99" s="18"/>
      <c r="AKW99" s="18"/>
      <c r="AKX99" s="18"/>
      <c r="AKY99" s="18"/>
      <c r="AKZ99" s="18"/>
      <c r="ALA99" s="18"/>
      <c r="ALB99" s="18"/>
      <c r="ALC99" s="18"/>
      <c r="ALD99" s="18"/>
      <c r="ALE99" s="18"/>
      <c r="ALF99" s="18"/>
      <c r="ALG99" s="18"/>
      <c r="ALH99" s="18"/>
      <c r="ALI99" s="18"/>
      <c r="ALJ99" s="18"/>
      <c r="ALK99" s="18"/>
      <c r="ALL99" s="18"/>
      <c r="ALM99" s="18"/>
      <c r="ALN99" s="18"/>
      <c r="ALO99" s="18"/>
      <c r="ALP99" s="18"/>
      <c r="ALQ99" s="18"/>
      <c r="ALR99" s="18"/>
      <c r="ALS99" s="18"/>
      <c r="ALT99" s="18"/>
      <c r="ALU99" s="18"/>
      <c r="ALV99" s="18"/>
      <c r="ALW99" s="18"/>
      <c r="ALX99" s="18"/>
      <c r="ALY99" s="18"/>
      <c r="ALZ99" s="18"/>
      <c r="AMA99" s="18"/>
      <c r="AMB99" s="18"/>
      <c r="AMC99" s="18"/>
      <c r="AMD99" s="18"/>
      <c r="AME99" s="18"/>
      <c r="AMF99" s="18"/>
      <c r="AMG99" s="18"/>
      <c r="AMH99" s="18"/>
    </row>
    <row r="100" spans="1:1022" s="23" customFormat="1" x14ac:dyDescent="0.3">
      <c r="A100" s="33">
        <v>196</v>
      </c>
      <c r="B100" s="19"/>
      <c r="C100" s="19"/>
      <c r="D100" s="34" t="s">
        <v>369</v>
      </c>
      <c r="E100" s="34" t="s">
        <v>519</v>
      </c>
      <c r="F100" s="19"/>
      <c r="G100" s="19"/>
      <c r="H100" s="18"/>
      <c r="I100" s="31"/>
      <c r="J100" s="31"/>
      <c r="K100" s="31"/>
      <c r="L100" s="31"/>
      <c r="M100" s="32"/>
      <c r="N100" s="32"/>
      <c r="O100" s="18"/>
      <c r="P100" s="36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18"/>
      <c r="BK100" s="18"/>
      <c r="BL100" s="18"/>
      <c r="BM100" s="18"/>
      <c r="BN100" s="18"/>
      <c r="BO100" s="18"/>
      <c r="BP100" s="18"/>
      <c r="BQ100" s="18"/>
      <c r="BR100" s="18"/>
      <c r="BS100" s="18"/>
      <c r="BT100" s="18"/>
      <c r="BU100" s="18"/>
      <c r="BV100" s="18"/>
      <c r="BW100" s="18"/>
      <c r="BX100" s="18"/>
      <c r="BY100" s="18"/>
      <c r="BZ100" s="18"/>
      <c r="CA100" s="18"/>
      <c r="CB100" s="18"/>
      <c r="CC100" s="18"/>
      <c r="CD100" s="18"/>
      <c r="CE100" s="18"/>
      <c r="CF100" s="18"/>
      <c r="CG100" s="18"/>
      <c r="CH100" s="18"/>
      <c r="CI100" s="18"/>
      <c r="CJ100" s="18"/>
      <c r="CK100" s="18"/>
      <c r="CL100" s="18"/>
      <c r="CM100" s="18"/>
      <c r="CN100" s="18"/>
      <c r="CO100" s="18"/>
      <c r="CP100" s="18"/>
      <c r="CQ100" s="18"/>
      <c r="CR100" s="18"/>
      <c r="CS100" s="18"/>
      <c r="CT100" s="18"/>
      <c r="CU100" s="18"/>
      <c r="CV100" s="18"/>
      <c r="CW100" s="18"/>
      <c r="CX100" s="18"/>
      <c r="CY100" s="18"/>
      <c r="CZ100" s="18"/>
      <c r="DA100" s="18"/>
      <c r="DB100" s="18"/>
      <c r="DC100" s="18"/>
      <c r="DD100" s="18"/>
      <c r="DE100" s="18"/>
      <c r="DF100" s="18"/>
      <c r="DG100" s="18"/>
      <c r="DH100" s="18"/>
      <c r="DI100" s="18"/>
      <c r="DJ100" s="18"/>
      <c r="DK100" s="18"/>
      <c r="DL100" s="18"/>
      <c r="DM100" s="18"/>
      <c r="DN100" s="18"/>
      <c r="DO100" s="18"/>
      <c r="DP100" s="18"/>
      <c r="DQ100" s="18"/>
      <c r="DR100" s="18"/>
      <c r="DS100" s="18"/>
      <c r="DT100" s="18"/>
      <c r="DU100" s="18"/>
      <c r="DV100" s="18"/>
      <c r="DW100" s="18"/>
      <c r="DX100" s="18"/>
      <c r="DY100" s="18"/>
      <c r="DZ100" s="18"/>
      <c r="EA100" s="18"/>
      <c r="EB100" s="18"/>
      <c r="EC100" s="18"/>
      <c r="ED100" s="18"/>
      <c r="EE100" s="18"/>
      <c r="EF100" s="18"/>
      <c r="EG100" s="18"/>
      <c r="EH100" s="18"/>
      <c r="EI100" s="18"/>
      <c r="EJ100" s="18"/>
      <c r="EK100" s="18"/>
      <c r="EL100" s="18"/>
      <c r="EM100" s="18"/>
      <c r="EN100" s="18"/>
      <c r="EO100" s="18"/>
      <c r="EP100" s="18"/>
      <c r="EQ100" s="18"/>
      <c r="ER100" s="18"/>
      <c r="ES100" s="18"/>
      <c r="ET100" s="18"/>
      <c r="EU100" s="18"/>
      <c r="EV100" s="18"/>
      <c r="EW100" s="18"/>
      <c r="EX100" s="18"/>
      <c r="EY100" s="18"/>
      <c r="EZ100" s="18"/>
      <c r="FA100" s="18"/>
      <c r="FB100" s="18"/>
      <c r="FC100" s="18"/>
      <c r="FD100" s="18"/>
      <c r="FE100" s="18"/>
      <c r="FF100" s="18"/>
      <c r="FG100" s="18"/>
      <c r="FH100" s="18"/>
      <c r="FI100" s="18"/>
      <c r="FJ100" s="18"/>
      <c r="FK100" s="18"/>
      <c r="FL100" s="18"/>
      <c r="FM100" s="18"/>
      <c r="FN100" s="18"/>
      <c r="FO100" s="18"/>
      <c r="FP100" s="18"/>
      <c r="FQ100" s="18"/>
      <c r="FR100" s="18"/>
      <c r="FS100" s="18"/>
      <c r="FT100" s="18"/>
      <c r="FU100" s="18"/>
      <c r="FV100" s="18"/>
      <c r="FW100" s="18"/>
      <c r="FX100" s="18"/>
      <c r="FY100" s="18"/>
      <c r="FZ100" s="18"/>
      <c r="GA100" s="18"/>
      <c r="GB100" s="18"/>
      <c r="GC100" s="18"/>
      <c r="GD100" s="18"/>
      <c r="GE100" s="18"/>
      <c r="GF100" s="18"/>
      <c r="GG100" s="18"/>
      <c r="GH100" s="18"/>
      <c r="GI100" s="18"/>
      <c r="GJ100" s="18"/>
      <c r="GK100" s="18"/>
      <c r="GL100" s="18"/>
      <c r="GM100" s="18"/>
      <c r="GN100" s="18"/>
      <c r="GO100" s="18"/>
      <c r="GP100" s="18"/>
      <c r="GQ100" s="18"/>
      <c r="GR100" s="18"/>
      <c r="GS100" s="18"/>
      <c r="GT100" s="18"/>
      <c r="GU100" s="18"/>
      <c r="GV100" s="18"/>
      <c r="GW100" s="18"/>
      <c r="GX100" s="18"/>
      <c r="GY100" s="18"/>
      <c r="GZ100" s="18"/>
      <c r="HA100" s="18"/>
      <c r="HB100" s="18"/>
      <c r="HC100" s="18"/>
      <c r="HD100" s="18"/>
      <c r="HE100" s="18"/>
      <c r="HF100" s="18"/>
      <c r="HG100" s="18"/>
      <c r="HH100" s="18"/>
      <c r="HI100" s="18"/>
      <c r="HJ100" s="18"/>
      <c r="HK100" s="18"/>
      <c r="HL100" s="18"/>
      <c r="HM100" s="18"/>
      <c r="HN100" s="18"/>
      <c r="HO100" s="18"/>
      <c r="HP100" s="18"/>
      <c r="HQ100" s="18"/>
      <c r="HR100" s="18"/>
      <c r="HS100" s="18"/>
      <c r="HT100" s="18"/>
      <c r="HU100" s="18"/>
      <c r="HV100" s="18"/>
      <c r="HW100" s="18"/>
      <c r="HX100" s="18"/>
      <c r="HY100" s="18"/>
      <c r="HZ100" s="18"/>
      <c r="IA100" s="18"/>
      <c r="IB100" s="18"/>
      <c r="IC100" s="18"/>
      <c r="ID100" s="18"/>
      <c r="IE100" s="18"/>
      <c r="IF100" s="18"/>
      <c r="IG100" s="18"/>
      <c r="IH100" s="18"/>
      <c r="II100" s="18"/>
      <c r="IJ100" s="18"/>
      <c r="IK100" s="18"/>
      <c r="IL100" s="18"/>
      <c r="IM100" s="18"/>
      <c r="IN100" s="18"/>
      <c r="IO100" s="18"/>
      <c r="IP100" s="18"/>
      <c r="IQ100" s="18"/>
      <c r="IR100" s="18"/>
      <c r="IS100" s="18"/>
      <c r="IT100" s="18"/>
      <c r="IU100" s="18"/>
      <c r="IV100" s="18"/>
      <c r="IW100" s="18"/>
      <c r="IX100" s="18"/>
      <c r="IY100" s="18"/>
      <c r="IZ100" s="18"/>
      <c r="JA100" s="18"/>
      <c r="JB100" s="18"/>
      <c r="JC100" s="18"/>
      <c r="JD100" s="18"/>
      <c r="JE100" s="18"/>
      <c r="JF100" s="18"/>
      <c r="JG100" s="18"/>
      <c r="JH100" s="18"/>
      <c r="JI100" s="18"/>
      <c r="JJ100" s="18"/>
      <c r="JK100" s="18"/>
      <c r="JL100" s="18"/>
      <c r="JM100" s="18"/>
      <c r="JN100" s="18"/>
      <c r="JO100" s="18"/>
      <c r="JP100" s="18"/>
      <c r="JQ100" s="18"/>
      <c r="JR100" s="18"/>
      <c r="JS100" s="18"/>
      <c r="JT100" s="18"/>
      <c r="JU100" s="18"/>
      <c r="JV100" s="18"/>
      <c r="JW100" s="18"/>
      <c r="JX100" s="18"/>
      <c r="JY100" s="18"/>
      <c r="JZ100" s="18"/>
      <c r="KA100" s="18"/>
      <c r="KB100" s="18"/>
      <c r="KC100" s="18"/>
      <c r="KD100" s="18"/>
      <c r="KE100" s="18"/>
      <c r="KF100" s="18"/>
      <c r="KG100" s="18"/>
      <c r="KH100" s="18"/>
      <c r="KI100" s="18"/>
      <c r="KJ100" s="18"/>
      <c r="KK100" s="18"/>
      <c r="KL100" s="18"/>
      <c r="KM100" s="18"/>
      <c r="KN100" s="18"/>
      <c r="KO100" s="18"/>
      <c r="KP100" s="18"/>
      <c r="KQ100" s="18"/>
      <c r="KR100" s="18"/>
      <c r="KS100" s="18"/>
      <c r="KT100" s="18"/>
      <c r="KU100" s="18"/>
      <c r="KV100" s="18"/>
      <c r="KW100" s="18"/>
      <c r="KX100" s="18"/>
      <c r="KY100" s="18"/>
      <c r="KZ100" s="18"/>
      <c r="LA100" s="18"/>
      <c r="LB100" s="18"/>
      <c r="LC100" s="18"/>
      <c r="LD100" s="18"/>
      <c r="LE100" s="18"/>
      <c r="LF100" s="18"/>
      <c r="LG100" s="18"/>
      <c r="LH100" s="18"/>
      <c r="LI100" s="18"/>
      <c r="LJ100" s="18"/>
      <c r="LK100" s="18"/>
      <c r="LL100" s="18"/>
      <c r="LM100" s="18"/>
      <c r="LN100" s="18"/>
      <c r="LO100" s="18"/>
      <c r="LP100" s="18"/>
      <c r="LQ100" s="18"/>
      <c r="LR100" s="18"/>
      <c r="LS100" s="18"/>
      <c r="LT100" s="18"/>
      <c r="LU100" s="18"/>
      <c r="LV100" s="18"/>
      <c r="LW100" s="18"/>
      <c r="LX100" s="18"/>
      <c r="LY100" s="18"/>
      <c r="LZ100" s="18"/>
      <c r="MA100" s="18"/>
      <c r="MB100" s="18"/>
      <c r="MC100" s="18"/>
      <c r="MD100" s="18"/>
      <c r="ME100" s="18"/>
      <c r="MF100" s="18"/>
      <c r="MG100" s="18"/>
      <c r="MH100" s="18"/>
      <c r="MI100" s="18"/>
      <c r="MJ100" s="18"/>
      <c r="MK100" s="18"/>
      <c r="ML100" s="18"/>
      <c r="MM100" s="18"/>
      <c r="MN100" s="18"/>
      <c r="MO100" s="18"/>
      <c r="MP100" s="18"/>
      <c r="MQ100" s="18"/>
      <c r="MR100" s="18"/>
      <c r="MS100" s="18"/>
      <c r="MT100" s="18"/>
      <c r="MU100" s="18"/>
      <c r="MV100" s="18"/>
      <c r="MW100" s="18"/>
      <c r="MX100" s="18"/>
      <c r="MY100" s="18"/>
      <c r="MZ100" s="18"/>
      <c r="NA100" s="18"/>
      <c r="NB100" s="18"/>
      <c r="NC100" s="18"/>
      <c r="ND100" s="18"/>
      <c r="NE100" s="18"/>
      <c r="NF100" s="18"/>
      <c r="NG100" s="18"/>
      <c r="NH100" s="18"/>
      <c r="NI100" s="18"/>
      <c r="NJ100" s="18"/>
      <c r="NK100" s="18"/>
      <c r="NL100" s="18"/>
      <c r="NM100" s="18"/>
      <c r="NN100" s="18"/>
      <c r="NO100" s="18"/>
      <c r="NP100" s="18"/>
      <c r="NQ100" s="18"/>
      <c r="NR100" s="18"/>
      <c r="NS100" s="18"/>
      <c r="NT100" s="18"/>
      <c r="NU100" s="18"/>
      <c r="NV100" s="18"/>
      <c r="NW100" s="18"/>
      <c r="NX100" s="18"/>
      <c r="NY100" s="18"/>
      <c r="NZ100" s="18"/>
      <c r="OA100" s="18"/>
      <c r="OB100" s="18"/>
      <c r="OC100" s="18"/>
      <c r="OD100" s="18"/>
      <c r="OE100" s="18"/>
      <c r="OF100" s="18"/>
      <c r="OG100" s="18"/>
      <c r="OH100" s="18"/>
      <c r="OI100" s="18"/>
      <c r="OJ100" s="18"/>
      <c r="OK100" s="18"/>
      <c r="OL100" s="18"/>
      <c r="OM100" s="18"/>
      <c r="ON100" s="18"/>
      <c r="OO100" s="18"/>
      <c r="OP100" s="18"/>
      <c r="OQ100" s="18"/>
      <c r="OR100" s="18"/>
      <c r="OS100" s="18"/>
      <c r="OT100" s="18"/>
      <c r="OU100" s="18"/>
      <c r="OV100" s="18"/>
      <c r="OW100" s="18"/>
      <c r="OX100" s="18"/>
      <c r="OY100" s="18"/>
      <c r="OZ100" s="18"/>
      <c r="PA100" s="18"/>
      <c r="PB100" s="18"/>
      <c r="PC100" s="18"/>
      <c r="PD100" s="18"/>
      <c r="PE100" s="18"/>
      <c r="PF100" s="18"/>
      <c r="PG100" s="18"/>
      <c r="PH100" s="18"/>
      <c r="PI100" s="18"/>
      <c r="PJ100" s="18"/>
      <c r="PK100" s="18"/>
      <c r="PL100" s="18"/>
      <c r="PM100" s="18"/>
      <c r="PN100" s="18"/>
      <c r="PO100" s="18"/>
      <c r="PP100" s="18"/>
      <c r="PQ100" s="18"/>
      <c r="PR100" s="18"/>
      <c r="PS100" s="18"/>
      <c r="PT100" s="18"/>
      <c r="PU100" s="18"/>
      <c r="PV100" s="18"/>
      <c r="PW100" s="18"/>
      <c r="PX100" s="18"/>
      <c r="PY100" s="18"/>
      <c r="PZ100" s="18"/>
      <c r="QA100" s="18"/>
      <c r="QB100" s="18"/>
      <c r="QC100" s="18"/>
      <c r="QD100" s="18"/>
      <c r="QE100" s="18"/>
      <c r="QF100" s="18"/>
      <c r="QG100" s="18"/>
      <c r="QH100" s="18"/>
      <c r="QI100" s="18"/>
      <c r="QJ100" s="18"/>
      <c r="QK100" s="18"/>
      <c r="QL100" s="18"/>
      <c r="QM100" s="18"/>
      <c r="QN100" s="18"/>
      <c r="QO100" s="18"/>
      <c r="QP100" s="18"/>
      <c r="QQ100" s="18"/>
      <c r="QR100" s="18"/>
      <c r="QS100" s="18"/>
      <c r="QT100" s="18"/>
      <c r="QU100" s="18"/>
      <c r="QV100" s="18"/>
      <c r="QW100" s="18"/>
      <c r="QX100" s="18"/>
      <c r="QY100" s="18"/>
      <c r="QZ100" s="18"/>
      <c r="RA100" s="18"/>
      <c r="RB100" s="18"/>
      <c r="RC100" s="18"/>
      <c r="RD100" s="18"/>
      <c r="RE100" s="18"/>
      <c r="RF100" s="18"/>
      <c r="RG100" s="18"/>
      <c r="RH100" s="18"/>
      <c r="RI100" s="18"/>
      <c r="RJ100" s="18"/>
      <c r="RK100" s="18"/>
      <c r="RL100" s="18"/>
      <c r="RM100" s="18"/>
      <c r="RN100" s="18"/>
      <c r="RO100" s="18"/>
      <c r="RP100" s="18"/>
      <c r="RQ100" s="18"/>
      <c r="RR100" s="18"/>
      <c r="RS100" s="18"/>
      <c r="RT100" s="18"/>
      <c r="RU100" s="18"/>
      <c r="RV100" s="18"/>
      <c r="RW100" s="18"/>
      <c r="RX100" s="18"/>
      <c r="RY100" s="18"/>
      <c r="RZ100" s="18"/>
      <c r="SA100" s="18"/>
      <c r="SB100" s="18"/>
      <c r="SC100" s="18"/>
      <c r="SD100" s="18"/>
      <c r="SE100" s="18"/>
      <c r="SF100" s="18"/>
      <c r="SG100" s="18"/>
      <c r="SH100" s="18"/>
      <c r="SI100" s="18"/>
      <c r="SJ100" s="18"/>
      <c r="SK100" s="18"/>
      <c r="SL100" s="18"/>
      <c r="SM100" s="18"/>
      <c r="SN100" s="18"/>
      <c r="SO100" s="18"/>
      <c r="SP100" s="18"/>
      <c r="SQ100" s="18"/>
      <c r="SR100" s="18"/>
      <c r="SS100" s="18"/>
      <c r="ST100" s="18"/>
      <c r="SU100" s="18"/>
      <c r="SV100" s="18"/>
      <c r="SW100" s="18"/>
      <c r="SX100" s="18"/>
      <c r="SY100" s="18"/>
      <c r="SZ100" s="18"/>
      <c r="TA100" s="18"/>
      <c r="TB100" s="18"/>
      <c r="TC100" s="18"/>
      <c r="TD100" s="18"/>
      <c r="TE100" s="18"/>
      <c r="TF100" s="18"/>
      <c r="TG100" s="18"/>
      <c r="TH100" s="18"/>
      <c r="TI100" s="18"/>
      <c r="TJ100" s="18"/>
      <c r="TK100" s="18"/>
      <c r="TL100" s="18"/>
      <c r="TM100" s="18"/>
      <c r="TN100" s="18"/>
      <c r="TO100" s="18"/>
      <c r="TP100" s="18"/>
      <c r="TQ100" s="18"/>
      <c r="TR100" s="18"/>
      <c r="TS100" s="18"/>
      <c r="TT100" s="18"/>
      <c r="TU100" s="18"/>
      <c r="TV100" s="18"/>
      <c r="TW100" s="18"/>
      <c r="TX100" s="18"/>
      <c r="TY100" s="18"/>
      <c r="TZ100" s="18"/>
      <c r="UA100" s="18"/>
      <c r="UB100" s="18"/>
      <c r="UC100" s="18"/>
      <c r="UD100" s="18"/>
      <c r="UE100" s="18"/>
      <c r="UF100" s="18"/>
      <c r="UG100" s="18"/>
      <c r="UH100" s="18"/>
      <c r="UI100" s="18"/>
      <c r="UJ100" s="18"/>
      <c r="UK100" s="18"/>
      <c r="UL100" s="18"/>
      <c r="UM100" s="18"/>
      <c r="UN100" s="18"/>
      <c r="UO100" s="18"/>
      <c r="UP100" s="18"/>
      <c r="UQ100" s="18"/>
      <c r="UR100" s="18"/>
      <c r="US100" s="18"/>
      <c r="UT100" s="18"/>
      <c r="UU100" s="18"/>
      <c r="UV100" s="18"/>
      <c r="UW100" s="18"/>
      <c r="UX100" s="18"/>
      <c r="UY100" s="18"/>
      <c r="UZ100" s="18"/>
      <c r="VA100" s="18"/>
      <c r="VB100" s="18"/>
      <c r="VC100" s="18"/>
      <c r="VD100" s="18"/>
      <c r="VE100" s="18"/>
      <c r="VF100" s="18"/>
      <c r="VG100" s="18"/>
      <c r="VH100" s="18"/>
      <c r="VI100" s="18"/>
      <c r="VJ100" s="18"/>
      <c r="VK100" s="18"/>
      <c r="VL100" s="18"/>
      <c r="VM100" s="18"/>
      <c r="VN100" s="18"/>
      <c r="VO100" s="18"/>
      <c r="VP100" s="18"/>
      <c r="VQ100" s="18"/>
      <c r="VR100" s="18"/>
      <c r="VS100" s="18"/>
      <c r="VT100" s="18"/>
      <c r="VU100" s="18"/>
      <c r="VV100" s="18"/>
      <c r="VW100" s="18"/>
      <c r="VX100" s="18"/>
      <c r="VY100" s="18"/>
      <c r="VZ100" s="18"/>
      <c r="WA100" s="18"/>
      <c r="WB100" s="18"/>
      <c r="WC100" s="18"/>
      <c r="WD100" s="18"/>
      <c r="WE100" s="18"/>
      <c r="WF100" s="18"/>
      <c r="WG100" s="18"/>
      <c r="WH100" s="18"/>
      <c r="WI100" s="18"/>
      <c r="WJ100" s="18"/>
      <c r="WK100" s="18"/>
      <c r="WL100" s="18"/>
      <c r="WM100" s="18"/>
      <c r="WN100" s="18"/>
      <c r="WO100" s="18"/>
      <c r="WP100" s="18"/>
      <c r="WQ100" s="18"/>
      <c r="WR100" s="18"/>
      <c r="WS100" s="18"/>
      <c r="WT100" s="18"/>
      <c r="WU100" s="18"/>
      <c r="WV100" s="18"/>
      <c r="WW100" s="18"/>
      <c r="WX100" s="18"/>
      <c r="WY100" s="18"/>
      <c r="WZ100" s="18"/>
      <c r="XA100" s="18"/>
      <c r="XB100" s="18"/>
      <c r="XC100" s="18"/>
      <c r="XD100" s="18"/>
      <c r="XE100" s="18"/>
      <c r="XF100" s="18"/>
      <c r="XG100" s="18"/>
      <c r="XH100" s="18"/>
      <c r="XI100" s="18"/>
      <c r="XJ100" s="18"/>
      <c r="XK100" s="18"/>
      <c r="XL100" s="18"/>
      <c r="XM100" s="18"/>
      <c r="XN100" s="18"/>
      <c r="XO100" s="18"/>
      <c r="XP100" s="18"/>
      <c r="XQ100" s="18"/>
      <c r="XR100" s="18"/>
      <c r="XS100" s="18"/>
      <c r="XT100" s="18"/>
      <c r="XU100" s="18"/>
      <c r="XV100" s="18"/>
      <c r="XW100" s="18"/>
      <c r="XX100" s="18"/>
      <c r="XY100" s="18"/>
      <c r="XZ100" s="18"/>
      <c r="YA100" s="18"/>
      <c r="YB100" s="18"/>
      <c r="YC100" s="18"/>
      <c r="YD100" s="18"/>
      <c r="YE100" s="18"/>
      <c r="YF100" s="18"/>
      <c r="YG100" s="18"/>
      <c r="YH100" s="18"/>
      <c r="YI100" s="18"/>
      <c r="YJ100" s="18"/>
      <c r="YK100" s="18"/>
      <c r="YL100" s="18"/>
      <c r="YM100" s="18"/>
      <c r="YN100" s="18"/>
      <c r="YO100" s="18"/>
      <c r="YP100" s="18"/>
      <c r="YQ100" s="18"/>
      <c r="YR100" s="18"/>
      <c r="YS100" s="18"/>
      <c r="YT100" s="18"/>
      <c r="YU100" s="18"/>
      <c r="YV100" s="18"/>
      <c r="YW100" s="18"/>
      <c r="YX100" s="18"/>
      <c r="YY100" s="18"/>
      <c r="YZ100" s="18"/>
      <c r="ZA100" s="18"/>
      <c r="ZB100" s="18"/>
      <c r="ZC100" s="18"/>
      <c r="ZD100" s="18"/>
      <c r="ZE100" s="18"/>
      <c r="ZF100" s="18"/>
      <c r="ZG100" s="18"/>
      <c r="ZH100" s="18"/>
      <c r="ZI100" s="18"/>
      <c r="ZJ100" s="18"/>
      <c r="ZK100" s="18"/>
      <c r="ZL100" s="18"/>
      <c r="ZM100" s="18"/>
      <c r="ZN100" s="18"/>
      <c r="ZO100" s="18"/>
      <c r="ZP100" s="18"/>
      <c r="ZQ100" s="18"/>
      <c r="ZR100" s="18"/>
      <c r="ZS100" s="18"/>
      <c r="ZT100" s="18"/>
      <c r="ZU100" s="18"/>
      <c r="ZV100" s="18"/>
      <c r="ZW100" s="18"/>
      <c r="ZX100" s="18"/>
      <c r="ZY100" s="18"/>
      <c r="ZZ100" s="18"/>
      <c r="AAA100" s="18"/>
      <c r="AAB100" s="18"/>
      <c r="AAC100" s="18"/>
      <c r="AAD100" s="18"/>
      <c r="AAE100" s="18"/>
      <c r="AAF100" s="18"/>
      <c r="AAG100" s="18"/>
      <c r="AAH100" s="18"/>
      <c r="AAI100" s="18"/>
      <c r="AAJ100" s="18"/>
      <c r="AAK100" s="18"/>
      <c r="AAL100" s="18"/>
      <c r="AAM100" s="18"/>
      <c r="AAN100" s="18"/>
      <c r="AAO100" s="18"/>
      <c r="AAP100" s="18"/>
      <c r="AAQ100" s="18"/>
      <c r="AAR100" s="18"/>
      <c r="AAS100" s="18"/>
      <c r="AAT100" s="18"/>
      <c r="AAU100" s="18"/>
      <c r="AAV100" s="18"/>
      <c r="AAW100" s="18"/>
      <c r="AAX100" s="18"/>
      <c r="AAY100" s="18"/>
      <c r="AAZ100" s="18"/>
      <c r="ABA100" s="18"/>
      <c r="ABB100" s="18"/>
      <c r="ABC100" s="18"/>
      <c r="ABD100" s="18"/>
      <c r="ABE100" s="18"/>
      <c r="ABF100" s="18"/>
      <c r="ABG100" s="18"/>
      <c r="ABH100" s="18"/>
      <c r="ABI100" s="18"/>
      <c r="ABJ100" s="18"/>
      <c r="ABK100" s="18"/>
      <c r="ABL100" s="18"/>
      <c r="ABM100" s="18"/>
      <c r="ABN100" s="18"/>
      <c r="ABO100" s="18"/>
      <c r="ABP100" s="18"/>
      <c r="ABQ100" s="18"/>
      <c r="ABR100" s="18"/>
      <c r="ABS100" s="18"/>
      <c r="ABT100" s="18"/>
      <c r="ABU100" s="18"/>
      <c r="ABV100" s="18"/>
      <c r="ABW100" s="18"/>
      <c r="ABX100" s="18"/>
      <c r="ABY100" s="18"/>
      <c r="ABZ100" s="18"/>
      <c r="ACA100" s="18"/>
      <c r="ACB100" s="18"/>
      <c r="ACC100" s="18"/>
      <c r="ACD100" s="18"/>
      <c r="ACE100" s="18"/>
      <c r="ACF100" s="18"/>
      <c r="ACG100" s="18"/>
      <c r="ACH100" s="18"/>
      <c r="ACI100" s="18"/>
      <c r="ACJ100" s="18"/>
      <c r="ACK100" s="18"/>
      <c r="ACL100" s="18"/>
      <c r="ACM100" s="18"/>
      <c r="ACN100" s="18"/>
      <c r="ACO100" s="18"/>
      <c r="ACP100" s="18"/>
      <c r="ACQ100" s="18"/>
      <c r="ACR100" s="18"/>
      <c r="ACS100" s="18"/>
      <c r="ACT100" s="18"/>
      <c r="ACU100" s="18"/>
      <c r="ACV100" s="18"/>
      <c r="ACW100" s="18"/>
      <c r="ACX100" s="18"/>
      <c r="ACY100" s="18"/>
      <c r="ACZ100" s="18"/>
      <c r="ADA100" s="18"/>
      <c r="ADB100" s="18"/>
      <c r="ADC100" s="18"/>
      <c r="ADD100" s="18"/>
      <c r="ADE100" s="18"/>
      <c r="ADF100" s="18"/>
      <c r="ADG100" s="18"/>
      <c r="ADH100" s="18"/>
      <c r="ADI100" s="18"/>
      <c r="ADJ100" s="18"/>
      <c r="ADK100" s="18"/>
      <c r="ADL100" s="18"/>
      <c r="ADM100" s="18"/>
      <c r="ADN100" s="18"/>
      <c r="ADO100" s="18"/>
      <c r="ADP100" s="18"/>
      <c r="ADQ100" s="18"/>
      <c r="ADR100" s="18"/>
      <c r="ADS100" s="18"/>
      <c r="ADT100" s="18"/>
      <c r="ADU100" s="18"/>
      <c r="ADV100" s="18"/>
      <c r="ADW100" s="18"/>
      <c r="ADX100" s="18"/>
      <c r="ADY100" s="18"/>
      <c r="ADZ100" s="18"/>
      <c r="AEA100" s="18"/>
      <c r="AEB100" s="18"/>
      <c r="AEC100" s="18"/>
      <c r="AED100" s="18"/>
      <c r="AEE100" s="18"/>
      <c r="AEF100" s="18"/>
      <c r="AEG100" s="18"/>
      <c r="AEH100" s="18"/>
      <c r="AEI100" s="18"/>
      <c r="AEJ100" s="18"/>
      <c r="AEK100" s="18"/>
      <c r="AEL100" s="18"/>
      <c r="AEM100" s="18"/>
      <c r="AEN100" s="18"/>
      <c r="AEO100" s="18"/>
      <c r="AEP100" s="18"/>
      <c r="AEQ100" s="18"/>
      <c r="AER100" s="18"/>
      <c r="AES100" s="18"/>
      <c r="AET100" s="18"/>
      <c r="AEU100" s="18"/>
      <c r="AEV100" s="18"/>
      <c r="AEW100" s="18"/>
      <c r="AEX100" s="18"/>
      <c r="AEY100" s="18"/>
      <c r="AEZ100" s="18"/>
      <c r="AFA100" s="18"/>
      <c r="AFB100" s="18"/>
      <c r="AFC100" s="18"/>
      <c r="AFD100" s="18"/>
      <c r="AFE100" s="18"/>
      <c r="AFF100" s="18"/>
      <c r="AFG100" s="18"/>
      <c r="AFH100" s="18"/>
      <c r="AFI100" s="18"/>
      <c r="AFJ100" s="18"/>
      <c r="AFK100" s="18"/>
      <c r="AFL100" s="18"/>
      <c r="AFM100" s="18"/>
      <c r="AFN100" s="18"/>
      <c r="AFO100" s="18"/>
      <c r="AFP100" s="18"/>
      <c r="AFQ100" s="18"/>
      <c r="AFR100" s="18"/>
      <c r="AFS100" s="18"/>
      <c r="AFT100" s="18"/>
      <c r="AFU100" s="18"/>
      <c r="AFV100" s="18"/>
      <c r="AFW100" s="18"/>
      <c r="AFX100" s="18"/>
      <c r="AFY100" s="18"/>
      <c r="AFZ100" s="18"/>
      <c r="AGA100" s="18"/>
      <c r="AGB100" s="18"/>
      <c r="AGC100" s="18"/>
      <c r="AGD100" s="18"/>
      <c r="AGE100" s="18"/>
      <c r="AGF100" s="18"/>
      <c r="AGG100" s="18"/>
      <c r="AGH100" s="18"/>
      <c r="AGI100" s="18"/>
      <c r="AGJ100" s="18"/>
      <c r="AGK100" s="18"/>
      <c r="AGL100" s="18"/>
      <c r="AGM100" s="18"/>
      <c r="AGN100" s="18"/>
      <c r="AGO100" s="18"/>
      <c r="AGP100" s="18"/>
      <c r="AGQ100" s="18"/>
      <c r="AGR100" s="18"/>
      <c r="AGS100" s="18"/>
      <c r="AGT100" s="18"/>
      <c r="AGU100" s="18"/>
      <c r="AGV100" s="18"/>
      <c r="AGW100" s="18"/>
      <c r="AGX100" s="18"/>
      <c r="AGY100" s="18"/>
      <c r="AGZ100" s="18"/>
      <c r="AHA100" s="18"/>
      <c r="AHB100" s="18"/>
      <c r="AHC100" s="18"/>
      <c r="AHD100" s="18"/>
      <c r="AHE100" s="18"/>
      <c r="AHF100" s="18"/>
      <c r="AHG100" s="18"/>
      <c r="AHH100" s="18"/>
      <c r="AHI100" s="18"/>
      <c r="AHJ100" s="18"/>
      <c r="AHK100" s="18"/>
      <c r="AHL100" s="18"/>
      <c r="AHM100" s="18"/>
      <c r="AHN100" s="18"/>
      <c r="AHO100" s="18"/>
      <c r="AHP100" s="18"/>
      <c r="AHQ100" s="18"/>
      <c r="AHR100" s="18"/>
      <c r="AHS100" s="18"/>
      <c r="AHT100" s="18"/>
      <c r="AHU100" s="18"/>
      <c r="AHV100" s="18"/>
      <c r="AHW100" s="18"/>
      <c r="AHX100" s="18"/>
      <c r="AHY100" s="18"/>
      <c r="AHZ100" s="18"/>
      <c r="AIA100" s="18"/>
      <c r="AIB100" s="18"/>
      <c r="AIC100" s="18"/>
      <c r="AID100" s="18"/>
      <c r="AIE100" s="18"/>
      <c r="AIF100" s="18"/>
      <c r="AIG100" s="18"/>
      <c r="AIH100" s="18"/>
      <c r="AII100" s="18"/>
      <c r="AIJ100" s="18"/>
      <c r="AIK100" s="18"/>
      <c r="AIL100" s="18"/>
      <c r="AIM100" s="18"/>
      <c r="AIN100" s="18"/>
      <c r="AIO100" s="18"/>
      <c r="AIP100" s="18"/>
      <c r="AIQ100" s="18"/>
      <c r="AIR100" s="18"/>
      <c r="AIS100" s="18"/>
      <c r="AIT100" s="18"/>
      <c r="AIU100" s="18"/>
      <c r="AIV100" s="18"/>
      <c r="AIW100" s="18"/>
      <c r="AIX100" s="18"/>
      <c r="AIY100" s="18"/>
      <c r="AIZ100" s="18"/>
      <c r="AJA100" s="18"/>
      <c r="AJB100" s="18"/>
      <c r="AJC100" s="18"/>
      <c r="AJD100" s="18"/>
      <c r="AJE100" s="18"/>
      <c r="AJF100" s="18"/>
      <c r="AJG100" s="18"/>
      <c r="AJH100" s="18"/>
      <c r="AJI100" s="18"/>
      <c r="AJJ100" s="18"/>
      <c r="AJK100" s="18"/>
      <c r="AJL100" s="18"/>
      <c r="AJM100" s="18"/>
      <c r="AJN100" s="18"/>
      <c r="AJO100" s="18"/>
      <c r="AJP100" s="18"/>
      <c r="AJQ100" s="18"/>
      <c r="AJR100" s="18"/>
      <c r="AJS100" s="18"/>
      <c r="AJT100" s="18"/>
      <c r="AJU100" s="18"/>
      <c r="AJV100" s="18"/>
      <c r="AJW100" s="18"/>
      <c r="AJX100" s="18"/>
      <c r="AJY100" s="18"/>
      <c r="AJZ100" s="18"/>
      <c r="AKA100" s="18"/>
      <c r="AKB100" s="18"/>
      <c r="AKC100" s="18"/>
      <c r="AKD100" s="18"/>
      <c r="AKE100" s="18"/>
      <c r="AKF100" s="18"/>
      <c r="AKG100" s="18"/>
      <c r="AKH100" s="18"/>
      <c r="AKI100" s="18"/>
      <c r="AKJ100" s="18"/>
      <c r="AKK100" s="18"/>
      <c r="AKL100" s="18"/>
      <c r="AKM100" s="18"/>
      <c r="AKN100" s="18"/>
      <c r="AKO100" s="18"/>
      <c r="AKP100" s="18"/>
      <c r="AKQ100" s="18"/>
      <c r="AKR100" s="18"/>
      <c r="AKS100" s="18"/>
      <c r="AKT100" s="18"/>
      <c r="AKU100" s="18"/>
      <c r="AKV100" s="18"/>
      <c r="AKW100" s="18"/>
      <c r="AKX100" s="18"/>
      <c r="AKY100" s="18"/>
      <c r="AKZ100" s="18"/>
      <c r="ALA100" s="18"/>
      <c r="ALB100" s="18"/>
      <c r="ALC100" s="18"/>
      <c r="ALD100" s="18"/>
      <c r="ALE100" s="18"/>
      <c r="ALF100" s="18"/>
      <c r="ALG100" s="18"/>
      <c r="ALH100" s="18"/>
      <c r="ALI100" s="18"/>
      <c r="ALJ100" s="18"/>
      <c r="ALK100" s="18"/>
      <c r="ALL100" s="18"/>
      <c r="ALM100" s="18"/>
      <c r="ALN100" s="18"/>
      <c r="ALO100" s="18"/>
      <c r="ALP100" s="18"/>
      <c r="ALQ100" s="18"/>
      <c r="ALR100" s="18"/>
      <c r="ALS100" s="18"/>
      <c r="ALT100" s="18"/>
      <c r="ALU100" s="18"/>
      <c r="ALV100" s="18"/>
      <c r="ALW100" s="18"/>
      <c r="ALX100" s="18"/>
      <c r="ALY100" s="18"/>
      <c r="ALZ100" s="18"/>
      <c r="AMA100" s="18"/>
      <c r="AMB100" s="18"/>
      <c r="AMC100" s="18"/>
      <c r="AMD100" s="18"/>
      <c r="AME100" s="18"/>
      <c r="AMF100" s="18"/>
      <c r="AMG100" s="18"/>
      <c r="AMH100" s="18"/>
    </row>
    <row r="101" spans="1:1022" s="23" customFormat="1" x14ac:dyDescent="0.3">
      <c r="A101" s="33">
        <v>197</v>
      </c>
      <c r="B101" s="19"/>
      <c r="C101" s="19"/>
      <c r="D101" s="34"/>
      <c r="E101" s="34"/>
      <c r="F101" s="19"/>
      <c r="G101" s="19"/>
      <c r="H101" s="18"/>
      <c r="I101" s="31"/>
      <c r="J101" s="31"/>
      <c r="K101" s="31"/>
      <c r="L101" s="31"/>
      <c r="M101" s="32"/>
      <c r="N101" s="32"/>
      <c r="O101" s="18"/>
      <c r="P101" s="36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18"/>
      <c r="BK101" s="18"/>
      <c r="BL101" s="18"/>
      <c r="BM101" s="18"/>
      <c r="BN101" s="18"/>
      <c r="BO101" s="18"/>
      <c r="BP101" s="18"/>
      <c r="BQ101" s="18"/>
      <c r="BR101" s="18"/>
      <c r="BS101" s="18"/>
      <c r="BT101" s="18"/>
      <c r="BU101" s="18"/>
      <c r="BV101" s="18"/>
      <c r="BW101" s="18"/>
      <c r="BX101" s="18"/>
      <c r="BY101" s="18"/>
      <c r="BZ101" s="18"/>
      <c r="CA101" s="18"/>
      <c r="CB101" s="18"/>
      <c r="CC101" s="18"/>
      <c r="CD101" s="18"/>
      <c r="CE101" s="18"/>
      <c r="CF101" s="18"/>
      <c r="CG101" s="18"/>
      <c r="CH101" s="18"/>
      <c r="CI101" s="18"/>
      <c r="CJ101" s="18"/>
      <c r="CK101" s="18"/>
      <c r="CL101" s="18"/>
      <c r="CM101" s="18"/>
      <c r="CN101" s="18"/>
      <c r="CO101" s="18"/>
      <c r="CP101" s="18"/>
      <c r="CQ101" s="18"/>
      <c r="CR101" s="18"/>
      <c r="CS101" s="18"/>
      <c r="CT101" s="18"/>
      <c r="CU101" s="18"/>
      <c r="CV101" s="18"/>
      <c r="CW101" s="18"/>
      <c r="CX101" s="18"/>
      <c r="CY101" s="18"/>
      <c r="CZ101" s="18"/>
      <c r="DA101" s="18"/>
      <c r="DB101" s="18"/>
      <c r="DC101" s="18"/>
      <c r="DD101" s="18"/>
      <c r="DE101" s="18"/>
      <c r="DF101" s="18"/>
      <c r="DG101" s="18"/>
      <c r="DH101" s="18"/>
      <c r="DI101" s="18"/>
      <c r="DJ101" s="18"/>
      <c r="DK101" s="18"/>
      <c r="DL101" s="18"/>
      <c r="DM101" s="18"/>
      <c r="DN101" s="18"/>
      <c r="DO101" s="18"/>
      <c r="DP101" s="18"/>
      <c r="DQ101" s="18"/>
      <c r="DR101" s="18"/>
      <c r="DS101" s="18"/>
      <c r="DT101" s="18"/>
      <c r="DU101" s="18"/>
      <c r="DV101" s="18"/>
      <c r="DW101" s="18"/>
      <c r="DX101" s="18"/>
      <c r="DY101" s="18"/>
      <c r="DZ101" s="18"/>
      <c r="EA101" s="18"/>
      <c r="EB101" s="18"/>
      <c r="EC101" s="18"/>
      <c r="ED101" s="18"/>
      <c r="EE101" s="18"/>
      <c r="EF101" s="18"/>
      <c r="EG101" s="18"/>
      <c r="EH101" s="18"/>
      <c r="EI101" s="18"/>
      <c r="EJ101" s="18"/>
      <c r="EK101" s="18"/>
      <c r="EL101" s="18"/>
      <c r="EM101" s="18"/>
      <c r="EN101" s="18"/>
      <c r="EO101" s="18"/>
      <c r="EP101" s="18"/>
      <c r="EQ101" s="18"/>
      <c r="ER101" s="18"/>
      <c r="ES101" s="18"/>
      <c r="ET101" s="18"/>
      <c r="EU101" s="18"/>
      <c r="EV101" s="18"/>
      <c r="EW101" s="18"/>
      <c r="EX101" s="18"/>
      <c r="EY101" s="18"/>
      <c r="EZ101" s="18"/>
      <c r="FA101" s="18"/>
      <c r="FB101" s="18"/>
      <c r="FC101" s="18"/>
      <c r="FD101" s="18"/>
      <c r="FE101" s="18"/>
      <c r="FF101" s="18"/>
      <c r="FG101" s="18"/>
      <c r="FH101" s="18"/>
      <c r="FI101" s="18"/>
      <c r="FJ101" s="18"/>
      <c r="FK101" s="18"/>
      <c r="FL101" s="18"/>
      <c r="FM101" s="18"/>
      <c r="FN101" s="18"/>
      <c r="FO101" s="18"/>
      <c r="FP101" s="18"/>
      <c r="FQ101" s="18"/>
      <c r="FR101" s="18"/>
      <c r="FS101" s="18"/>
      <c r="FT101" s="18"/>
      <c r="FU101" s="18"/>
      <c r="FV101" s="18"/>
      <c r="FW101" s="18"/>
      <c r="FX101" s="18"/>
      <c r="FY101" s="18"/>
      <c r="FZ101" s="18"/>
      <c r="GA101" s="18"/>
      <c r="GB101" s="18"/>
      <c r="GC101" s="18"/>
      <c r="GD101" s="18"/>
      <c r="GE101" s="18"/>
      <c r="GF101" s="18"/>
      <c r="GG101" s="18"/>
      <c r="GH101" s="18"/>
      <c r="GI101" s="18"/>
      <c r="GJ101" s="18"/>
      <c r="GK101" s="18"/>
      <c r="GL101" s="18"/>
      <c r="GM101" s="18"/>
      <c r="GN101" s="18"/>
      <c r="GO101" s="18"/>
      <c r="GP101" s="18"/>
      <c r="GQ101" s="18"/>
      <c r="GR101" s="18"/>
      <c r="GS101" s="18"/>
      <c r="GT101" s="18"/>
      <c r="GU101" s="18"/>
      <c r="GV101" s="18"/>
      <c r="GW101" s="18"/>
      <c r="GX101" s="18"/>
      <c r="GY101" s="18"/>
      <c r="GZ101" s="18"/>
      <c r="HA101" s="18"/>
      <c r="HB101" s="18"/>
      <c r="HC101" s="18"/>
      <c r="HD101" s="18"/>
      <c r="HE101" s="18"/>
      <c r="HF101" s="18"/>
      <c r="HG101" s="18"/>
      <c r="HH101" s="18"/>
      <c r="HI101" s="18"/>
      <c r="HJ101" s="18"/>
      <c r="HK101" s="18"/>
      <c r="HL101" s="18"/>
      <c r="HM101" s="18"/>
      <c r="HN101" s="18"/>
      <c r="HO101" s="18"/>
      <c r="HP101" s="18"/>
      <c r="HQ101" s="18"/>
      <c r="HR101" s="18"/>
      <c r="HS101" s="18"/>
      <c r="HT101" s="18"/>
      <c r="HU101" s="18"/>
      <c r="HV101" s="18"/>
      <c r="HW101" s="18"/>
      <c r="HX101" s="18"/>
      <c r="HY101" s="18"/>
      <c r="HZ101" s="18"/>
      <c r="IA101" s="18"/>
      <c r="IB101" s="18"/>
      <c r="IC101" s="18"/>
      <c r="ID101" s="18"/>
      <c r="IE101" s="18"/>
      <c r="IF101" s="18"/>
      <c r="IG101" s="18"/>
      <c r="IH101" s="18"/>
      <c r="II101" s="18"/>
      <c r="IJ101" s="18"/>
      <c r="IK101" s="18"/>
      <c r="IL101" s="18"/>
      <c r="IM101" s="18"/>
      <c r="IN101" s="18"/>
      <c r="IO101" s="18"/>
      <c r="IP101" s="18"/>
      <c r="IQ101" s="18"/>
      <c r="IR101" s="18"/>
      <c r="IS101" s="18"/>
      <c r="IT101" s="18"/>
      <c r="IU101" s="18"/>
      <c r="IV101" s="18"/>
      <c r="IW101" s="18"/>
      <c r="IX101" s="18"/>
      <c r="IY101" s="18"/>
      <c r="IZ101" s="18"/>
      <c r="JA101" s="18"/>
      <c r="JB101" s="18"/>
      <c r="JC101" s="18"/>
      <c r="JD101" s="18"/>
      <c r="JE101" s="18"/>
      <c r="JF101" s="18"/>
      <c r="JG101" s="18"/>
      <c r="JH101" s="18"/>
      <c r="JI101" s="18"/>
      <c r="JJ101" s="18"/>
      <c r="JK101" s="18"/>
      <c r="JL101" s="18"/>
      <c r="JM101" s="18"/>
      <c r="JN101" s="18"/>
      <c r="JO101" s="18"/>
      <c r="JP101" s="18"/>
      <c r="JQ101" s="18"/>
      <c r="JR101" s="18"/>
      <c r="JS101" s="18"/>
      <c r="JT101" s="18"/>
      <c r="JU101" s="18"/>
      <c r="JV101" s="18"/>
      <c r="JW101" s="18"/>
      <c r="JX101" s="18"/>
      <c r="JY101" s="18"/>
      <c r="JZ101" s="18"/>
      <c r="KA101" s="18"/>
      <c r="KB101" s="18"/>
      <c r="KC101" s="18"/>
      <c r="KD101" s="18"/>
      <c r="KE101" s="18"/>
      <c r="KF101" s="18"/>
      <c r="KG101" s="18"/>
      <c r="KH101" s="18"/>
      <c r="KI101" s="18"/>
      <c r="KJ101" s="18"/>
      <c r="KK101" s="18"/>
      <c r="KL101" s="18"/>
      <c r="KM101" s="18"/>
      <c r="KN101" s="18"/>
      <c r="KO101" s="18"/>
      <c r="KP101" s="18"/>
      <c r="KQ101" s="18"/>
      <c r="KR101" s="18"/>
      <c r="KS101" s="18"/>
      <c r="KT101" s="18"/>
      <c r="KU101" s="18"/>
      <c r="KV101" s="18"/>
      <c r="KW101" s="18"/>
      <c r="KX101" s="18"/>
      <c r="KY101" s="18"/>
      <c r="KZ101" s="18"/>
      <c r="LA101" s="18"/>
      <c r="LB101" s="18"/>
      <c r="LC101" s="18"/>
      <c r="LD101" s="18"/>
      <c r="LE101" s="18"/>
      <c r="LF101" s="18"/>
      <c r="LG101" s="18"/>
      <c r="LH101" s="18"/>
      <c r="LI101" s="18"/>
      <c r="LJ101" s="18"/>
      <c r="LK101" s="18"/>
      <c r="LL101" s="18"/>
      <c r="LM101" s="18"/>
      <c r="LN101" s="18"/>
      <c r="LO101" s="18"/>
      <c r="LP101" s="18"/>
      <c r="LQ101" s="18"/>
      <c r="LR101" s="18"/>
      <c r="LS101" s="18"/>
      <c r="LT101" s="18"/>
      <c r="LU101" s="18"/>
      <c r="LV101" s="18"/>
      <c r="LW101" s="18"/>
      <c r="LX101" s="18"/>
      <c r="LY101" s="18"/>
      <c r="LZ101" s="18"/>
      <c r="MA101" s="18"/>
      <c r="MB101" s="18"/>
      <c r="MC101" s="18"/>
      <c r="MD101" s="18"/>
      <c r="ME101" s="18"/>
      <c r="MF101" s="18"/>
      <c r="MG101" s="18"/>
      <c r="MH101" s="18"/>
      <c r="MI101" s="18"/>
      <c r="MJ101" s="18"/>
      <c r="MK101" s="18"/>
      <c r="ML101" s="18"/>
      <c r="MM101" s="18"/>
      <c r="MN101" s="18"/>
      <c r="MO101" s="18"/>
      <c r="MP101" s="18"/>
      <c r="MQ101" s="18"/>
      <c r="MR101" s="18"/>
      <c r="MS101" s="18"/>
      <c r="MT101" s="18"/>
      <c r="MU101" s="18"/>
      <c r="MV101" s="18"/>
      <c r="MW101" s="18"/>
      <c r="MX101" s="18"/>
      <c r="MY101" s="18"/>
      <c r="MZ101" s="18"/>
      <c r="NA101" s="18"/>
      <c r="NB101" s="18"/>
      <c r="NC101" s="18"/>
      <c r="ND101" s="18"/>
      <c r="NE101" s="18"/>
      <c r="NF101" s="18"/>
      <c r="NG101" s="18"/>
      <c r="NH101" s="18"/>
      <c r="NI101" s="18"/>
      <c r="NJ101" s="18"/>
      <c r="NK101" s="18"/>
      <c r="NL101" s="18"/>
      <c r="NM101" s="18"/>
      <c r="NN101" s="18"/>
      <c r="NO101" s="18"/>
      <c r="NP101" s="18"/>
      <c r="NQ101" s="18"/>
      <c r="NR101" s="18"/>
      <c r="NS101" s="18"/>
      <c r="NT101" s="18"/>
      <c r="NU101" s="18"/>
      <c r="NV101" s="18"/>
      <c r="NW101" s="18"/>
      <c r="NX101" s="18"/>
      <c r="NY101" s="18"/>
      <c r="NZ101" s="18"/>
      <c r="OA101" s="18"/>
      <c r="OB101" s="18"/>
      <c r="OC101" s="18"/>
      <c r="OD101" s="18"/>
      <c r="OE101" s="18"/>
      <c r="OF101" s="18"/>
      <c r="OG101" s="18"/>
      <c r="OH101" s="18"/>
      <c r="OI101" s="18"/>
      <c r="OJ101" s="18"/>
      <c r="OK101" s="18"/>
      <c r="OL101" s="18"/>
      <c r="OM101" s="18"/>
      <c r="ON101" s="18"/>
      <c r="OO101" s="18"/>
      <c r="OP101" s="18"/>
      <c r="OQ101" s="18"/>
      <c r="OR101" s="18"/>
      <c r="OS101" s="18"/>
      <c r="OT101" s="18"/>
      <c r="OU101" s="18"/>
      <c r="OV101" s="18"/>
      <c r="OW101" s="18"/>
      <c r="OX101" s="18"/>
      <c r="OY101" s="18"/>
      <c r="OZ101" s="18"/>
      <c r="PA101" s="18"/>
      <c r="PB101" s="18"/>
      <c r="PC101" s="18"/>
      <c r="PD101" s="18"/>
      <c r="PE101" s="18"/>
      <c r="PF101" s="18"/>
      <c r="PG101" s="18"/>
      <c r="PH101" s="18"/>
      <c r="PI101" s="18"/>
      <c r="PJ101" s="18"/>
      <c r="PK101" s="18"/>
      <c r="PL101" s="18"/>
      <c r="PM101" s="18"/>
      <c r="PN101" s="18"/>
      <c r="PO101" s="18"/>
      <c r="PP101" s="18"/>
      <c r="PQ101" s="18"/>
      <c r="PR101" s="18"/>
      <c r="PS101" s="18"/>
      <c r="PT101" s="18"/>
      <c r="PU101" s="18"/>
      <c r="PV101" s="18"/>
      <c r="PW101" s="18"/>
      <c r="PX101" s="18"/>
      <c r="PY101" s="18"/>
      <c r="PZ101" s="18"/>
      <c r="QA101" s="18"/>
      <c r="QB101" s="18"/>
      <c r="QC101" s="18"/>
      <c r="QD101" s="18"/>
      <c r="QE101" s="18"/>
      <c r="QF101" s="18"/>
      <c r="QG101" s="18"/>
      <c r="QH101" s="18"/>
      <c r="QI101" s="18"/>
      <c r="QJ101" s="18"/>
      <c r="QK101" s="18"/>
      <c r="QL101" s="18"/>
      <c r="QM101" s="18"/>
      <c r="QN101" s="18"/>
      <c r="QO101" s="18"/>
      <c r="QP101" s="18"/>
      <c r="QQ101" s="18"/>
      <c r="QR101" s="18"/>
      <c r="QS101" s="18"/>
      <c r="QT101" s="18"/>
      <c r="QU101" s="18"/>
      <c r="QV101" s="18"/>
      <c r="QW101" s="18"/>
      <c r="QX101" s="18"/>
      <c r="QY101" s="18"/>
      <c r="QZ101" s="18"/>
      <c r="RA101" s="18"/>
      <c r="RB101" s="18"/>
      <c r="RC101" s="18"/>
      <c r="RD101" s="18"/>
      <c r="RE101" s="18"/>
      <c r="RF101" s="18"/>
      <c r="RG101" s="18"/>
      <c r="RH101" s="18"/>
      <c r="RI101" s="18"/>
      <c r="RJ101" s="18"/>
      <c r="RK101" s="18"/>
      <c r="RL101" s="18"/>
      <c r="RM101" s="18"/>
      <c r="RN101" s="18"/>
      <c r="RO101" s="18"/>
      <c r="RP101" s="18"/>
      <c r="RQ101" s="18"/>
      <c r="RR101" s="18"/>
      <c r="RS101" s="18"/>
      <c r="RT101" s="18"/>
      <c r="RU101" s="18"/>
      <c r="RV101" s="18"/>
      <c r="RW101" s="18"/>
      <c r="RX101" s="18"/>
      <c r="RY101" s="18"/>
      <c r="RZ101" s="18"/>
      <c r="SA101" s="18"/>
      <c r="SB101" s="18"/>
      <c r="SC101" s="18"/>
      <c r="SD101" s="18"/>
      <c r="SE101" s="18"/>
      <c r="SF101" s="18"/>
      <c r="SG101" s="18"/>
      <c r="SH101" s="18"/>
      <c r="SI101" s="18"/>
      <c r="SJ101" s="18"/>
      <c r="SK101" s="18"/>
      <c r="SL101" s="18"/>
      <c r="SM101" s="18"/>
      <c r="SN101" s="18"/>
      <c r="SO101" s="18"/>
      <c r="SP101" s="18"/>
      <c r="SQ101" s="18"/>
      <c r="SR101" s="18"/>
      <c r="SS101" s="18"/>
      <c r="ST101" s="18"/>
      <c r="SU101" s="18"/>
      <c r="SV101" s="18"/>
      <c r="SW101" s="18"/>
      <c r="SX101" s="18"/>
      <c r="SY101" s="18"/>
      <c r="SZ101" s="18"/>
      <c r="TA101" s="18"/>
      <c r="TB101" s="18"/>
      <c r="TC101" s="18"/>
      <c r="TD101" s="18"/>
      <c r="TE101" s="18"/>
      <c r="TF101" s="18"/>
      <c r="TG101" s="18"/>
      <c r="TH101" s="18"/>
      <c r="TI101" s="18"/>
      <c r="TJ101" s="18"/>
      <c r="TK101" s="18"/>
      <c r="TL101" s="18"/>
      <c r="TM101" s="18"/>
      <c r="TN101" s="18"/>
      <c r="TO101" s="18"/>
      <c r="TP101" s="18"/>
      <c r="TQ101" s="18"/>
      <c r="TR101" s="18"/>
      <c r="TS101" s="18"/>
      <c r="TT101" s="18"/>
      <c r="TU101" s="18"/>
      <c r="TV101" s="18"/>
      <c r="TW101" s="18"/>
      <c r="TX101" s="18"/>
      <c r="TY101" s="18"/>
      <c r="TZ101" s="18"/>
      <c r="UA101" s="18"/>
      <c r="UB101" s="18"/>
      <c r="UC101" s="18"/>
      <c r="UD101" s="18"/>
      <c r="UE101" s="18"/>
      <c r="UF101" s="18"/>
      <c r="UG101" s="18"/>
      <c r="UH101" s="18"/>
      <c r="UI101" s="18"/>
      <c r="UJ101" s="18"/>
      <c r="UK101" s="18"/>
      <c r="UL101" s="18"/>
      <c r="UM101" s="18"/>
      <c r="UN101" s="18"/>
      <c r="UO101" s="18"/>
      <c r="UP101" s="18"/>
      <c r="UQ101" s="18"/>
      <c r="UR101" s="18"/>
      <c r="US101" s="18"/>
      <c r="UT101" s="18"/>
      <c r="UU101" s="18"/>
      <c r="UV101" s="18"/>
      <c r="UW101" s="18"/>
      <c r="UX101" s="18"/>
      <c r="UY101" s="18"/>
      <c r="UZ101" s="18"/>
      <c r="VA101" s="18"/>
      <c r="VB101" s="18"/>
      <c r="VC101" s="18"/>
      <c r="VD101" s="18"/>
      <c r="VE101" s="18"/>
      <c r="VF101" s="18"/>
      <c r="VG101" s="18"/>
      <c r="VH101" s="18"/>
      <c r="VI101" s="18"/>
      <c r="VJ101" s="18"/>
      <c r="VK101" s="18"/>
      <c r="VL101" s="18"/>
      <c r="VM101" s="18"/>
      <c r="VN101" s="18"/>
      <c r="VO101" s="18"/>
      <c r="VP101" s="18"/>
      <c r="VQ101" s="18"/>
      <c r="VR101" s="18"/>
      <c r="VS101" s="18"/>
      <c r="VT101" s="18"/>
      <c r="VU101" s="18"/>
      <c r="VV101" s="18"/>
      <c r="VW101" s="18"/>
      <c r="VX101" s="18"/>
      <c r="VY101" s="18"/>
      <c r="VZ101" s="18"/>
      <c r="WA101" s="18"/>
      <c r="WB101" s="18"/>
      <c r="WC101" s="18"/>
      <c r="WD101" s="18"/>
      <c r="WE101" s="18"/>
      <c r="WF101" s="18"/>
      <c r="WG101" s="18"/>
      <c r="WH101" s="18"/>
      <c r="WI101" s="18"/>
      <c r="WJ101" s="18"/>
      <c r="WK101" s="18"/>
      <c r="WL101" s="18"/>
      <c r="WM101" s="18"/>
      <c r="WN101" s="18"/>
      <c r="WO101" s="18"/>
      <c r="WP101" s="18"/>
      <c r="WQ101" s="18"/>
      <c r="WR101" s="18"/>
      <c r="WS101" s="18"/>
      <c r="WT101" s="18"/>
      <c r="WU101" s="18"/>
      <c r="WV101" s="18"/>
      <c r="WW101" s="18"/>
      <c r="WX101" s="18"/>
      <c r="WY101" s="18"/>
      <c r="WZ101" s="18"/>
      <c r="XA101" s="18"/>
      <c r="XB101" s="18"/>
      <c r="XC101" s="18"/>
      <c r="XD101" s="18"/>
      <c r="XE101" s="18"/>
      <c r="XF101" s="18"/>
      <c r="XG101" s="18"/>
      <c r="XH101" s="18"/>
      <c r="XI101" s="18"/>
      <c r="XJ101" s="18"/>
      <c r="XK101" s="18"/>
      <c r="XL101" s="18"/>
      <c r="XM101" s="18"/>
      <c r="XN101" s="18"/>
      <c r="XO101" s="18"/>
      <c r="XP101" s="18"/>
      <c r="XQ101" s="18"/>
      <c r="XR101" s="18"/>
      <c r="XS101" s="18"/>
      <c r="XT101" s="18"/>
      <c r="XU101" s="18"/>
      <c r="XV101" s="18"/>
      <c r="XW101" s="18"/>
      <c r="XX101" s="18"/>
      <c r="XY101" s="18"/>
      <c r="XZ101" s="18"/>
      <c r="YA101" s="18"/>
      <c r="YB101" s="18"/>
      <c r="YC101" s="18"/>
      <c r="YD101" s="18"/>
      <c r="YE101" s="18"/>
      <c r="YF101" s="18"/>
      <c r="YG101" s="18"/>
      <c r="YH101" s="18"/>
      <c r="YI101" s="18"/>
      <c r="YJ101" s="18"/>
      <c r="YK101" s="18"/>
      <c r="YL101" s="18"/>
      <c r="YM101" s="18"/>
      <c r="YN101" s="18"/>
      <c r="YO101" s="18"/>
      <c r="YP101" s="18"/>
      <c r="YQ101" s="18"/>
      <c r="YR101" s="18"/>
      <c r="YS101" s="18"/>
      <c r="YT101" s="18"/>
      <c r="YU101" s="18"/>
      <c r="YV101" s="18"/>
      <c r="YW101" s="18"/>
      <c r="YX101" s="18"/>
      <c r="YY101" s="18"/>
      <c r="YZ101" s="18"/>
      <c r="ZA101" s="18"/>
      <c r="ZB101" s="18"/>
      <c r="ZC101" s="18"/>
      <c r="ZD101" s="18"/>
      <c r="ZE101" s="18"/>
      <c r="ZF101" s="18"/>
      <c r="ZG101" s="18"/>
      <c r="ZH101" s="18"/>
      <c r="ZI101" s="18"/>
      <c r="ZJ101" s="18"/>
      <c r="ZK101" s="18"/>
      <c r="ZL101" s="18"/>
      <c r="ZM101" s="18"/>
      <c r="ZN101" s="18"/>
      <c r="ZO101" s="18"/>
      <c r="ZP101" s="18"/>
      <c r="ZQ101" s="18"/>
      <c r="ZR101" s="18"/>
      <c r="ZS101" s="18"/>
      <c r="ZT101" s="18"/>
      <c r="ZU101" s="18"/>
      <c r="ZV101" s="18"/>
      <c r="ZW101" s="18"/>
      <c r="ZX101" s="18"/>
      <c r="ZY101" s="18"/>
      <c r="ZZ101" s="18"/>
      <c r="AAA101" s="18"/>
      <c r="AAB101" s="18"/>
      <c r="AAC101" s="18"/>
      <c r="AAD101" s="18"/>
      <c r="AAE101" s="18"/>
      <c r="AAF101" s="18"/>
      <c r="AAG101" s="18"/>
      <c r="AAH101" s="18"/>
      <c r="AAI101" s="18"/>
      <c r="AAJ101" s="18"/>
      <c r="AAK101" s="18"/>
      <c r="AAL101" s="18"/>
      <c r="AAM101" s="18"/>
      <c r="AAN101" s="18"/>
      <c r="AAO101" s="18"/>
      <c r="AAP101" s="18"/>
      <c r="AAQ101" s="18"/>
      <c r="AAR101" s="18"/>
      <c r="AAS101" s="18"/>
      <c r="AAT101" s="18"/>
      <c r="AAU101" s="18"/>
      <c r="AAV101" s="18"/>
      <c r="AAW101" s="18"/>
      <c r="AAX101" s="18"/>
      <c r="AAY101" s="18"/>
      <c r="AAZ101" s="18"/>
      <c r="ABA101" s="18"/>
      <c r="ABB101" s="18"/>
      <c r="ABC101" s="18"/>
      <c r="ABD101" s="18"/>
      <c r="ABE101" s="18"/>
      <c r="ABF101" s="18"/>
      <c r="ABG101" s="18"/>
      <c r="ABH101" s="18"/>
      <c r="ABI101" s="18"/>
      <c r="ABJ101" s="18"/>
      <c r="ABK101" s="18"/>
      <c r="ABL101" s="18"/>
      <c r="ABM101" s="18"/>
      <c r="ABN101" s="18"/>
      <c r="ABO101" s="18"/>
      <c r="ABP101" s="18"/>
      <c r="ABQ101" s="18"/>
      <c r="ABR101" s="18"/>
      <c r="ABS101" s="18"/>
      <c r="ABT101" s="18"/>
      <c r="ABU101" s="18"/>
      <c r="ABV101" s="18"/>
      <c r="ABW101" s="18"/>
      <c r="ABX101" s="18"/>
      <c r="ABY101" s="18"/>
      <c r="ABZ101" s="18"/>
      <c r="ACA101" s="18"/>
      <c r="ACB101" s="18"/>
      <c r="ACC101" s="18"/>
      <c r="ACD101" s="18"/>
      <c r="ACE101" s="18"/>
      <c r="ACF101" s="18"/>
      <c r="ACG101" s="18"/>
      <c r="ACH101" s="18"/>
      <c r="ACI101" s="18"/>
      <c r="ACJ101" s="18"/>
      <c r="ACK101" s="18"/>
      <c r="ACL101" s="18"/>
      <c r="ACM101" s="18"/>
      <c r="ACN101" s="18"/>
      <c r="ACO101" s="18"/>
      <c r="ACP101" s="18"/>
      <c r="ACQ101" s="18"/>
      <c r="ACR101" s="18"/>
      <c r="ACS101" s="18"/>
      <c r="ACT101" s="18"/>
      <c r="ACU101" s="18"/>
      <c r="ACV101" s="18"/>
      <c r="ACW101" s="18"/>
      <c r="ACX101" s="18"/>
      <c r="ACY101" s="18"/>
      <c r="ACZ101" s="18"/>
      <c r="ADA101" s="18"/>
      <c r="ADB101" s="18"/>
      <c r="ADC101" s="18"/>
      <c r="ADD101" s="18"/>
      <c r="ADE101" s="18"/>
      <c r="ADF101" s="18"/>
      <c r="ADG101" s="18"/>
      <c r="ADH101" s="18"/>
      <c r="ADI101" s="18"/>
      <c r="ADJ101" s="18"/>
      <c r="ADK101" s="18"/>
      <c r="ADL101" s="18"/>
      <c r="ADM101" s="18"/>
      <c r="ADN101" s="18"/>
      <c r="ADO101" s="18"/>
      <c r="ADP101" s="18"/>
      <c r="ADQ101" s="18"/>
      <c r="ADR101" s="18"/>
      <c r="ADS101" s="18"/>
      <c r="ADT101" s="18"/>
      <c r="ADU101" s="18"/>
      <c r="ADV101" s="18"/>
      <c r="ADW101" s="18"/>
      <c r="ADX101" s="18"/>
      <c r="ADY101" s="18"/>
      <c r="ADZ101" s="18"/>
      <c r="AEA101" s="18"/>
      <c r="AEB101" s="18"/>
      <c r="AEC101" s="18"/>
      <c r="AED101" s="18"/>
      <c r="AEE101" s="18"/>
      <c r="AEF101" s="18"/>
      <c r="AEG101" s="18"/>
      <c r="AEH101" s="18"/>
      <c r="AEI101" s="18"/>
      <c r="AEJ101" s="18"/>
      <c r="AEK101" s="18"/>
      <c r="AEL101" s="18"/>
      <c r="AEM101" s="18"/>
      <c r="AEN101" s="18"/>
      <c r="AEO101" s="18"/>
      <c r="AEP101" s="18"/>
      <c r="AEQ101" s="18"/>
      <c r="AER101" s="18"/>
      <c r="AES101" s="18"/>
      <c r="AET101" s="18"/>
      <c r="AEU101" s="18"/>
      <c r="AEV101" s="18"/>
      <c r="AEW101" s="18"/>
      <c r="AEX101" s="18"/>
      <c r="AEY101" s="18"/>
      <c r="AEZ101" s="18"/>
      <c r="AFA101" s="18"/>
      <c r="AFB101" s="18"/>
      <c r="AFC101" s="18"/>
      <c r="AFD101" s="18"/>
      <c r="AFE101" s="18"/>
      <c r="AFF101" s="18"/>
      <c r="AFG101" s="18"/>
      <c r="AFH101" s="18"/>
      <c r="AFI101" s="18"/>
      <c r="AFJ101" s="18"/>
      <c r="AFK101" s="18"/>
      <c r="AFL101" s="18"/>
      <c r="AFM101" s="18"/>
      <c r="AFN101" s="18"/>
      <c r="AFO101" s="18"/>
      <c r="AFP101" s="18"/>
      <c r="AFQ101" s="18"/>
      <c r="AFR101" s="18"/>
      <c r="AFS101" s="18"/>
      <c r="AFT101" s="18"/>
      <c r="AFU101" s="18"/>
      <c r="AFV101" s="18"/>
      <c r="AFW101" s="18"/>
      <c r="AFX101" s="18"/>
      <c r="AFY101" s="18"/>
      <c r="AFZ101" s="18"/>
      <c r="AGA101" s="18"/>
      <c r="AGB101" s="18"/>
      <c r="AGC101" s="18"/>
      <c r="AGD101" s="18"/>
      <c r="AGE101" s="18"/>
      <c r="AGF101" s="18"/>
      <c r="AGG101" s="18"/>
      <c r="AGH101" s="18"/>
      <c r="AGI101" s="18"/>
      <c r="AGJ101" s="18"/>
      <c r="AGK101" s="18"/>
      <c r="AGL101" s="18"/>
      <c r="AGM101" s="18"/>
      <c r="AGN101" s="18"/>
      <c r="AGO101" s="18"/>
      <c r="AGP101" s="18"/>
      <c r="AGQ101" s="18"/>
      <c r="AGR101" s="18"/>
      <c r="AGS101" s="18"/>
      <c r="AGT101" s="18"/>
      <c r="AGU101" s="18"/>
      <c r="AGV101" s="18"/>
      <c r="AGW101" s="18"/>
      <c r="AGX101" s="18"/>
      <c r="AGY101" s="18"/>
      <c r="AGZ101" s="18"/>
      <c r="AHA101" s="18"/>
      <c r="AHB101" s="18"/>
      <c r="AHC101" s="18"/>
      <c r="AHD101" s="18"/>
      <c r="AHE101" s="18"/>
      <c r="AHF101" s="18"/>
      <c r="AHG101" s="18"/>
      <c r="AHH101" s="18"/>
      <c r="AHI101" s="18"/>
      <c r="AHJ101" s="18"/>
      <c r="AHK101" s="18"/>
      <c r="AHL101" s="18"/>
      <c r="AHM101" s="18"/>
      <c r="AHN101" s="18"/>
      <c r="AHO101" s="18"/>
      <c r="AHP101" s="18"/>
      <c r="AHQ101" s="18"/>
      <c r="AHR101" s="18"/>
      <c r="AHS101" s="18"/>
      <c r="AHT101" s="18"/>
      <c r="AHU101" s="18"/>
      <c r="AHV101" s="18"/>
      <c r="AHW101" s="18"/>
      <c r="AHX101" s="18"/>
      <c r="AHY101" s="18"/>
      <c r="AHZ101" s="18"/>
      <c r="AIA101" s="18"/>
      <c r="AIB101" s="18"/>
      <c r="AIC101" s="18"/>
      <c r="AID101" s="18"/>
      <c r="AIE101" s="18"/>
      <c r="AIF101" s="18"/>
      <c r="AIG101" s="18"/>
      <c r="AIH101" s="18"/>
      <c r="AII101" s="18"/>
      <c r="AIJ101" s="18"/>
      <c r="AIK101" s="18"/>
      <c r="AIL101" s="18"/>
      <c r="AIM101" s="18"/>
      <c r="AIN101" s="18"/>
      <c r="AIO101" s="18"/>
      <c r="AIP101" s="18"/>
      <c r="AIQ101" s="18"/>
      <c r="AIR101" s="18"/>
      <c r="AIS101" s="18"/>
      <c r="AIT101" s="18"/>
      <c r="AIU101" s="18"/>
      <c r="AIV101" s="18"/>
      <c r="AIW101" s="18"/>
      <c r="AIX101" s="18"/>
      <c r="AIY101" s="18"/>
      <c r="AIZ101" s="18"/>
      <c r="AJA101" s="18"/>
      <c r="AJB101" s="18"/>
      <c r="AJC101" s="18"/>
      <c r="AJD101" s="18"/>
      <c r="AJE101" s="18"/>
      <c r="AJF101" s="18"/>
      <c r="AJG101" s="18"/>
      <c r="AJH101" s="18"/>
      <c r="AJI101" s="18"/>
      <c r="AJJ101" s="18"/>
      <c r="AJK101" s="18"/>
      <c r="AJL101" s="18"/>
      <c r="AJM101" s="18"/>
      <c r="AJN101" s="18"/>
      <c r="AJO101" s="18"/>
      <c r="AJP101" s="18"/>
      <c r="AJQ101" s="18"/>
      <c r="AJR101" s="18"/>
      <c r="AJS101" s="18"/>
      <c r="AJT101" s="18"/>
      <c r="AJU101" s="18"/>
      <c r="AJV101" s="18"/>
      <c r="AJW101" s="18"/>
      <c r="AJX101" s="18"/>
      <c r="AJY101" s="18"/>
      <c r="AJZ101" s="18"/>
      <c r="AKA101" s="18"/>
      <c r="AKB101" s="18"/>
      <c r="AKC101" s="18"/>
      <c r="AKD101" s="18"/>
      <c r="AKE101" s="18"/>
      <c r="AKF101" s="18"/>
      <c r="AKG101" s="18"/>
      <c r="AKH101" s="18"/>
      <c r="AKI101" s="18"/>
      <c r="AKJ101" s="18"/>
      <c r="AKK101" s="18"/>
      <c r="AKL101" s="18"/>
      <c r="AKM101" s="18"/>
      <c r="AKN101" s="18"/>
      <c r="AKO101" s="18"/>
      <c r="AKP101" s="18"/>
      <c r="AKQ101" s="18"/>
      <c r="AKR101" s="18"/>
      <c r="AKS101" s="18"/>
      <c r="AKT101" s="18"/>
      <c r="AKU101" s="18"/>
      <c r="AKV101" s="18"/>
      <c r="AKW101" s="18"/>
      <c r="AKX101" s="18"/>
      <c r="AKY101" s="18"/>
      <c r="AKZ101" s="18"/>
      <c r="ALA101" s="18"/>
      <c r="ALB101" s="18"/>
      <c r="ALC101" s="18"/>
      <c r="ALD101" s="18"/>
      <c r="ALE101" s="18"/>
      <c r="ALF101" s="18"/>
      <c r="ALG101" s="18"/>
      <c r="ALH101" s="18"/>
      <c r="ALI101" s="18"/>
      <c r="ALJ101" s="18"/>
      <c r="ALK101" s="18"/>
      <c r="ALL101" s="18"/>
      <c r="ALM101" s="18"/>
      <c r="ALN101" s="18"/>
      <c r="ALO101" s="18"/>
      <c r="ALP101" s="18"/>
      <c r="ALQ101" s="18"/>
      <c r="ALR101" s="18"/>
      <c r="ALS101" s="18"/>
      <c r="ALT101" s="18"/>
      <c r="ALU101" s="18"/>
      <c r="ALV101" s="18"/>
      <c r="ALW101" s="18"/>
      <c r="ALX101" s="18"/>
      <c r="ALY101" s="18"/>
      <c r="ALZ101" s="18"/>
      <c r="AMA101" s="18"/>
      <c r="AMB101" s="18"/>
      <c r="AMC101" s="18"/>
      <c r="AMD101" s="18"/>
      <c r="AME101" s="18"/>
      <c r="AMF101" s="18"/>
      <c r="AMG101" s="18"/>
      <c r="AMH101" s="18"/>
    </row>
    <row r="102" spans="1:1022" s="23" customFormat="1" x14ac:dyDescent="0.3">
      <c r="A102" s="33">
        <v>198</v>
      </c>
      <c r="B102" s="19"/>
      <c r="C102" s="19"/>
      <c r="D102" s="34"/>
      <c r="E102" s="34"/>
      <c r="F102" s="19"/>
      <c r="G102" s="19"/>
      <c r="H102" s="18"/>
      <c r="I102" s="31"/>
      <c r="J102" s="31"/>
      <c r="K102" s="31"/>
      <c r="L102" s="31"/>
      <c r="M102" s="32"/>
      <c r="N102" s="32"/>
      <c r="O102" s="18"/>
      <c r="P102" s="36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18"/>
      <c r="BK102" s="18"/>
      <c r="BL102" s="18"/>
      <c r="BM102" s="18"/>
      <c r="BN102" s="18"/>
      <c r="BO102" s="18"/>
      <c r="BP102" s="18"/>
      <c r="BQ102" s="18"/>
      <c r="BR102" s="18"/>
      <c r="BS102" s="18"/>
      <c r="BT102" s="18"/>
      <c r="BU102" s="18"/>
      <c r="BV102" s="18"/>
      <c r="BW102" s="18"/>
      <c r="BX102" s="18"/>
      <c r="BY102" s="18"/>
      <c r="BZ102" s="18"/>
      <c r="CA102" s="18"/>
      <c r="CB102" s="18"/>
      <c r="CC102" s="18"/>
      <c r="CD102" s="18"/>
      <c r="CE102" s="18"/>
      <c r="CF102" s="18"/>
      <c r="CG102" s="18"/>
      <c r="CH102" s="18"/>
      <c r="CI102" s="18"/>
      <c r="CJ102" s="18"/>
      <c r="CK102" s="18"/>
      <c r="CL102" s="18"/>
      <c r="CM102" s="18"/>
      <c r="CN102" s="18"/>
      <c r="CO102" s="18"/>
      <c r="CP102" s="18"/>
      <c r="CQ102" s="18"/>
      <c r="CR102" s="18"/>
      <c r="CS102" s="18"/>
      <c r="CT102" s="18"/>
      <c r="CU102" s="18"/>
      <c r="CV102" s="18"/>
      <c r="CW102" s="18"/>
      <c r="CX102" s="18"/>
      <c r="CY102" s="18"/>
      <c r="CZ102" s="18"/>
      <c r="DA102" s="18"/>
      <c r="DB102" s="18"/>
      <c r="DC102" s="18"/>
      <c r="DD102" s="18"/>
      <c r="DE102" s="18"/>
      <c r="DF102" s="18"/>
      <c r="DG102" s="18"/>
      <c r="DH102" s="18"/>
      <c r="DI102" s="18"/>
      <c r="DJ102" s="18"/>
      <c r="DK102" s="18"/>
      <c r="DL102" s="18"/>
      <c r="DM102" s="18"/>
      <c r="DN102" s="18"/>
      <c r="DO102" s="18"/>
      <c r="DP102" s="18"/>
      <c r="DQ102" s="18"/>
      <c r="DR102" s="18"/>
      <c r="DS102" s="18"/>
      <c r="DT102" s="18"/>
      <c r="DU102" s="18"/>
      <c r="DV102" s="18"/>
      <c r="DW102" s="18"/>
      <c r="DX102" s="18"/>
      <c r="DY102" s="18"/>
      <c r="DZ102" s="18"/>
      <c r="EA102" s="18"/>
      <c r="EB102" s="18"/>
      <c r="EC102" s="18"/>
      <c r="ED102" s="18"/>
      <c r="EE102" s="18"/>
      <c r="EF102" s="18"/>
      <c r="EG102" s="18"/>
      <c r="EH102" s="18"/>
      <c r="EI102" s="18"/>
      <c r="EJ102" s="18"/>
      <c r="EK102" s="18"/>
      <c r="EL102" s="18"/>
      <c r="EM102" s="18"/>
      <c r="EN102" s="18"/>
      <c r="EO102" s="18"/>
      <c r="EP102" s="18"/>
      <c r="EQ102" s="18"/>
      <c r="ER102" s="18"/>
      <c r="ES102" s="18"/>
      <c r="ET102" s="18"/>
      <c r="EU102" s="18"/>
      <c r="EV102" s="18"/>
      <c r="EW102" s="18"/>
      <c r="EX102" s="18"/>
      <c r="EY102" s="18"/>
      <c r="EZ102" s="18"/>
      <c r="FA102" s="18"/>
      <c r="FB102" s="18"/>
      <c r="FC102" s="18"/>
      <c r="FD102" s="18"/>
      <c r="FE102" s="18"/>
      <c r="FF102" s="18"/>
      <c r="FG102" s="18"/>
      <c r="FH102" s="18"/>
      <c r="FI102" s="18"/>
      <c r="FJ102" s="18"/>
      <c r="FK102" s="18"/>
      <c r="FL102" s="18"/>
      <c r="FM102" s="18"/>
      <c r="FN102" s="18"/>
      <c r="FO102" s="18"/>
      <c r="FP102" s="18"/>
      <c r="FQ102" s="18"/>
      <c r="FR102" s="18"/>
      <c r="FS102" s="18"/>
      <c r="FT102" s="18"/>
      <c r="FU102" s="18"/>
      <c r="FV102" s="18"/>
      <c r="FW102" s="18"/>
      <c r="FX102" s="18"/>
      <c r="FY102" s="18"/>
      <c r="FZ102" s="18"/>
      <c r="GA102" s="18"/>
      <c r="GB102" s="18"/>
      <c r="GC102" s="18"/>
      <c r="GD102" s="18"/>
      <c r="GE102" s="18"/>
      <c r="GF102" s="18"/>
      <c r="GG102" s="18"/>
      <c r="GH102" s="18"/>
      <c r="GI102" s="18"/>
      <c r="GJ102" s="18"/>
      <c r="GK102" s="18"/>
      <c r="GL102" s="18"/>
      <c r="GM102" s="18"/>
      <c r="GN102" s="18"/>
      <c r="GO102" s="18"/>
      <c r="GP102" s="18"/>
      <c r="GQ102" s="18"/>
      <c r="GR102" s="18"/>
      <c r="GS102" s="18"/>
      <c r="GT102" s="18"/>
      <c r="GU102" s="18"/>
      <c r="GV102" s="18"/>
      <c r="GW102" s="18"/>
      <c r="GX102" s="18"/>
      <c r="GY102" s="18"/>
      <c r="GZ102" s="18"/>
      <c r="HA102" s="18"/>
      <c r="HB102" s="18"/>
      <c r="HC102" s="18"/>
      <c r="HD102" s="18"/>
      <c r="HE102" s="18"/>
      <c r="HF102" s="18"/>
      <c r="HG102" s="18"/>
      <c r="HH102" s="18"/>
      <c r="HI102" s="18"/>
      <c r="HJ102" s="18"/>
      <c r="HK102" s="18"/>
      <c r="HL102" s="18"/>
      <c r="HM102" s="18"/>
      <c r="HN102" s="18"/>
      <c r="HO102" s="18"/>
      <c r="HP102" s="18"/>
      <c r="HQ102" s="18"/>
      <c r="HR102" s="18"/>
      <c r="HS102" s="18"/>
      <c r="HT102" s="18"/>
      <c r="HU102" s="18"/>
      <c r="HV102" s="18"/>
      <c r="HW102" s="18"/>
      <c r="HX102" s="18"/>
      <c r="HY102" s="18"/>
      <c r="HZ102" s="18"/>
      <c r="IA102" s="18"/>
      <c r="IB102" s="18"/>
      <c r="IC102" s="18"/>
      <c r="ID102" s="18"/>
      <c r="IE102" s="18"/>
      <c r="IF102" s="18"/>
      <c r="IG102" s="18"/>
      <c r="IH102" s="18"/>
      <c r="II102" s="18"/>
      <c r="IJ102" s="18"/>
      <c r="IK102" s="18"/>
      <c r="IL102" s="18"/>
      <c r="IM102" s="18"/>
      <c r="IN102" s="18"/>
      <c r="IO102" s="18"/>
      <c r="IP102" s="18"/>
      <c r="IQ102" s="18"/>
      <c r="IR102" s="18"/>
      <c r="IS102" s="18"/>
      <c r="IT102" s="18"/>
      <c r="IU102" s="18"/>
      <c r="IV102" s="18"/>
      <c r="IW102" s="18"/>
      <c r="IX102" s="18"/>
      <c r="IY102" s="18"/>
      <c r="IZ102" s="18"/>
      <c r="JA102" s="18"/>
      <c r="JB102" s="18"/>
      <c r="JC102" s="18"/>
      <c r="JD102" s="18"/>
      <c r="JE102" s="18"/>
      <c r="JF102" s="18"/>
      <c r="JG102" s="18"/>
      <c r="JH102" s="18"/>
      <c r="JI102" s="18"/>
      <c r="JJ102" s="18"/>
      <c r="JK102" s="18"/>
      <c r="JL102" s="18"/>
      <c r="JM102" s="18"/>
      <c r="JN102" s="18"/>
      <c r="JO102" s="18"/>
      <c r="JP102" s="18"/>
      <c r="JQ102" s="18"/>
      <c r="JR102" s="18"/>
      <c r="JS102" s="18"/>
      <c r="JT102" s="18"/>
      <c r="JU102" s="18"/>
      <c r="JV102" s="18"/>
      <c r="JW102" s="18"/>
      <c r="JX102" s="18"/>
      <c r="JY102" s="18"/>
      <c r="JZ102" s="18"/>
      <c r="KA102" s="18"/>
      <c r="KB102" s="18"/>
      <c r="KC102" s="18"/>
      <c r="KD102" s="18"/>
      <c r="KE102" s="18"/>
      <c r="KF102" s="18"/>
      <c r="KG102" s="18"/>
      <c r="KH102" s="18"/>
      <c r="KI102" s="18"/>
      <c r="KJ102" s="18"/>
      <c r="KK102" s="18"/>
      <c r="KL102" s="18"/>
      <c r="KM102" s="18"/>
      <c r="KN102" s="18"/>
      <c r="KO102" s="18"/>
      <c r="KP102" s="18"/>
      <c r="KQ102" s="18"/>
      <c r="KR102" s="18"/>
      <c r="KS102" s="18"/>
      <c r="KT102" s="18"/>
      <c r="KU102" s="18"/>
      <c r="KV102" s="18"/>
      <c r="KW102" s="18"/>
      <c r="KX102" s="18"/>
      <c r="KY102" s="18"/>
      <c r="KZ102" s="18"/>
      <c r="LA102" s="18"/>
      <c r="LB102" s="18"/>
      <c r="LC102" s="18"/>
      <c r="LD102" s="18"/>
      <c r="LE102" s="18"/>
      <c r="LF102" s="18"/>
      <c r="LG102" s="18"/>
      <c r="LH102" s="18"/>
      <c r="LI102" s="18"/>
      <c r="LJ102" s="18"/>
      <c r="LK102" s="18"/>
      <c r="LL102" s="18"/>
      <c r="LM102" s="18"/>
      <c r="LN102" s="18"/>
      <c r="LO102" s="18"/>
      <c r="LP102" s="18"/>
      <c r="LQ102" s="18"/>
      <c r="LR102" s="18"/>
      <c r="LS102" s="18"/>
      <c r="LT102" s="18"/>
      <c r="LU102" s="18"/>
      <c r="LV102" s="18"/>
      <c r="LW102" s="18"/>
      <c r="LX102" s="18"/>
      <c r="LY102" s="18"/>
      <c r="LZ102" s="18"/>
      <c r="MA102" s="18"/>
      <c r="MB102" s="18"/>
      <c r="MC102" s="18"/>
      <c r="MD102" s="18"/>
      <c r="ME102" s="18"/>
      <c r="MF102" s="18"/>
      <c r="MG102" s="18"/>
      <c r="MH102" s="18"/>
      <c r="MI102" s="18"/>
      <c r="MJ102" s="18"/>
      <c r="MK102" s="18"/>
      <c r="ML102" s="18"/>
      <c r="MM102" s="18"/>
      <c r="MN102" s="18"/>
      <c r="MO102" s="18"/>
      <c r="MP102" s="18"/>
      <c r="MQ102" s="18"/>
      <c r="MR102" s="18"/>
      <c r="MS102" s="18"/>
      <c r="MT102" s="18"/>
      <c r="MU102" s="18"/>
      <c r="MV102" s="18"/>
      <c r="MW102" s="18"/>
      <c r="MX102" s="18"/>
      <c r="MY102" s="18"/>
      <c r="MZ102" s="18"/>
      <c r="NA102" s="18"/>
      <c r="NB102" s="18"/>
      <c r="NC102" s="18"/>
      <c r="ND102" s="18"/>
      <c r="NE102" s="18"/>
      <c r="NF102" s="18"/>
      <c r="NG102" s="18"/>
      <c r="NH102" s="18"/>
      <c r="NI102" s="18"/>
      <c r="NJ102" s="18"/>
      <c r="NK102" s="18"/>
      <c r="NL102" s="18"/>
      <c r="NM102" s="18"/>
      <c r="NN102" s="18"/>
      <c r="NO102" s="18"/>
      <c r="NP102" s="18"/>
      <c r="NQ102" s="18"/>
      <c r="NR102" s="18"/>
      <c r="NS102" s="18"/>
      <c r="NT102" s="18"/>
      <c r="NU102" s="18"/>
      <c r="NV102" s="18"/>
      <c r="NW102" s="18"/>
      <c r="NX102" s="18"/>
      <c r="NY102" s="18"/>
      <c r="NZ102" s="18"/>
      <c r="OA102" s="18"/>
      <c r="OB102" s="18"/>
      <c r="OC102" s="18"/>
      <c r="OD102" s="18"/>
      <c r="OE102" s="18"/>
      <c r="OF102" s="18"/>
      <c r="OG102" s="18"/>
      <c r="OH102" s="18"/>
      <c r="OI102" s="18"/>
      <c r="OJ102" s="18"/>
      <c r="OK102" s="18"/>
      <c r="OL102" s="18"/>
      <c r="OM102" s="18"/>
      <c r="ON102" s="18"/>
      <c r="OO102" s="18"/>
      <c r="OP102" s="18"/>
      <c r="OQ102" s="18"/>
      <c r="OR102" s="18"/>
      <c r="OS102" s="18"/>
      <c r="OT102" s="18"/>
      <c r="OU102" s="18"/>
      <c r="OV102" s="18"/>
      <c r="OW102" s="18"/>
      <c r="OX102" s="18"/>
      <c r="OY102" s="18"/>
      <c r="OZ102" s="18"/>
      <c r="PA102" s="18"/>
      <c r="PB102" s="18"/>
      <c r="PC102" s="18"/>
      <c r="PD102" s="18"/>
      <c r="PE102" s="18"/>
      <c r="PF102" s="18"/>
      <c r="PG102" s="18"/>
      <c r="PH102" s="18"/>
      <c r="PI102" s="18"/>
      <c r="PJ102" s="18"/>
      <c r="PK102" s="18"/>
      <c r="PL102" s="18"/>
      <c r="PM102" s="18"/>
      <c r="PN102" s="18"/>
      <c r="PO102" s="18"/>
      <c r="PP102" s="18"/>
      <c r="PQ102" s="18"/>
      <c r="PR102" s="18"/>
      <c r="PS102" s="18"/>
      <c r="PT102" s="18"/>
      <c r="PU102" s="18"/>
      <c r="PV102" s="18"/>
      <c r="PW102" s="18"/>
      <c r="PX102" s="18"/>
      <c r="PY102" s="18"/>
      <c r="PZ102" s="18"/>
      <c r="QA102" s="18"/>
      <c r="QB102" s="18"/>
      <c r="QC102" s="18"/>
      <c r="QD102" s="18"/>
      <c r="QE102" s="18"/>
      <c r="QF102" s="18"/>
      <c r="QG102" s="18"/>
      <c r="QH102" s="18"/>
      <c r="QI102" s="18"/>
      <c r="QJ102" s="18"/>
      <c r="QK102" s="18"/>
      <c r="QL102" s="18"/>
      <c r="QM102" s="18"/>
      <c r="QN102" s="18"/>
      <c r="QO102" s="18"/>
      <c r="QP102" s="18"/>
      <c r="QQ102" s="18"/>
      <c r="QR102" s="18"/>
      <c r="QS102" s="18"/>
      <c r="QT102" s="18"/>
      <c r="QU102" s="18"/>
      <c r="QV102" s="18"/>
      <c r="QW102" s="18"/>
      <c r="QX102" s="18"/>
      <c r="QY102" s="18"/>
      <c r="QZ102" s="18"/>
      <c r="RA102" s="18"/>
      <c r="RB102" s="18"/>
      <c r="RC102" s="18"/>
      <c r="RD102" s="18"/>
      <c r="RE102" s="18"/>
      <c r="RF102" s="18"/>
      <c r="RG102" s="18"/>
      <c r="RH102" s="18"/>
      <c r="RI102" s="18"/>
      <c r="RJ102" s="18"/>
      <c r="RK102" s="18"/>
      <c r="RL102" s="18"/>
      <c r="RM102" s="18"/>
      <c r="RN102" s="18"/>
      <c r="RO102" s="18"/>
      <c r="RP102" s="18"/>
      <c r="RQ102" s="18"/>
      <c r="RR102" s="18"/>
      <c r="RS102" s="18"/>
      <c r="RT102" s="18"/>
      <c r="RU102" s="18"/>
      <c r="RV102" s="18"/>
      <c r="RW102" s="18"/>
      <c r="RX102" s="18"/>
      <c r="RY102" s="18"/>
      <c r="RZ102" s="18"/>
      <c r="SA102" s="18"/>
      <c r="SB102" s="18"/>
      <c r="SC102" s="18"/>
      <c r="SD102" s="18"/>
      <c r="SE102" s="18"/>
      <c r="SF102" s="18"/>
      <c r="SG102" s="18"/>
      <c r="SH102" s="18"/>
      <c r="SI102" s="18"/>
      <c r="SJ102" s="18"/>
      <c r="SK102" s="18"/>
      <c r="SL102" s="18"/>
      <c r="SM102" s="18"/>
      <c r="SN102" s="18"/>
      <c r="SO102" s="18"/>
      <c r="SP102" s="18"/>
      <c r="SQ102" s="18"/>
      <c r="SR102" s="18"/>
      <c r="SS102" s="18"/>
      <c r="ST102" s="18"/>
      <c r="SU102" s="18"/>
      <c r="SV102" s="18"/>
      <c r="SW102" s="18"/>
      <c r="SX102" s="18"/>
      <c r="SY102" s="18"/>
      <c r="SZ102" s="18"/>
      <c r="TA102" s="18"/>
      <c r="TB102" s="18"/>
      <c r="TC102" s="18"/>
      <c r="TD102" s="18"/>
      <c r="TE102" s="18"/>
      <c r="TF102" s="18"/>
      <c r="TG102" s="18"/>
      <c r="TH102" s="18"/>
      <c r="TI102" s="18"/>
      <c r="TJ102" s="18"/>
      <c r="TK102" s="18"/>
      <c r="TL102" s="18"/>
      <c r="TM102" s="18"/>
      <c r="TN102" s="18"/>
      <c r="TO102" s="18"/>
      <c r="TP102" s="18"/>
      <c r="TQ102" s="18"/>
      <c r="TR102" s="18"/>
      <c r="TS102" s="18"/>
      <c r="TT102" s="18"/>
      <c r="TU102" s="18"/>
      <c r="TV102" s="18"/>
      <c r="TW102" s="18"/>
      <c r="TX102" s="18"/>
      <c r="TY102" s="18"/>
      <c r="TZ102" s="18"/>
      <c r="UA102" s="18"/>
      <c r="UB102" s="18"/>
      <c r="UC102" s="18"/>
      <c r="UD102" s="18"/>
      <c r="UE102" s="18"/>
      <c r="UF102" s="18"/>
      <c r="UG102" s="18"/>
      <c r="UH102" s="18"/>
      <c r="UI102" s="18"/>
      <c r="UJ102" s="18"/>
      <c r="UK102" s="18"/>
      <c r="UL102" s="18"/>
      <c r="UM102" s="18"/>
      <c r="UN102" s="18"/>
      <c r="UO102" s="18"/>
      <c r="UP102" s="18"/>
      <c r="UQ102" s="18"/>
      <c r="UR102" s="18"/>
      <c r="US102" s="18"/>
      <c r="UT102" s="18"/>
      <c r="UU102" s="18"/>
      <c r="UV102" s="18"/>
      <c r="UW102" s="18"/>
      <c r="UX102" s="18"/>
      <c r="UY102" s="18"/>
      <c r="UZ102" s="18"/>
      <c r="VA102" s="18"/>
      <c r="VB102" s="18"/>
      <c r="VC102" s="18"/>
      <c r="VD102" s="18"/>
      <c r="VE102" s="18"/>
      <c r="VF102" s="18"/>
      <c r="VG102" s="18"/>
      <c r="VH102" s="18"/>
      <c r="VI102" s="18"/>
      <c r="VJ102" s="18"/>
      <c r="VK102" s="18"/>
      <c r="VL102" s="18"/>
      <c r="VM102" s="18"/>
      <c r="VN102" s="18"/>
      <c r="VO102" s="18"/>
      <c r="VP102" s="18"/>
      <c r="VQ102" s="18"/>
      <c r="VR102" s="18"/>
      <c r="VS102" s="18"/>
      <c r="VT102" s="18"/>
      <c r="VU102" s="18"/>
      <c r="VV102" s="18"/>
      <c r="VW102" s="18"/>
      <c r="VX102" s="18"/>
      <c r="VY102" s="18"/>
      <c r="VZ102" s="18"/>
      <c r="WA102" s="18"/>
      <c r="WB102" s="18"/>
      <c r="WC102" s="18"/>
      <c r="WD102" s="18"/>
      <c r="WE102" s="18"/>
      <c r="WF102" s="18"/>
      <c r="WG102" s="18"/>
      <c r="WH102" s="18"/>
      <c r="WI102" s="18"/>
      <c r="WJ102" s="18"/>
      <c r="WK102" s="18"/>
      <c r="WL102" s="18"/>
      <c r="WM102" s="18"/>
      <c r="WN102" s="18"/>
      <c r="WO102" s="18"/>
      <c r="WP102" s="18"/>
      <c r="WQ102" s="18"/>
      <c r="WR102" s="18"/>
      <c r="WS102" s="18"/>
      <c r="WT102" s="18"/>
      <c r="WU102" s="18"/>
      <c r="WV102" s="18"/>
      <c r="WW102" s="18"/>
      <c r="WX102" s="18"/>
      <c r="WY102" s="18"/>
      <c r="WZ102" s="18"/>
      <c r="XA102" s="18"/>
      <c r="XB102" s="18"/>
      <c r="XC102" s="18"/>
      <c r="XD102" s="18"/>
      <c r="XE102" s="18"/>
      <c r="XF102" s="18"/>
      <c r="XG102" s="18"/>
      <c r="XH102" s="18"/>
      <c r="XI102" s="18"/>
      <c r="XJ102" s="18"/>
      <c r="XK102" s="18"/>
      <c r="XL102" s="18"/>
      <c r="XM102" s="18"/>
      <c r="XN102" s="18"/>
      <c r="XO102" s="18"/>
      <c r="XP102" s="18"/>
      <c r="XQ102" s="18"/>
      <c r="XR102" s="18"/>
      <c r="XS102" s="18"/>
      <c r="XT102" s="18"/>
      <c r="XU102" s="18"/>
      <c r="XV102" s="18"/>
      <c r="XW102" s="18"/>
      <c r="XX102" s="18"/>
      <c r="XY102" s="18"/>
      <c r="XZ102" s="18"/>
      <c r="YA102" s="18"/>
      <c r="YB102" s="18"/>
      <c r="YC102" s="18"/>
      <c r="YD102" s="18"/>
      <c r="YE102" s="18"/>
      <c r="YF102" s="18"/>
      <c r="YG102" s="18"/>
      <c r="YH102" s="18"/>
      <c r="YI102" s="18"/>
      <c r="YJ102" s="18"/>
      <c r="YK102" s="18"/>
      <c r="YL102" s="18"/>
      <c r="YM102" s="18"/>
      <c r="YN102" s="18"/>
      <c r="YO102" s="18"/>
      <c r="YP102" s="18"/>
      <c r="YQ102" s="18"/>
      <c r="YR102" s="18"/>
      <c r="YS102" s="18"/>
      <c r="YT102" s="18"/>
      <c r="YU102" s="18"/>
      <c r="YV102" s="18"/>
      <c r="YW102" s="18"/>
      <c r="YX102" s="18"/>
      <c r="YY102" s="18"/>
      <c r="YZ102" s="18"/>
      <c r="ZA102" s="18"/>
      <c r="ZB102" s="18"/>
      <c r="ZC102" s="18"/>
      <c r="ZD102" s="18"/>
      <c r="ZE102" s="18"/>
      <c r="ZF102" s="18"/>
      <c r="ZG102" s="18"/>
      <c r="ZH102" s="18"/>
      <c r="ZI102" s="18"/>
      <c r="ZJ102" s="18"/>
      <c r="ZK102" s="18"/>
      <c r="ZL102" s="18"/>
      <c r="ZM102" s="18"/>
      <c r="ZN102" s="18"/>
      <c r="ZO102" s="18"/>
      <c r="ZP102" s="18"/>
      <c r="ZQ102" s="18"/>
      <c r="ZR102" s="18"/>
      <c r="ZS102" s="18"/>
      <c r="ZT102" s="18"/>
      <c r="ZU102" s="18"/>
      <c r="ZV102" s="18"/>
      <c r="ZW102" s="18"/>
      <c r="ZX102" s="18"/>
      <c r="ZY102" s="18"/>
      <c r="ZZ102" s="18"/>
      <c r="AAA102" s="18"/>
      <c r="AAB102" s="18"/>
      <c r="AAC102" s="18"/>
      <c r="AAD102" s="18"/>
      <c r="AAE102" s="18"/>
      <c r="AAF102" s="18"/>
      <c r="AAG102" s="18"/>
      <c r="AAH102" s="18"/>
      <c r="AAI102" s="18"/>
      <c r="AAJ102" s="18"/>
      <c r="AAK102" s="18"/>
      <c r="AAL102" s="18"/>
      <c r="AAM102" s="18"/>
      <c r="AAN102" s="18"/>
      <c r="AAO102" s="18"/>
      <c r="AAP102" s="18"/>
      <c r="AAQ102" s="18"/>
      <c r="AAR102" s="18"/>
      <c r="AAS102" s="18"/>
      <c r="AAT102" s="18"/>
      <c r="AAU102" s="18"/>
      <c r="AAV102" s="18"/>
      <c r="AAW102" s="18"/>
      <c r="AAX102" s="18"/>
      <c r="AAY102" s="18"/>
      <c r="AAZ102" s="18"/>
      <c r="ABA102" s="18"/>
      <c r="ABB102" s="18"/>
      <c r="ABC102" s="18"/>
      <c r="ABD102" s="18"/>
      <c r="ABE102" s="18"/>
      <c r="ABF102" s="18"/>
      <c r="ABG102" s="18"/>
      <c r="ABH102" s="18"/>
      <c r="ABI102" s="18"/>
      <c r="ABJ102" s="18"/>
      <c r="ABK102" s="18"/>
      <c r="ABL102" s="18"/>
      <c r="ABM102" s="18"/>
      <c r="ABN102" s="18"/>
      <c r="ABO102" s="18"/>
      <c r="ABP102" s="18"/>
      <c r="ABQ102" s="18"/>
      <c r="ABR102" s="18"/>
      <c r="ABS102" s="18"/>
      <c r="ABT102" s="18"/>
      <c r="ABU102" s="18"/>
      <c r="ABV102" s="18"/>
      <c r="ABW102" s="18"/>
      <c r="ABX102" s="18"/>
      <c r="ABY102" s="18"/>
      <c r="ABZ102" s="18"/>
      <c r="ACA102" s="18"/>
      <c r="ACB102" s="18"/>
      <c r="ACC102" s="18"/>
      <c r="ACD102" s="18"/>
      <c r="ACE102" s="18"/>
      <c r="ACF102" s="18"/>
      <c r="ACG102" s="18"/>
      <c r="ACH102" s="18"/>
      <c r="ACI102" s="18"/>
      <c r="ACJ102" s="18"/>
      <c r="ACK102" s="18"/>
      <c r="ACL102" s="18"/>
      <c r="ACM102" s="18"/>
      <c r="ACN102" s="18"/>
      <c r="ACO102" s="18"/>
      <c r="ACP102" s="18"/>
      <c r="ACQ102" s="18"/>
      <c r="ACR102" s="18"/>
      <c r="ACS102" s="18"/>
      <c r="ACT102" s="18"/>
      <c r="ACU102" s="18"/>
      <c r="ACV102" s="18"/>
      <c r="ACW102" s="18"/>
      <c r="ACX102" s="18"/>
      <c r="ACY102" s="18"/>
      <c r="ACZ102" s="18"/>
      <c r="ADA102" s="18"/>
      <c r="ADB102" s="18"/>
      <c r="ADC102" s="18"/>
      <c r="ADD102" s="18"/>
      <c r="ADE102" s="18"/>
      <c r="ADF102" s="18"/>
      <c r="ADG102" s="18"/>
      <c r="ADH102" s="18"/>
      <c r="ADI102" s="18"/>
      <c r="ADJ102" s="18"/>
      <c r="ADK102" s="18"/>
      <c r="ADL102" s="18"/>
      <c r="ADM102" s="18"/>
      <c r="ADN102" s="18"/>
      <c r="ADO102" s="18"/>
      <c r="ADP102" s="18"/>
      <c r="ADQ102" s="18"/>
      <c r="ADR102" s="18"/>
      <c r="ADS102" s="18"/>
      <c r="ADT102" s="18"/>
      <c r="ADU102" s="18"/>
      <c r="ADV102" s="18"/>
      <c r="ADW102" s="18"/>
      <c r="ADX102" s="18"/>
      <c r="ADY102" s="18"/>
      <c r="ADZ102" s="18"/>
      <c r="AEA102" s="18"/>
      <c r="AEB102" s="18"/>
      <c r="AEC102" s="18"/>
      <c r="AED102" s="18"/>
      <c r="AEE102" s="18"/>
      <c r="AEF102" s="18"/>
      <c r="AEG102" s="18"/>
      <c r="AEH102" s="18"/>
      <c r="AEI102" s="18"/>
      <c r="AEJ102" s="18"/>
      <c r="AEK102" s="18"/>
      <c r="AEL102" s="18"/>
      <c r="AEM102" s="18"/>
      <c r="AEN102" s="18"/>
      <c r="AEO102" s="18"/>
      <c r="AEP102" s="18"/>
      <c r="AEQ102" s="18"/>
      <c r="AER102" s="18"/>
      <c r="AES102" s="18"/>
      <c r="AET102" s="18"/>
      <c r="AEU102" s="18"/>
      <c r="AEV102" s="18"/>
      <c r="AEW102" s="18"/>
      <c r="AEX102" s="18"/>
      <c r="AEY102" s="18"/>
      <c r="AEZ102" s="18"/>
      <c r="AFA102" s="18"/>
      <c r="AFB102" s="18"/>
      <c r="AFC102" s="18"/>
      <c r="AFD102" s="18"/>
      <c r="AFE102" s="18"/>
      <c r="AFF102" s="18"/>
      <c r="AFG102" s="18"/>
      <c r="AFH102" s="18"/>
      <c r="AFI102" s="18"/>
      <c r="AFJ102" s="18"/>
      <c r="AFK102" s="18"/>
      <c r="AFL102" s="18"/>
      <c r="AFM102" s="18"/>
      <c r="AFN102" s="18"/>
      <c r="AFO102" s="18"/>
      <c r="AFP102" s="18"/>
      <c r="AFQ102" s="18"/>
      <c r="AFR102" s="18"/>
      <c r="AFS102" s="18"/>
      <c r="AFT102" s="18"/>
      <c r="AFU102" s="18"/>
      <c r="AFV102" s="18"/>
      <c r="AFW102" s="18"/>
      <c r="AFX102" s="18"/>
      <c r="AFY102" s="18"/>
      <c r="AFZ102" s="18"/>
      <c r="AGA102" s="18"/>
      <c r="AGB102" s="18"/>
      <c r="AGC102" s="18"/>
      <c r="AGD102" s="18"/>
      <c r="AGE102" s="18"/>
      <c r="AGF102" s="18"/>
      <c r="AGG102" s="18"/>
      <c r="AGH102" s="18"/>
      <c r="AGI102" s="18"/>
      <c r="AGJ102" s="18"/>
      <c r="AGK102" s="18"/>
      <c r="AGL102" s="18"/>
      <c r="AGM102" s="18"/>
      <c r="AGN102" s="18"/>
      <c r="AGO102" s="18"/>
      <c r="AGP102" s="18"/>
      <c r="AGQ102" s="18"/>
      <c r="AGR102" s="18"/>
      <c r="AGS102" s="18"/>
      <c r="AGT102" s="18"/>
      <c r="AGU102" s="18"/>
      <c r="AGV102" s="18"/>
      <c r="AGW102" s="18"/>
      <c r="AGX102" s="18"/>
      <c r="AGY102" s="18"/>
      <c r="AGZ102" s="18"/>
      <c r="AHA102" s="18"/>
      <c r="AHB102" s="18"/>
      <c r="AHC102" s="18"/>
      <c r="AHD102" s="18"/>
      <c r="AHE102" s="18"/>
      <c r="AHF102" s="18"/>
      <c r="AHG102" s="18"/>
      <c r="AHH102" s="18"/>
      <c r="AHI102" s="18"/>
      <c r="AHJ102" s="18"/>
      <c r="AHK102" s="18"/>
      <c r="AHL102" s="18"/>
      <c r="AHM102" s="18"/>
      <c r="AHN102" s="18"/>
      <c r="AHO102" s="18"/>
      <c r="AHP102" s="18"/>
      <c r="AHQ102" s="18"/>
      <c r="AHR102" s="18"/>
      <c r="AHS102" s="18"/>
      <c r="AHT102" s="18"/>
      <c r="AHU102" s="18"/>
      <c r="AHV102" s="18"/>
      <c r="AHW102" s="18"/>
      <c r="AHX102" s="18"/>
      <c r="AHY102" s="18"/>
      <c r="AHZ102" s="18"/>
      <c r="AIA102" s="18"/>
      <c r="AIB102" s="18"/>
      <c r="AIC102" s="18"/>
      <c r="AID102" s="18"/>
      <c r="AIE102" s="18"/>
      <c r="AIF102" s="18"/>
      <c r="AIG102" s="18"/>
      <c r="AIH102" s="18"/>
      <c r="AII102" s="18"/>
      <c r="AIJ102" s="18"/>
      <c r="AIK102" s="18"/>
      <c r="AIL102" s="18"/>
      <c r="AIM102" s="18"/>
      <c r="AIN102" s="18"/>
      <c r="AIO102" s="18"/>
      <c r="AIP102" s="18"/>
      <c r="AIQ102" s="18"/>
      <c r="AIR102" s="18"/>
      <c r="AIS102" s="18"/>
      <c r="AIT102" s="18"/>
      <c r="AIU102" s="18"/>
      <c r="AIV102" s="18"/>
      <c r="AIW102" s="18"/>
      <c r="AIX102" s="18"/>
      <c r="AIY102" s="18"/>
      <c r="AIZ102" s="18"/>
      <c r="AJA102" s="18"/>
      <c r="AJB102" s="18"/>
      <c r="AJC102" s="18"/>
      <c r="AJD102" s="18"/>
      <c r="AJE102" s="18"/>
      <c r="AJF102" s="18"/>
      <c r="AJG102" s="18"/>
      <c r="AJH102" s="18"/>
      <c r="AJI102" s="18"/>
      <c r="AJJ102" s="18"/>
      <c r="AJK102" s="18"/>
      <c r="AJL102" s="18"/>
      <c r="AJM102" s="18"/>
      <c r="AJN102" s="18"/>
      <c r="AJO102" s="18"/>
      <c r="AJP102" s="18"/>
      <c r="AJQ102" s="18"/>
      <c r="AJR102" s="18"/>
      <c r="AJS102" s="18"/>
      <c r="AJT102" s="18"/>
      <c r="AJU102" s="18"/>
      <c r="AJV102" s="18"/>
      <c r="AJW102" s="18"/>
      <c r="AJX102" s="18"/>
      <c r="AJY102" s="18"/>
      <c r="AJZ102" s="18"/>
      <c r="AKA102" s="18"/>
      <c r="AKB102" s="18"/>
      <c r="AKC102" s="18"/>
      <c r="AKD102" s="18"/>
      <c r="AKE102" s="18"/>
      <c r="AKF102" s="18"/>
      <c r="AKG102" s="18"/>
      <c r="AKH102" s="18"/>
      <c r="AKI102" s="18"/>
      <c r="AKJ102" s="18"/>
      <c r="AKK102" s="18"/>
      <c r="AKL102" s="18"/>
      <c r="AKM102" s="18"/>
      <c r="AKN102" s="18"/>
      <c r="AKO102" s="18"/>
      <c r="AKP102" s="18"/>
      <c r="AKQ102" s="18"/>
      <c r="AKR102" s="18"/>
      <c r="AKS102" s="18"/>
      <c r="AKT102" s="18"/>
      <c r="AKU102" s="18"/>
      <c r="AKV102" s="18"/>
      <c r="AKW102" s="18"/>
      <c r="AKX102" s="18"/>
      <c r="AKY102" s="18"/>
      <c r="AKZ102" s="18"/>
      <c r="ALA102" s="18"/>
      <c r="ALB102" s="18"/>
      <c r="ALC102" s="18"/>
      <c r="ALD102" s="18"/>
      <c r="ALE102" s="18"/>
      <c r="ALF102" s="18"/>
      <c r="ALG102" s="18"/>
      <c r="ALH102" s="18"/>
      <c r="ALI102" s="18"/>
      <c r="ALJ102" s="18"/>
      <c r="ALK102" s="18"/>
      <c r="ALL102" s="18"/>
      <c r="ALM102" s="18"/>
      <c r="ALN102" s="18"/>
      <c r="ALO102" s="18"/>
      <c r="ALP102" s="18"/>
      <c r="ALQ102" s="18"/>
      <c r="ALR102" s="18"/>
      <c r="ALS102" s="18"/>
      <c r="ALT102" s="18"/>
      <c r="ALU102" s="18"/>
      <c r="ALV102" s="18"/>
      <c r="ALW102" s="18"/>
      <c r="ALX102" s="18"/>
      <c r="ALY102" s="18"/>
      <c r="ALZ102" s="18"/>
      <c r="AMA102" s="18"/>
      <c r="AMB102" s="18"/>
      <c r="AMC102" s="18"/>
      <c r="AMD102" s="18"/>
      <c r="AME102" s="18"/>
      <c r="AMF102" s="18"/>
      <c r="AMG102" s="18"/>
      <c r="AMH102" s="18"/>
    </row>
    <row r="103" spans="1:1022" s="23" customFormat="1" x14ac:dyDescent="0.3">
      <c r="A103" s="33">
        <v>199</v>
      </c>
      <c r="B103" s="19"/>
      <c r="C103" s="19"/>
      <c r="D103" s="34"/>
      <c r="E103" s="34"/>
      <c r="F103" s="19"/>
      <c r="G103" s="19"/>
      <c r="H103" s="18"/>
      <c r="I103" s="31"/>
      <c r="J103" s="31"/>
      <c r="K103" s="31"/>
      <c r="L103" s="31"/>
      <c r="M103" s="32"/>
      <c r="N103" s="32"/>
      <c r="O103" s="18"/>
      <c r="P103" s="36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18"/>
      <c r="BK103" s="18"/>
      <c r="BL103" s="18"/>
      <c r="BM103" s="18"/>
      <c r="BN103" s="18"/>
      <c r="BO103" s="18"/>
      <c r="BP103" s="18"/>
      <c r="BQ103" s="18"/>
      <c r="BR103" s="18"/>
      <c r="BS103" s="18"/>
      <c r="BT103" s="18"/>
      <c r="BU103" s="18"/>
      <c r="BV103" s="18"/>
      <c r="BW103" s="18"/>
      <c r="BX103" s="18"/>
      <c r="BY103" s="18"/>
      <c r="BZ103" s="18"/>
      <c r="CA103" s="18"/>
      <c r="CB103" s="18"/>
      <c r="CC103" s="18"/>
      <c r="CD103" s="18"/>
      <c r="CE103" s="18"/>
      <c r="CF103" s="18"/>
      <c r="CG103" s="18"/>
      <c r="CH103" s="18"/>
      <c r="CI103" s="18"/>
      <c r="CJ103" s="18"/>
      <c r="CK103" s="18"/>
      <c r="CL103" s="18"/>
      <c r="CM103" s="18"/>
      <c r="CN103" s="18"/>
      <c r="CO103" s="18"/>
      <c r="CP103" s="18"/>
      <c r="CQ103" s="18"/>
      <c r="CR103" s="18"/>
      <c r="CS103" s="18"/>
      <c r="CT103" s="18"/>
      <c r="CU103" s="18"/>
      <c r="CV103" s="18"/>
      <c r="CW103" s="18"/>
      <c r="CX103" s="18"/>
      <c r="CY103" s="18"/>
      <c r="CZ103" s="18"/>
      <c r="DA103" s="18"/>
      <c r="DB103" s="18"/>
      <c r="DC103" s="18"/>
      <c r="DD103" s="18"/>
      <c r="DE103" s="18"/>
      <c r="DF103" s="18"/>
      <c r="DG103" s="18"/>
      <c r="DH103" s="18"/>
      <c r="DI103" s="18"/>
      <c r="DJ103" s="18"/>
      <c r="DK103" s="18"/>
      <c r="DL103" s="18"/>
      <c r="DM103" s="18"/>
      <c r="DN103" s="18"/>
      <c r="DO103" s="18"/>
      <c r="DP103" s="18"/>
      <c r="DQ103" s="18"/>
      <c r="DR103" s="18"/>
      <c r="DS103" s="18"/>
      <c r="DT103" s="18"/>
      <c r="DU103" s="18"/>
      <c r="DV103" s="18"/>
      <c r="DW103" s="18"/>
      <c r="DX103" s="18"/>
      <c r="DY103" s="18"/>
      <c r="DZ103" s="18"/>
      <c r="EA103" s="18"/>
      <c r="EB103" s="18"/>
      <c r="EC103" s="18"/>
      <c r="ED103" s="18"/>
      <c r="EE103" s="18"/>
      <c r="EF103" s="18"/>
      <c r="EG103" s="18"/>
      <c r="EH103" s="18"/>
      <c r="EI103" s="18"/>
      <c r="EJ103" s="18"/>
      <c r="EK103" s="18"/>
      <c r="EL103" s="18"/>
      <c r="EM103" s="18"/>
      <c r="EN103" s="18"/>
      <c r="EO103" s="18"/>
      <c r="EP103" s="18"/>
      <c r="EQ103" s="18"/>
      <c r="ER103" s="18"/>
      <c r="ES103" s="18"/>
      <c r="ET103" s="18"/>
      <c r="EU103" s="18"/>
      <c r="EV103" s="18"/>
      <c r="EW103" s="18"/>
      <c r="EX103" s="18"/>
      <c r="EY103" s="18"/>
      <c r="EZ103" s="18"/>
      <c r="FA103" s="18"/>
      <c r="FB103" s="18"/>
      <c r="FC103" s="18"/>
      <c r="FD103" s="18"/>
      <c r="FE103" s="18"/>
      <c r="FF103" s="18"/>
      <c r="FG103" s="18"/>
      <c r="FH103" s="18"/>
      <c r="FI103" s="18"/>
      <c r="FJ103" s="18"/>
      <c r="FK103" s="18"/>
      <c r="FL103" s="18"/>
      <c r="FM103" s="18"/>
      <c r="FN103" s="18"/>
      <c r="FO103" s="18"/>
      <c r="FP103" s="18"/>
      <c r="FQ103" s="18"/>
      <c r="FR103" s="18"/>
      <c r="FS103" s="18"/>
      <c r="FT103" s="18"/>
      <c r="FU103" s="18"/>
      <c r="FV103" s="18"/>
      <c r="FW103" s="18"/>
      <c r="FX103" s="18"/>
      <c r="FY103" s="18"/>
      <c r="FZ103" s="18"/>
      <c r="GA103" s="18"/>
      <c r="GB103" s="18"/>
      <c r="GC103" s="18"/>
      <c r="GD103" s="18"/>
      <c r="GE103" s="18"/>
      <c r="GF103" s="18"/>
      <c r="GG103" s="18"/>
      <c r="GH103" s="18"/>
      <c r="GI103" s="18"/>
      <c r="GJ103" s="18"/>
      <c r="GK103" s="18"/>
      <c r="GL103" s="18"/>
      <c r="GM103" s="18"/>
      <c r="GN103" s="18"/>
      <c r="GO103" s="18"/>
      <c r="GP103" s="18"/>
      <c r="GQ103" s="18"/>
      <c r="GR103" s="18"/>
      <c r="GS103" s="18"/>
      <c r="GT103" s="18"/>
      <c r="GU103" s="18"/>
      <c r="GV103" s="18"/>
      <c r="GW103" s="18"/>
      <c r="GX103" s="18"/>
      <c r="GY103" s="18"/>
      <c r="GZ103" s="18"/>
      <c r="HA103" s="18"/>
      <c r="HB103" s="18"/>
      <c r="HC103" s="18"/>
      <c r="HD103" s="18"/>
      <c r="HE103" s="18"/>
      <c r="HF103" s="18"/>
      <c r="HG103" s="18"/>
      <c r="HH103" s="18"/>
      <c r="HI103" s="18"/>
      <c r="HJ103" s="18"/>
      <c r="HK103" s="18"/>
      <c r="HL103" s="18"/>
      <c r="HM103" s="18"/>
      <c r="HN103" s="18"/>
      <c r="HO103" s="18"/>
      <c r="HP103" s="18"/>
      <c r="HQ103" s="18"/>
      <c r="HR103" s="18"/>
      <c r="HS103" s="18"/>
      <c r="HT103" s="18"/>
      <c r="HU103" s="18"/>
      <c r="HV103" s="18"/>
      <c r="HW103" s="18"/>
      <c r="HX103" s="18"/>
      <c r="HY103" s="18"/>
      <c r="HZ103" s="18"/>
      <c r="IA103" s="18"/>
      <c r="IB103" s="18"/>
      <c r="IC103" s="18"/>
      <c r="ID103" s="18"/>
      <c r="IE103" s="18"/>
      <c r="IF103" s="18"/>
      <c r="IG103" s="18"/>
      <c r="IH103" s="18"/>
      <c r="II103" s="18"/>
      <c r="IJ103" s="18"/>
      <c r="IK103" s="18"/>
      <c r="IL103" s="18"/>
      <c r="IM103" s="18"/>
      <c r="IN103" s="18"/>
      <c r="IO103" s="18"/>
      <c r="IP103" s="18"/>
      <c r="IQ103" s="18"/>
      <c r="IR103" s="18"/>
      <c r="IS103" s="18"/>
      <c r="IT103" s="18"/>
      <c r="IU103" s="18"/>
      <c r="IV103" s="18"/>
      <c r="IW103" s="18"/>
      <c r="IX103" s="18"/>
      <c r="IY103" s="18"/>
      <c r="IZ103" s="18"/>
      <c r="JA103" s="18"/>
      <c r="JB103" s="18"/>
      <c r="JC103" s="18"/>
      <c r="JD103" s="18"/>
      <c r="JE103" s="18"/>
      <c r="JF103" s="18"/>
      <c r="JG103" s="18"/>
      <c r="JH103" s="18"/>
      <c r="JI103" s="18"/>
      <c r="JJ103" s="18"/>
      <c r="JK103" s="18"/>
      <c r="JL103" s="18"/>
      <c r="JM103" s="18"/>
      <c r="JN103" s="18"/>
      <c r="JO103" s="18"/>
      <c r="JP103" s="18"/>
      <c r="JQ103" s="18"/>
      <c r="JR103" s="18"/>
      <c r="JS103" s="18"/>
      <c r="JT103" s="18"/>
      <c r="JU103" s="18"/>
      <c r="JV103" s="18"/>
      <c r="JW103" s="18"/>
      <c r="JX103" s="18"/>
      <c r="JY103" s="18"/>
      <c r="JZ103" s="18"/>
      <c r="KA103" s="18"/>
      <c r="KB103" s="18"/>
      <c r="KC103" s="18"/>
      <c r="KD103" s="18"/>
      <c r="KE103" s="18"/>
      <c r="KF103" s="18"/>
      <c r="KG103" s="18"/>
      <c r="KH103" s="18"/>
      <c r="KI103" s="18"/>
      <c r="KJ103" s="18"/>
      <c r="KK103" s="18"/>
      <c r="KL103" s="18"/>
      <c r="KM103" s="18"/>
      <c r="KN103" s="18"/>
      <c r="KO103" s="18"/>
      <c r="KP103" s="18"/>
      <c r="KQ103" s="18"/>
      <c r="KR103" s="18"/>
      <c r="KS103" s="18"/>
      <c r="KT103" s="18"/>
      <c r="KU103" s="18"/>
      <c r="KV103" s="18"/>
      <c r="KW103" s="18"/>
      <c r="KX103" s="18"/>
      <c r="KY103" s="18"/>
      <c r="KZ103" s="18"/>
      <c r="LA103" s="18"/>
      <c r="LB103" s="18"/>
      <c r="LC103" s="18"/>
      <c r="LD103" s="18"/>
      <c r="LE103" s="18"/>
      <c r="LF103" s="18"/>
      <c r="LG103" s="18"/>
      <c r="LH103" s="18"/>
      <c r="LI103" s="18"/>
      <c r="LJ103" s="18"/>
      <c r="LK103" s="18"/>
      <c r="LL103" s="18"/>
      <c r="LM103" s="18"/>
      <c r="LN103" s="18"/>
      <c r="LO103" s="18"/>
      <c r="LP103" s="18"/>
      <c r="LQ103" s="18"/>
      <c r="LR103" s="18"/>
      <c r="LS103" s="18"/>
      <c r="LT103" s="18"/>
      <c r="LU103" s="18"/>
      <c r="LV103" s="18"/>
      <c r="LW103" s="18"/>
      <c r="LX103" s="18"/>
      <c r="LY103" s="18"/>
      <c r="LZ103" s="18"/>
      <c r="MA103" s="18"/>
      <c r="MB103" s="18"/>
      <c r="MC103" s="18"/>
      <c r="MD103" s="18"/>
      <c r="ME103" s="18"/>
      <c r="MF103" s="18"/>
      <c r="MG103" s="18"/>
      <c r="MH103" s="18"/>
      <c r="MI103" s="18"/>
      <c r="MJ103" s="18"/>
      <c r="MK103" s="18"/>
      <c r="ML103" s="18"/>
      <c r="MM103" s="18"/>
      <c r="MN103" s="18"/>
      <c r="MO103" s="18"/>
      <c r="MP103" s="18"/>
      <c r="MQ103" s="18"/>
      <c r="MR103" s="18"/>
      <c r="MS103" s="18"/>
      <c r="MT103" s="18"/>
      <c r="MU103" s="18"/>
      <c r="MV103" s="18"/>
      <c r="MW103" s="18"/>
      <c r="MX103" s="18"/>
      <c r="MY103" s="18"/>
      <c r="MZ103" s="18"/>
      <c r="NA103" s="18"/>
      <c r="NB103" s="18"/>
      <c r="NC103" s="18"/>
      <c r="ND103" s="18"/>
      <c r="NE103" s="18"/>
      <c r="NF103" s="18"/>
      <c r="NG103" s="18"/>
      <c r="NH103" s="18"/>
      <c r="NI103" s="18"/>
      <c r="NJ103" s="18"/>
      <c r="NK103" s="18"/>
      <c r="NL103" s="18"/>
      <c r="NM103" s="18"/>
      <c r="NN103" s="18"/>
      <c r="NO103" s="18"/>
      <c r="NP103" s="18"/>
      <c r="NQ103" s="18"/>
      <c r="NR103" s="18"/>
      <c r="NS103" s="18"/>
      <c r="NT103" s="18"/>
      <c r="NU103" s="18"/>
      <c r="NV103" s="18"/>
      <c r="NW103" s="18"/>
      <c r="NX103" s="18"/>
      <c r="NY103" s="18"/>
      <c r="NZ103" s="18"/>
      <c r="OA103" s="18"/>
      <c r="OB103" s="18"/>
      <c r="OC103" s="18"/>
      <c r="OD103" s="18"/>
      <c r="OE103" s="18"/>
      <c r="OF103" s="18"/>
      <c r="OG103" s="18"/>
      <c r="OH103" s="18"/>
      <c r="OI103" s="18"/>
      <c r="OJ103" s="18"/>
      <c r="OK103" s="18"/>
      <c r="OL103" s="18"/>
      <c r="OM103" s="18"/>
      <c r="ON103" s="18"/>
      <c r="OO103" s="18"/>
      <c r="OP103" s="18"/>
      <c r="OQ103" s="18"/>
      <c r="OR103" s="18"/>
      <c r="OS103" s="18"/>
      <c r="OT103" s="18"/>
      <c r="OU103" s="18"/>
      <c r="OV103" s="18"/>
      <c r="OW103" s="18"/>
      <c r="OX103" s="18"/>
      <c r="OY103" s="18"/>
      <c r="OZ103" s="18"/>
      <c r="PA103" s="18"/>
      <c r="PB103" s="18"/>
      <c r="PC103" s="18"/>
      <c r="PD103" s="18"/>
      <c r="PE103" s="18"/>
      <c r="PF103" s="18"/>
      <c r="PG103" s="18"/>
      <c r="PH103" s="18"/>
      <c r="PI103" s="18"/>
      <c r="PJ103" s="18"/>
      <c r="PK103" s="18"/>
      <c r="PL103" s="18"/>
      <c r="PM103" s="18"/>
      <c r="PN103" s="18"/>
      <c r="PO103" s="18"/>
      <c r="PP103" s="18"/>
      <c r="PQ103" s="18"/>
      <c r="PR103" s="18"/>
      <c r="PS103" s="18"/>
      <c r="PT103" s="18"/>
      <c r="PU103" s="18"/>
      <c r="PV103" s="18"/>
      <c r="PW103" s="18"/>
      <c r="PX103" s="18"/>
      <c r="PY103" s="18"/>
      <c r="PZ103" s="18"/>
      <c r="QA103" s="18"/>
      <c r="QB103" s="18"/>
      <c r="QC103" s="18"/>
      <c r="QD103" s="18"/>
      <c r="QE103" s="18"/>
      <c r="QF103" s="18"/>
      <c r="QG103" s="18"/>
      <c r="QH103" s="18"/>
      <c r="QI103" s="18"/>
      <c r="QJ103" s="18"/>
      <c r="QK103" s="18"/>
      <c r="QL103" s="18"/>
      <c r="QM103" s="18"/>
      <c r="QN103" s="18"/>
      <c r="QO103" s="18"/>
      <c r="QP103" s="18"/>
      <c r="QQ103" s="18"/>
      <c r="QR103" s="18"/>
      <c r="QS103" s="18"/>
      <c r="QT103" s="18"/>
      <c r="QU103" s="18"/>
      <c r="QV103" s="18"/>
      <c r="QW103" s="18"/>
      <c r="QX103" s="18"/>
      <c r="QY103" s="18"/>
      <c r="QZ103" s="18"/>
      <c r="RA103" s="18"/>
      <c r="RB103" s="18"/>
      <c r="RC103" s="18"/>
      <c r="RD103" s="18"/>
      <c r="RE103" s="18"/>
      <c r="RF103" s="18"/>
      <c r="RG103" s="18"/>
      <c r="RH103" s="18"/>
      <c r="RI103" s="18"/>
      <c r="RJ103" s="18"/>
      <c r="RK103" s="18"/>
      <c r="RL103" s="18"/>
      <c r="RM103" s="18"/>
      <c r="RN103" s="18"/>
      <c r="RO103" s="18"/>
      <c r="RP103" s="18"/>
      <c r="RQ103" s="18"/>
      <c r="RR103" s="18"/>
      <c r="RS103" s="18"/>
      <c r="RT103" s="18"/>
      <c r="RU103" s="18"/>
      <c r="RV103" s="18"/>
      <c r="RW103" s="18"/>
      <c r="RX103" s="18"/>
      <c r="RY103" s="18"/>
      <c r="RZ103" s="18"/>
      <c r="SA103" s="18"/>
      <c r="SB103" s="18"/>
      <c r="SC103" s="18"/>
      <c r="SD103" s="18"/>
      <c r="SE103" s="18"/>
      <c r="SF103" s="18"/>
      <c r="SG103" s="18"/>
      <c r="SH103" s="18"/>
      <c r="SI103" s="18"/>
      <c r="SJ103" s="18"/>
      <c r="SK103" s="18"/>
      <c r="SL103" s="18"/>
      <c r="SM103" s="18"/>
      <c r="SN103" s="18"/>
      <c r="SO103" s="18"/>
      <c r="SP103" s="18"/>
      <c r="SQ103" s="18"/>
      <c r="SR103" s="18"/>
      <c r="SS103" s="18"/>
      <c r="ST103" s="18"/>
      <c r="SU103" s="18"/>
      <c r="SV103" s="18"/>
      <c r="SW103" s="18"/>
      <c r="SX103" s="18"/>
      <c r="SY103" s="18"/>
      <c r="SZ103" s="18"/>
      <c r="TA103" s="18"/>
      <c r="TB103" s="18"/>
      <c r="TC103" s="18"/>
      <c r="TD103" s="18"/>
      <c r="TE103" s="18"/>
      <c r="TF103" s="18"/>
      <c r="TG103" s="18"/>
      <c r="TH103" s="18"/>
      <c r="TI103" s="18"/>
      <c r="TJ103" s="18"/>
      <c r="TK103" s="18"/>
      <c r="TL103" s="18"/>
      <c r="TM103" s="18"/>
      <c r="TN103" s="18"/>
      <c r="TO103" s="18"/>
      <c r="TP103" s="18"/>
      <c r="TQ103" s="18"/>
      <c r="TR103" s="18"/>
      <c r="TS103" s="18"/>
      <c r="TT103" s="18"/>
      <c r="TU103" s="18"/>
      <c r="TV103" s="18"/>
      <c r="TW103" s="18"/>
      <c r="TX103" s="18"/>
      <c r="TY103" s="18"/>
      <c r="TZ103" s="18"/>
      <c r="UA103" s="18"/>
      <c r="UB103" s="18"/>
      <c r="UC103" s="18"/>
      <c r="UD103" s="18"/>
      <c r="UE103" s="18"/>
      <c r="UF103" s="18"/>
      <c r="UG103" s="18"/>
      <c r="UH103" s="18"/>
      <c r="UI103" s="18"/>
      <c r="UJ103" s="18"/>
      <c r="UK103" s="18"/>
      <c r="UL103" s="18"/>
      <c r="UM103" s="18"/>
      <c r="UN103" s="18"/>
      <c r="UO103" s="18"/>
      <c r="UP103" s="18"/>
      <c r="UQ103" s="18"/>
      <c r="UR103" s="18"/>
      <c r="US103" s="18"/>
      <c r="UT103" s="18"/>
      <c r="UU103" s="18"/>
      <c r="UV103" s="18"/>
      <c r="UW103" s="18"/>
      <c r="UX103" s="18"/>
      <c r="UY103" s="18"/>
      <c r="UZ103" s="18"/>
      <c r="VA103" s="18"/>
      <c r="VB103" s="18"/>
      <c r="VC103" s="18"/>
      <c r="VD103" s="18"/>
      <c r="VE103" s="18"/>
      <c r="VF103" s="18"/>
      <c r="VG103" s="18"/>
      <c r="VH103" s="18"/>
      <c r="VI103" s="18"/>
      <c r="VJ103" s="18"/>
      <c r="VK103" s="18"/>
      <c r="VL103" s="18"/>
      <c r="VM103" s="18"/>
      <c r="VN103" s="18"/>
      <c r="VO103" s="18"/>
      <c r="VP103" s="18"/>
      <c r="VQ103" s="18"/>
      <c r="VR103" s="18"/>
      <c r="VS103" s="18"/>
      <c r="VT103" s="18"/>
      <c r="VU103" s="18"/>
      <c r="VV103" s="18"/>
      <c r="VW103" s="18"/>
      <c r="VX103" s="18"/>
      <c r="VY103" s="18"/>
      <c r="VZ103" s="18"/>
      <c r="WA103" s="18"/>
      <c r="WB103" s="18"/>
      <c r="WC103" s="18"/>
      <c r="WD103" s="18"/>
      <c r="WE103" s="18"/>
      <c r="WF103" s="18"/>
      <c r="WG103" s="18"/>
      <c r="WH103" s="18"/>
      <c r="WI103" s="18"/>
      <c r="WJ103" s="18"/>
      <c r="WK103" s="18"/>
      <c r="WL103" s="18"/>
      <c r="WM103" s="18"/>
      <c r="WN103" s="18"/>
      <c r="WO103" s="18"/>
      <c r="WP103" s="18"/>
      <c r="WQ103" s="18"/>
      <c r="WR103" s="18"/>
      <c r="WS103" s="18"/>
      <c r="WT103" s="18"/>
      <c r="WU103" s="18"/>
      <c r="WV103" s="18"/>
      <c r="WW103" s="18"/>
      <c r="WX103" s="18"/>
      <c r="WY103" s="18"/>
      <c r="WZ103" s="18"/>
      <c r="XA103" s="18"/>
      <c r="XB103" s="18"/>
      <c r="XC103" s="18"/>
      <c r="XD103" s="18"/>
      <c r="XE103" s="18"/>
      <c r="XF103" s="18"/>
      <c r="XG103" s="18"/>
      <c r="XH103" s="18"/>
      <c r="XI103" s="18"/>
      <c r="XJ103" s="18"/>
      <c r="XK103" s="18"/>
      <c r="XL103" s="18"/>
      <c r="XM103" s="18"/>
      <c r="XN103" s="18"/>
      <c r="XO103" s="18"/>
      <c r="XP103" s="18"/>
      <c r="XQ103" s="18"/>
      <c r="XR103" s="18"/>
      <c r="XS103" s="18"/>
      <c r="XT103" s="18"/>
      <c r="XU103" s="18"/>
      <c r="XV103" s="18"/>
      <c r="XW103" s="18"/>
      <c r="XX103" s="18"/>
      <c r="XY103" s="18"/>
      <c r="XZ103" s="18"/>
      <c r="YA103" s="18"/>
      <c r="YB103" s="18"/>
      <c r="YC103" s="18"/>
      <c r="YD103" s="18"/>
      <c r="YE103" s="18"/>
      <c r="YF103" s="18"/>
      <c r="YG103" s="18"/>
      <c r="YH103" s="18"/>
      <c r="YI103" s="18"/>
      <c r="YJ103" s="18"/>
      <c r="YK103" s="18"/>
      <c r="YL103" s="18"/>
      <c r="YM103" s="18"/>
      <c r="YN103" s="18"/>
      <c r="YO103" s="18"/>
      <c r="YP103" s="18"/>
      <c r="YQ103" s="18"/>
      <c r="YR103" s="18"/>
      <c r="YS103" s="18"/>
      <c r="YT103" s="18"/>
      <c r="YU103" s="18"/>
      <c r="YV103" s="18"/>
      <c r="YW103" s="18"/>
      <c r="YX103" s="18"/>
      <c r="YY103" s="18"/>
      <c r="YZ103" s="18"/>
      <c r="ZA103" s="18"/>
      <c r="ZB103" s="18"/>
      <c r="ZC103" s="18"/>
      <c r="ZD103" s="18"/>
      <c r="ZE103" s="18"/>
      <c r="ZF103" s="18"/>
      <c r="ZG103" s="18"/>
      <c r="ZH103" s="18"/>
      <c r="ZI103" s="18"/>
      <c r="ZJ103" s="18"/>
      <c r="ZK103" s="18"/>
      <c r="ZL103" s="18"/>
      <c r="ZM103" s="18"/>
      <c r="ZN103" s="18"/>
      <c r="ZO103" s="18"/>
      <c r="ZP103" s="18"/>
      <c r="ZQ103" s="18"/>
      <c r="ZR103" s="18"/>
      <c r="ZS103" s="18"/>
      <c r="ZT103" s="18"/>
      <c r="ZU103" s="18"/>
      <c r="ZV103" s="18"/>
      <c r="ZW103" s="18"/>
      <c r="ZX103" s="18"/>
      <c r="ZY103" s="18"/>
      <c r="ZZ103" s="18"/>
      <c r="AAA103" s="18"/>
      <c r="AAB103" s="18"/>
      <c r="AAC103" s="18"/>
      <c r="AAD103" s="18"/>
      <c r="AAE103" s="18"/>
      <c r="AAF103" s="18"/>
      <c r="AAG103" s="18"/>
      <c r="AAH103" s="18"/>
      <c r="AAI103" s="18"/>
      <c r="AAJ103" s="18"/>
      <c r="AAK103" s="18"/>
      <c r="AAL103" s="18"/>
      <c r="AAM103" s="18"/>
      <c r="AAN103" s="18"/>
      <c r="AAO103" s="18"/>
      <c r="AAP103" s="18"/>
      <c r="AAQ103" s="18"/>
      <c r="AAR103" s="18"/>
      <c r="AAS103" s="18"/>
      <c r="AAT103" s="18"/>
      <c r="AAU103" s="18"/>
      <c r="AAV103" s="18"/>
      <c r="AAW103" s="18"/>
      <c r="AAX103" s="18"/>
      <c r="AAY103" s="18"/>
      <c r="AAZ103" s="18"/>
      <c r="ABA103" s="18"/>
      <c r="ABB103" s="18"/>
      <c r="ABC103" s="18"/>
      <c r="ABD103" s="18"/>
      <c r="ABE103" s="18"/>
      <c r="ABF103" s="18"/>
      <c r="ABG103" s="18"/>
      <c r="ABH103" s="18"/>
      <c r="ABI103" s="18"/>
      <c r="ABJ103" s="18"/>
      <c r="ABK103" s="18"/>
      <c r="ABL103" s="18"/>
      <c r="ABM103" s="18"/>
      <c r="ABN103" s="18"/>
      <c r="ABO103" s="18"/>
      <c r="ABP103" s="18"/>
      <c r="ABQ103" s="18"/>
      <c r="ABR103" s="18"/>
      <c r="ABS103" s="18"/>
      <c r="ABT103" s="18"/>
      <c r="ABU103" s="18"/>
      <c r="ABV103" s="18"/>
      <c r="ABW103" s="18"/>
      <c r="ABX103" s="18"/>
      <c r="ABY103" s="18"/>
      <c r="ABZ103" s="18"/>
      <c r="ACA103" s="18"/>
      <c r="ACB103" s="18"/>
      <c r="ACC103" s="18"/>
      <c r="ACD103" s="18"/>
      <c r="ACE103" s="18"/>
      <c r="ACF103" s="18"/>
      <c r="ACG103" s="18"/>
      <c r="ACH103" s="18"/>
      <c r="ACI103" s="18"/>
      <c r="ACJ103" s="18"/>
      <c r="ACK103" s="18"/>
      <c r="ACL103" s="18"/>
      <c r="ACM103" s="18"/>
      <c r="ACN103" s="18"/>
      <c r="ACO103" s="18"/>
      <c r="ACP103" s="18"/>
      <c r="ACQ103" s="18"/>
      <c r="ACR103" s="18"/>
      <c r="ACS103" s="18"/>
      <c r="ACT103" s="18"/>
      <c r="ACU103" s="18"/>
      <c r="ACV103" s="18"/>
      <c r="ACW103" s="18"/>
      <c r="ACX103" s="18"/>
      <c r="ACY103" s="18"/>
      <c r="ACZ103" s="18"/>
      <c r="ADA103" s="18"/>
      <c r="ADB103" s="18"/>
      <c r="ADC103" s="18"/>
      <c r="ADD103" s="18"/>
      <c r="ADE103" s="18"/>
      <c r="ADF103" s="18"/>
      <c r="ADG103" s="18"/>
      <c r="ADH103" s="18"/>
      <c r="ADI103" s="18"/>
      <c r="ADJ103" s="18"/>
      <c r="ADK103" s="18"/>
      <c r="ADL103" s="18"/>
      <c r="ADM103" s="18"/>
      <c r="ADN103" s="18"/>
      <c r="ADO103" s="18"/>
      <c r="ADP103" s="18"/>
      <c r="ADQ103" s="18"/>
      <c r="ADR103" s="18"/>
      <c r="ADS103" s="18"/>
      <c r="ADT103" s="18"/>
      <c r="ADU103" s="18"/>
      <c r="ADV103" s="18"/>
      <c r="ADW103" s="18"/>
      <c r="ADX103" s="18"/>
      <c r="ADY103" s="18"/>
      <c r="ADZ103" s="18"/>
      <c r="AEA103" s="18"/>
      <c r="AEB103" s="18"/>
      <c r="AEC103" s="18"/>
      <c r="AED103" s="18"/>
      <c r="AEE103" s="18"/>
      <c r="AEF103" s="18"/>
      <c r="AEG103" s="18"/>
      <c r="AEH103" s="18"/>
      <c r="AEI103" s="18"/>
      <c r="AEJ103" s="18"/>
      <c r="AEK103" s="18"/>
      <c r="AEL103" s="18"/>
      <c r="AEM103" s="18"/>
      <c r="AEN103" s="18"/>
      <c r="AEO103" s="18"/>
      <c r="AEP103" s="18"/>
      <c r="AEQ103" s="18"/>
      <c r="AER103" s="18"/>
      <c r="AES103" s="18"/>
      <c r="AET103" s="18"/>
      <c r="AEU103" s="18"/>
      <c r="AEV103" s="18"/>
      <c r="AEW103" s="18"/>
      <c r="AEX103" s="18"/>
      <c r="AEY103" s="18"/>
      <c r="AEZ103" s="18"/>
      <c r="AFA103" s="18"/>
      <c r="AFB103" s="18"/>
      <c r="AFC103" s="18"/>
      <c r="AFD103" s="18"/>
      <c r="AFE103" s="18"/>
      <c r="AFF103" s="18"/>
      <c r="AFG103" s="18"/>
      <c r="AFH103" s="18"/>
      <c r="AFI103" s="18"/>
      <c r="AFJ103" s="18"/>
      <c r="AFK103" s="18"/>
      <c r="AFL103" s="18"/>
      <c r="AFM103" s="18"/>
      <c r="AFN103" s="18"/>
      <c r="AFO103" s="18"/>
      <c r="AFP103" s="18"/>
      <c r="AFQ103" s="18"/>
      <c r="AFR103" s="18"/>
      <c r="AFS103" s="18"/>
      <c r="AFT103" s="18"/>
      <c r="AFU103" s="18"/>
      <c r="AFV103" s="18"/>
      <c r="AFW103" s="18"/>
      <c r="AFX103" s="18"/>
      <c r="AFY103" s="18"/>
      <c r="AFZ103" s="18"/>
      <c r="AGA103" s="18"/>
      <c r="AGB103" s="18"/>
      <c r="AGC103" s="18"/>
      <c r="AGD103" s="18"/>
      <c r="AGE103" s="18"/>
      <c r="AGF103" s="18"/>
      <c r="AGG103" s="18"/>
      <c r="AGH103" s="18"/>
      <c r="AGI103" s="18"/>
      <c r="AGJ103" s="18"/>
      <c r="AGK103" s="18"/>
      <c r="AGL103" s="18"/>
      <c r="AGM103" s="18"/>
      <c r="AGN103" s="18"/>
      <c r="AGO103" s="18"/>
      <c r="AGP103" s="18"/>
      <c r="AGQ103" s="18"/>
      <c r="AGR103" s="18"/>
      <c r="AGS103" s="18"/>
      <c r="AGT103" s="18"/>
      <c r="AGU103" s="18"/>
      <c r="AGV103" s="18"/>
      <c r="AGW103" s="18"/>
      <c r="AGX103" s="18"/>
      <c r="AGY103" s="18"/>
      <c r="AGZ103" s="18"/>
      <c r="AHA103" s="18"/>
      <c r="AHB103" s="18"/>
      <c r="AHC103" s="18"/>
      <c r="AHD103" s="18"/>
      <c r="AHE103" s="18"/>
      <c r="AHF103" s="18"/>
      <c r="AHG103" s="18"/>
      <c r="AHH103" s="18"/>
      <c r="AHI103" s="18"/>
      <c r="AHJ103" s="18"/>
      <c r="AHK103" s="18"/>
      <c r="AHL103" s="18"/>
      <c r="AHM103" s="18"/>
      <c r="AHN103" s="18"/>
      <c r="AHO103" s="18"/>
      <c r="AHP103" s="18"/>
      <c r="AHQ103" s="18"/>
      <c r="AHR103" s="18"/>
      <c r="AHS103" s="18"/>
      <c r="AHT103" s="18"/>
      <c r="AHU103" s="18"/>
      <c r="AHV103" s="18"/>
      <c r="AHW103" s="18"/>
      <c r="AHX103" s="18"/>
      <c r="AHY103" s="18"/>
      <c r="AHZ103" s="18"/>
      <c r="AIA103" s="18"/>
      <c r="AIB103" s="18"/>
      <c r="AIC103" s="18"/>
      <c r="AID103" s="18"/>
      <c r="AIE103" s="18"/>
      <c r="AIF103" s="18"/>
      <c r="AIG103" s="18"/>
      <c r="AIH103" s="18"/>
      <c r="AII103" s="18"/>
      <c r="AIJ103" s="18"/>
      <c r="AIK103" s="18"/>
      <c r="AIL103" s="18"/>
      <c r="AIM103" s="18"/>
      <c r="AIN103" s="18"/>
      <c r="AIO103" s="18"/>
      <c r="AIP103" s="18"/>
      <c r="AIQ103" s="18"/>
      <c r="AIR103" s="18"/>
      <c r="AIS103" s="18"/>
      <c r="AIT103" s="18"/>
      <c r="AIU103" s="18"/>
      <c r="AIV103" s="18"/>
      <c r="AIW103" s="18"/>
      <c r="AIX103" s="18"/>
      <c r="AIY103" s="18"/>
      <c r="AIZ103" s="18"/>
      <c r="AJA103" s="18"/>
      <c r="AJB103" s="18"/>
      <c r="AJC103" s="18"/>
      <c r="AJD103" s="18"/>
      <c r="AJE103" s="18"/>
      <c r="AJF103" s="18"/>
      <c r="AJG103" s="18"/>
      <c r="AJH103" s="18"/>
      <c r="AJI103" s="18"/>
      <c r="AJJ103" s="18"/>
      <c r="AJK103" s="18"/>
      <c r="AJL103" s="18"/>
      <c r="AJM103" s="18"/>
      <c r="AJN103" s="18"/>
      <c r="AJO103" s="18"/>
      <c r="AJP103" s="18"/>
      <c r="AJQ103" s="18"/>
      <c r="AJR103" s="18"/>
      <c r="AJS103" s="18"/>
      <c r="AJT103" s="18"/>
      <c r="AJU103" s="18"/>
      <c r="AJV103" s="18"/>
      <c r="AJW103" s="18"/>
      <c r="AJX103" s="18"/>
      <c r="AJY103" s="18"/>
      <c r="AJZ103" s="18"/>
      <c r="AKA103" s="18"/>
      <c r="AKB103" s="18"/>
      <c r="AKC103" s="18"/>
      <c r="AKD103" s="18"/>
      <c r="AKE103" s="18"/>
      <c r="AKF103" s="18"/>
      <c r="AKG103" s="18"/>
      <c r="AKH103" s="18"/>
      <c r="AKI103" s="18"/>
      <c r="AKJ103" s="18"/>
      <c r="AKK103" s="18"/>
      <c r="AKL103" s="18"/>
      <c r="AKM103" s="18"/>
      <c r="AKN103" s="18"/>
      <c r="AKO103" s="18"/>
      <c r="AKP103" s="18"/>
      <c r="AKQ103" s="18"/>
      <c r="AKR103" s="18"/>
      <c r="AKS103" s="18"/>
      <c r="AKT103" s="18"/>
      <c r="AKU103" s="18"/>
      <c r="AKV103" s="18"/>
      <c r="AKW103" s="18"/>
      <c r="AKX103" s="18"/>
      <c r="AKY103" s="18"/>
      <c r="AKZ103" s="18"/>
      <c r="ALA103" s="18"/>
      <c r="ALB103" s="18"/>
      <c r="ALC103" s="18"/>
      <c r="ALD103" s="18"/>
      <c r="ALE103" s="18"/>
      <c r="ALF103" s="18"/>
      <c r="ALG103" s="18"/>
      <c r="ALH103" s="18"/>
      <c r="ALI103" s="18"/>
      <c r="ALJ103" s="18"/>
      <c r="ALK103" s="18"/>
      <c r="ALL103" s="18"/>
      <c r="ALM103" s="18"/>
      <c r="ALN103" s="18"/>
      <c r="ALO103" s="18"/>
      <c r="ALP103" s="18"/>
      <c r="ALQ103" s="18"/>
      <c r="ALR103" s="18"/>
      <c r="ALS103" s="18"/>
      <c r="ALT103" s="18"/>
      <c r="ALU103" s="18"/>
      <c r="ALV103" s="18"/>
      <c r="ALW103" s="18"/>
      <c r="ALX103" s="18"/>
      <c r="ALY103" s="18"/>
      <c r="ALZ103" s="18"/>
      <c r="AMA103" s="18"/>
      <c r="AMB103" s="18"/>
      <c r="AMC103" s="18"/>
      <c r="AMD103" s="18"/>
      <c r="AME103" s="18"/>
      <c r="AMF103" s="18"/>
      <c r="AMG103" s="18"/>
      <c r="AMH103" s="18"/>
    </row>
    <row r="104" spans="1:1022" s="23" customFormat="1" x14ac:dyDescent="0.3">
      <c r="A104" s="33">
        <v>200</v>
      </c>
      <c r="B104" s="19"/>
      <c r="C104" s="19"/>
      <c r="D104" s="34"/>
      <c r="E104" s="34"/>
      <c r="F104" s="19"/>
      <c r="G104" s="19"/>
      <c r="H104" s="18"/>
      <c r="I104" s="31"/>
      <c r="J104" s="31"/>
      <c r="K104" s="31"/>
      <c r="L104" s="31"/>
      <c r="M104" s="32"/>
      <c r="N104" s="32"/>
      <c r="O104" s="18"/>
      <c r="P104" s="36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18"/>
      <c r="BK104" s="18"/>
      <c r="BL104" s="18"/>
      <c r="BM104" s="18"/>
      <c r="BN104" s="18"/>
      <c r="BO104" s="18"/>
      <c r="BP104" s="18"/>
      <c r="BQ104" s="18"/>
      <c r="BR104" s="18"/>
      <c r="BS104" s="18"/>
      <c r="BT104" s="18"/>
      <c r="BU104" s="18"/>
      <c r="BV104" s="18"/>
      <c r="BW104" s="18"/>
      <c r="BX104" s="18"/>
      <c r="BY104" s="18"/>
      <c r="BZ104" s="18"/>
      <c r="CA104" s="18"/>
      <c r="CB104" s="18"/>
      <c r="CC104" s="18"/>
      <c r="CD104" s="18"/>
      <c r="CE104" s="18"/>
      <c r="CF104" s="18"/>
      <c r="CG104" s="18"/>
      <c r="CH104" s="18"/>
      <c r="CI104" s="18"/>
      <c r="CJ104" s="18"/>
      <c r="CK104" s="18"/>
      <c r="CL104" s="18"/>
      <c r="CM104" s="18"/>
      <c r="CN104" s="18"/>
      <c r="CO104" s="18"/>
      <c r="CP104" s="18"/>
      <c r="CQ104" s="18"/>
      <c r="CR104" s="18"/>
      <c r="CS104" s="18"/>
      <c r="CT104" s="18"/>
      <c r="CU104" s="18"/>
      <c r="CV104" s="18"/>
      <c r="CW104" s="18"/>
      <c r="CX104" s="18"/>
      <c r="CY104" s="18"/>
      <c r="CZ104" s="18"/>
      <c r="DA104" s="18"/>
      <c r="DB104" s="18"/>
      <c r="DC104" s="18"/>
      <c r="DD104" s="18"/>
      <c r="DE104" s="18"/>
      <c r="DF104" s="18"/>
      <c r="DG104" s="18"/>
      <c r="DH104" s="18"/>
      <c r="DI104" s="18"/>
      <c r="DJ104" s="18"/>
      <c r="DK104" s="18"/>
      <c r="DL104" s="18"/>
      <c r="DM104" s="18"/>
      <c r="DN104" s="18"/>
      <c r="DO104" s="18"/>
      <c r="DP104" s="18"/>
      <c r="DQ104" s="18"/>
      <c r="DR104" s="18"/>
      <c r="DS104" s="18"/>
      <c r="DT104" s="18"/>
      <c r="DU104" s="18"/>
      <c r="DV104" s="18"/>
      <c r="DW104" s="18"/>
      <c r="DX104" s="18"/>
      <c r="DY104" s="18"/>
      <c r="DZ104" s="18"/>
      <c r="EA104" s="18"/>
      <c r="EB104" s="18"/>
      <c r="EC104" s="18"/>
      <c r="ED104" s="18"/>
      <c r="EE104" s="18"/>
      <c r="EF104" s="18"/>
      <c r="EG104" s="18"/>
      <c r="EH104" s="18"/>
      <c r="EI104" s="18"/>
      <c r="EJ104" s="18"/>
      <c r="EK104" s="18"/>
      <c r="EL104" s="18"/>
      <c r="EM104" s="18"/>
      <c r="EN104" s="18"/>
      <c r="EO104" s="18"/>
      <c r="EP104" s="18"/>
      <c r="EQ104" s="18"/>
      <c r="ER104" s="18"/>
      <c r="ES104" s="18"/>
      <c r="ET104" s="18"/>
      <c r="EU104" s="18"/>
      <c r="EV104" s="18"/>
      <c r="EW104" s="18"/>
      <c r="EX104" s="18"/>
      <c r="EY104" s="18"/>
      <c r="EZ104" s="18"/>
      <c r="FA104" s="18"/>
      <c r="FB104" s="18"/>
      <c r="FC104" s="18"/>
      <c r="FD104" s="18"/>
      <c r="FE104" s="18"/>
      <c r="FF104" s="18"/>
      <c r="FG104" s="18"/>
      <c r="FH104" s="18"/>
      <c r="FI104" s="18"/>
      <c r="FJ104" s="18"/>
      <c r="FK104" s="18"/>
      <c r="FL104" s="18"/>
      <c r="FM104" s="18"/>
      <c r="FN104" s="18"/>
      <c r="FO104" s="18"/>
      <c r="FP104" s="18"/>
      <c r="FQ104" s="18"/>
      <c r="FR104" s="18"/>
      <c r="FS104" s="18"/>
      <c r="FT104" s="18"/>
      <c r="FU104" s="18"/>
      <c r="FV104" s="18"/>
      <c r="FW104" s="18"/>
      <c r="FX104" s="18"/>
      <c r="FY104" s="18"/>
      <c r="FZ104" s="18"/>
      <c r="GA104" s="18"/>
      <c r="GB104" s="18"/>
      <c r="GC104" s="18"/>
      <c r="GD104" s="18"/>
      <c r="GE104" s="18"/>
      <c r="GF104" s="18"/>
      <c r="GG104" s="18"/>
      <c r="GH104" s="18"/>
      <c r="GI104" s="18"/>
      <c r="GJ104" s="18"/>
      <c r="GK104" s="18"/>
      <c r="GL104" s="18"/>
      <c r="GM104" s="18"/>
      <c r="GN104" s="18"/>
      <c r="GO104" s="18"/>
      <c r="GP104" s="18"/>
      <c r="GQ104" s="18"/>
      <c r="GR104" s="18"/>
      <c r="GS104" s="18"/>
      <c r="GT104" s="18"/>
      <c r="GU104" s="18"/>
      <c r="GV104" s="18"/>
      <c r="GW104" s="18"/>
      <c r="GX104" s="18"/>
      <c r="GY104" s="18"/>
      <c r="GZ104" s="18"/>
      <c r="HA104" s="18"/>
      <c r="HB104" s="18"/>
      <c r="HC104" s="18"/>
      <c r="HD104" s="18"/>
      <c r="HE104" s="18"/>
      <c r="HF104" s="18"/>
      <c r="HG104" s="18"/>
      <c r="HH104" s="18"/>
      <c r="HI104" s="18"/>
      <c r="HJ104" s="18"/>
      <c r="HK104" s="18"/>
      <c r="HL104" s="18"/>
      <c r="HM104" s="18"/>
      <c r="HN104" s="18"/>
      <c r="HO104" s="18"/>
      <c r="HP104" s="18"/>
      <c r="HQ104" s="18"/>
      <c r="HR104" s="18"/>
      <c r="HS104" s="18"/>
      <c r="HT104" s="18"/>
      <c r="HU104" s="18"/>
      <c r="HV104" s="18"/>
      <c r="HW104" s="18"/>
      <c r="HX104" s="18"/>
      <c r="HY104" s="18"/>
      <c r="HZ104" s="18"/>
      <c r="IA104" s="18"/>
      <c r="IB104" s="18"/>
      <c r="IC104" s="18"/>
      <c r="ID104" s="18"/>
      <c r="IE104" s="18"/>
      <c r="IF104" s="18"/>
      <c r="IG104" s="18"/>
      <c r="IH104" s="18"/>
      <c r="II104" s="18"/>
      <c r="IJ104" s="18"/>
      <c r="IK104" s="18"/>
      <c r="IL104" s="18"/>
      <c r="IM104" s="18"/>
      <c r="IN104" s="18"/>
      <c r="IO104" s="18"/>
      <c r="IP104" s="18"/>
      <c r="IQ104" s="18"/>
      <c r="IR104" s="18"/>
      <c r="IS104" s="18"/>
      <c r="IT104" s="18"/>
      <c r="IU104" s="18"/>
      <c r="IV104" s="18"/>
      <c r="IW104" s="18"/>
      <c r="IX104" s="18"/>
      <c r="IY104" s="18"/>
      <c r="IZ104" s="18"/>
      <c r="JA104" s="18"/>
      <c r="JB104" s="18"/>
      <c r="JC104" s="18"/>
      <c r="JD104" s="18"/>
      <c r="JE104" s="18"/>
      <c r="JF104" s="18"/>
      <c r="JG104" s="18"/>
      <c r="JH104" s="18"/>
      <c r="JI104" s="18"/>
      <c r="JJ104" s="18"/>
      <c r="JK104" s="18"/>
      <c r="JL104" s="18"/>
      <c r="JM104" s="18"/>
      <c r="JN104" s="18"/>
      <c r="JO104" s="18"/>
      <c r="JP104" s="18"/>
      <c r="JQ104" s="18"/>
      <c r="JR104" s="18"/>
      <c r="JS104" s="18"/>
      <c r="JT104" s="18"/>
      <c r="JU104" s="18"/>
      <c r="JV104" s="18"/>
      <c r="JW104" s="18"/>
      <c r="JX104" s="18"/>
      <c r="JY104" s="18"/>
      <c r="JZ104" s="18"/>
      <c r="KA104" s="18"/>
      <c r="KB104" s="18"/>
      <c r="KC104" s="18"/>
      <c r="KD104" s="18"/>
      <c r="KE104" s="18"/>
      <c r="KF104" s="18"/>
      <c r="KG104" s="18"/>
      <c r="KH104" s="18"/>
      <c r="KI104" s="18"/>
      <c r="KJ104" s="18"/>
      <c r="KK104" s="18"/>
      <c r="KL104" s="18"/>
      <c r="KM104" s="18"/>
      <c r="KN104" s="18"/>
      <c r="KO104" s="18"/>
      <c r="KP104" s="18"/>
      <c r="KQ104" s="18"/>
      <c r="KR104" s="18"/>
      <c r="KS104" s="18"/>
      <c r="KT104" s="18"/>
      <c r="KU104" s="18"/>
      <c r="KV104" s="18"/>
      <c r="KW104" s="18"/>
      <c r="KX104" s="18"/>
      <c r="KY104" s="18"/>
      <c r="KZ104" s="18"/>
      <c r="LA104" s="18"/>
      <c r="LB104" s="18"/>
      <c r="LC104" s="18"/>
      <c r="LD104" s="18"/>
      <c r="LE104" s="18"/>
      <c r="LF104" s="18"/>
      <c r="LG104" s="18"/>
      <c r="LH104" s="18"/>
      <c r="LI104" s="18"/>
      <c r="LJ104" s="18"/>
      <c r="LK104" s="18"/>
      <c r="LL104" s="18"/>
      <c r="LM104" s="18"/>
      <c r="LN104" s="18"/>
      <c r="LO104" s="18"/>
      <c r="LP104" s="18"/>
      <c r="LQ104" s="18"/>
      <c r="LR104" s="18"/>
      <c r="LS104" s="18"/>
      <c r="LT104" s="18"/>
      <c r="LU104" s="18"/>
      <c r="LV104" s="18"/>
      <c r="LW104" s="18"/>
      <c r="LX104" s="18"/>
      <c r="LY104" s="18"/>
      <c r="LZ104" s="18"/>
      <c r="MA104" s="18"/>
      <c r="MB104" s="18"/>
      <c r="MC104" s="18"/>
      <c r="MD104" s="18"/>
      <c r="ME104" s="18"/>
      <c r="MF104" s="18"/>
      <c r="MG104" s="18"/>
      <c r="MH104" s="18"/>
      <c r="MI104" s="18"/>
      <c r="MJ104" s="18"/>
      <c r="MK104" s="18"/>
      <c r="ML104" s="18"/>
      <c r="MM104" s="18"/>
      <c r="MN104" s="18"/>
      <c r="MO104" s="18"/>
      <c r="MP104" s="18"/>
      <c r="MQ104" s="18"/>
      <c r="MR104" s="18"/>
      <c r="MS104" s="18"/>
      <c r="MT104" s="18"/>
      <c r="MU104" s="18"/>
      <c r="MV104" s="18"/>
      <c r="MW104" s="18"/>
      <c r="MX104" s="18"/>
      <c r="MY104" s="18"/>
      <c r="MZ104" s="18"/>
      <c r="NA104" s="18"/>
      <c r="NB104" s="18"/>
      <c r="NC104" s="18"/>
      <c r="ND104" s="18"/>
      <c r="NE104" s="18"/>
      <c r="NF104" s="18"/>
      <c r="NG104" s="18"/>
      <c r="NH104" s="18"/>
      <c r="NI104" s="18"/>
      <c r="NJ104" s="18"/>
      <c r="NK104" s="18"/>
      <c r="NL104" s="18"/>
      <c r="NM104" s="18"/>
      <c r="NN104" s="18"/>
      <c r="NO104" s="18"/>
      <c r="NP104" s="18"/>
      <c r="NQ104" s="18"/>
      <c r="NR104" s="18"/>
      <c r="NS104" s="18"/>
      <c r="NT104" s="18"/>
      <c r="NU104" s="18"/>
      <c r="NV104" s="18"/>
      <c r="NW104" s="18"/>
      <c r="NX104" s="18"/>
      <c r="NY104" s="18"/>
      <c r="NZ104" s="18"/>
      <c r="OA104" s="18"/>
      <c r="OB104" s="18"/>
      <c r="OC104" s="18"/>
      <c r="OD104" s="18"/>
      <c r="OE104" s="18"/>
      <c r="OF104" s="18"/>
      <c r="OG104" s="18"/>
      <c r="OH104" s="18"/>
      <c r="OI104" s="18"/>
      <c r="OJ104" s="18"/>
      <c r="OK104" s="18"/>
      <c r="OL104" s="18"/>
      <c r="OM104" s="18"/>
      <c r="ON104" s="18"/>
      <c r="OO104" s="18"/>
      <c r="OP104" s="18"/>
      <c r="OQ104" s="18"/>
      <c r="OR104" s="18"/>
      <c r="OS104" s="18"/>
      <c r="OT104" s="18"/>
      <c r="OU104" s="18"/>
      <c r="OV104" s="18"/>
      <c r="OW104" s="18"/>
      <c r="OX104" s="18"/>
      <c r="OY104" s="18"/>
      <c r="OZ104" s="18"/>
      <c r="PA104" s="18"/>
      <c r="PB104" s="18"/>
      <c r="PC104" s="18"/>
      <c r="PD104" s="18"/>
      <c r="PE104" s="18"/>
      <c r="PF104" s="18"/>
      <c r="PG104" s="18"/>
      <c r="PH104" s="18"/>
      <c r="PI104" s="18"/>
      <c r="PJ104" s="18"/>
      <c r="PK104" s="18"/>
      <c r="PL104" s="18"/>
      <c r="PM104" s="18"/>
      <c r="PN104" s="18"/>
      <c r="PO104" s="18"/>
      <c r="PP104" s="18"/>
      <c r="PQ104" s="18"/>
      <c r="PR104" s="18"/>
      <c r="PS104" s="18"/>
      <c r="PT104" s="18"/>
      <c r="PU104" s="18"/>
      <c r="PV104" s="18"/>
      <c r="PW104" s="18"/>
      <c r="PX104" s="18"/>
      <c r="PY104" s="18"/>
      <c r="PZ104" s="18"/>
      <c r="QA104" s="18"/>
      <c r="QB104" s="18"/>
      <c r="QC104" s="18"/>
      <c r="QD104" s="18"/>
      <c r="QE104" s="18"/>
      <c r="QF104" s="18"/>
      <c r="QG104" s="18"/>
      <c r="QH104" s="18"/>
      <c r="QI104" s="18"/>
      <c r="QJ104" s="18"/>
      <c r="QK104" s="18"/>
      <c r="QL104" s="18"/>
      <c r="QM104" s="18"/>
      <c r="QN104" s="18"/>
      <c r="QO104" s="18"/>
      <c r="QP104" s="18"/>
      <c r="QQ104" s="18"/>
      <c r="QR104" s="18"/>
      <c r="QS104" s="18"/>
      <c r="QT104" s="18"/>
      <c r="QU104" s="18"/>
      <c r="QV104" s="18"/>
      <c r="QW104" s="18"/>
      <c r="QX104" s="18"/>
      <c r="QY104" s="18"/>
      <c r="QZ104" s="18"/>
      <c r="RA104" s="18"/>
      <c r="RB104" s="18"/>
      <c r="RC104" s="18"/>
      <c r="RD104" s="18"/>
      <c r="RE104" s="18"/>
      <c r="RF104" s="18"/>
      <c r="RG104" s="18"/>
      <c r="RH104" s="18"/>
      <c r="RI104" s="18"/>
      <c r="RJ104" s="18"/>
      <c r="RK104" s="18"/>
      <c r="RL104" s="18"/>
      <c r="RM104" s="18"/>
      <c r="RN104" s="18"/>
      <c r="RO104" s="18"/>
      <c r="RP104" s="18"/>
      <c r="RQ104" s="18"/>
      <c r="RR104" s="18"/>
      <c r="RS104" s="18"/>
      <c r="RT104" s="18"/>
      <c r="RU104" s="18"/>
      <c r="RV104" s="18"/>
      <c r="RW104" s="18"/>
      <c r="RX104" s="18"/>
      <c r="RY104" s="18"/>
      <c r="RZ104" s="18"/>
      <c r="SA104" s="18"/>
      <c r="SB104" s="18"/>
      <c r="SC104" s="18"/>
      <c r="SD104" s="18"/>
      <c r="SE104" s="18"/>
      <c r="SF104" s="18"/>
      <c r="SG104" s="18"/>
      <c r="SH104" s="18"/>
      <c r="SI104" s="18"/>
      <c r="SJ104" s="18"/>
      <c r="SK104" s="18"/>
      <c r="SL104" s="18"/>
      <c r="SM104" s="18"/>
      <c r="SN104" s="18"/>
      <c r="SO104" s="18"/>
      <c r="SP104" s="18"/>
      <c r="SQ104" s="18"/>
      <c r="SR104" s="18"/>
      <c r="SS104" s="18"/>
      <c r="ST104" s="18"/>
      <c r="SU104" s="18"/>
      <c r="SV104" s="18"/>
      <c r="SW104" s="18"/>
      <c r="SX104" s="18"/>
      <c r="SY104" s="18"/>
      <c r="SZ104" s="18"/>
      <c r="TA104" s="18"/>
      <c r="TB104" s="18"/>
      <c r="TC104" s="18"/>
      <c r="TD104" s="18"/>
      <c r="TE104" s="18"/>
      <c r="TF104" s="18"/>
      <c r="TG104" s="18"/>
      <c r="TH104" s="18"/>
      <c r="TI104" s="18"/>
      <c r="TJ104" s="18"/>
      <c r="TK104" s="18"/>
      <c r="TL104" s="18"/>
      <c r="TM104" s="18"/>
      <c r="TN104" s="18"/>
      <c r="TO104" s="18"/>
      <c r="TP104" s="18"/>
      <c r="TQ104" s="18"/>
      <c r="TR104" s="18"/>
      <c r="TS104" s="18"/>
      <c r="TT104" s="18"/>
      <c r="TU104" s="18"/>
      <c r="TV104" s="18"/>
      <c r="TW104" s="18"/>
      <c r="TX104" s="18"/>
      <c r="TY104" s="18"/>
      <c r="TZ104" s="18"/>
      <c r="UA104" s="18"/>
      <c r="UB104" s="18"/>
      <c r="UC104" s="18"/>
      <c r="UD104" s="18"/>
      <c r="UE104" s="18"/>
      <c r="UF104" s="18"/>
      <c r="UG104" s="18"/>
      <c r="UH104" s="18"/>
      <c r="UI104" s="18"/>
      <c r="UJ104" s="18"/>
      <c r="UK104" s="18"/>
      <c r="UL104" s="18"/>
      <c r="UM104" s="18"/>
      <c r="UN104" s="18"/>
      <c r="UO104" s="18"/>
      <c r="UP104" s="18"/>
      <c r="UQ104" s="18"/>
      <c r="UR104" s="18"/>
      <c r="US104" s="18"/>
      <c r="UT104" s="18"/>
      <c r="UU104" s="18"/>
      <c r="UV104" s="18"/>
      <c r="UW104" s="18"/>
      <c r="UX104" s="18"/>
      <c r="UY104" s="18"/>
      <c r="UZ104" s="18"/>
      <c r="VA104" s="18"/>
      <c r="VB104" s="18"/>
      <c r="VC104" s="18"/>
      <c r="VD104" s="18"/>
      <c r="VE104" s="18"/>
      <c r="VF104" s="18"/>
      <c r="VG104" s="18"/>
      <c r="VH104" s="18"/>
      <c r="VI104" s="18"/>
      <c r="VJ104" s="18"/>
      <c r="VK104" s="18"/>
      <c r="VL104" s="18"/>
      <c r="VM104" s="18"/>
      <c r="VN104" s="18"/>
      <c r="VO104" s="18"/>
      <c r="VP104" s="18"/>
      <c r="VQ104" s="18"/>
      <c r="VR104" s="18"/>
      <c r="VS104" s="18"/>
      <c r="VT104" s="18"/>
      <c r="VU104" s="18"/>
      <c r="VV104" s="18"/>
      <c r="VW104" s="18"/>
      <c r="VX104" s="18"/>
      <c r="VY104" s="18"/>
      <c r="VZ104" s="18"/>
      <c r="WA104" s="18"/>
      <c r="WB104" s="18"/>
      <c r="WC104" s="18"/>
      <c r="WD104" s="18"/>
      <c r="WE104" s="18"/>
      <c r="WF104" s="18"/>
      <c r="WG104" s="18"/>
      <c r="WH104" s="18"/>
      <c r="WI104" s="18"/>
      <c r="WJ104" s="18"/>
      <c r="WK104" s="18"/>
      <c r="WL104" s="18"/>
      <c r="WM104" s="18"/>
      <c r="WN104" s="18"/>
      <c r="WO104" s="18"/>
      <c r="WP104" s="18"/>
      <c r="WQ104" s="18"/>
      <c r="WR104" s="18"/>
      <c r="WS104" s="18"/>
      <c r="WT104" s="18"/>
      <c r="WU104" s="18"/>
      <c r="WV104" s="18"/>
      <c r="WW104" s="18"/>
      <c r="WX104" s="18"/>
      <c r="WY104" s="18"/>
      <c r="WZ104" s="18"/>
      <c r="XA104" s="18"/>
      <c r="XB104" s="18"/>
      <c r="XC104" s="18"/>
      <c r="XD104" s="18"/>
      <c r="XE104" s="18"/>
      <c r="XF104" s="18"/>
      <c r="XG104" s="18"/>
      <c r="XH104" s="18"/>
      <c r="XI104" s="18"/>
      <c r="XJ104" s="18"/>
      <c r="XK104" s="18"/>
      <c r="XL104" s="18"/>
      <c r="XM104" s="18"/>
      <c r="XN104" s="18"/>
      <c r="XO104" s="18"/>
      <c r="XP104" s="18"/>
      <c r="XQ104" s="18"/>
      <c r="XR104" s="18"/>
      <c r="XS104" s="18"/>
      <c r="XT104" s="18"/>
      <c r="XU104" s="18"/>
      <c r="XV104" s="18"/>
      <c r="XW104" s="18"/>
      <c r="XX104" s="18"/>
      <c r="XY104" s="18"/>
      <c r="XZ104" s="18"/>
      <c r="YA104" s="18"/>
      <c r="YB104" s="18"/>
      <c r="YC104" s="18"/>
      <c r="YD104" s="18"/>
      <c r="YE104" s="18"/>
      <c r="YF104" s="18"/>
      <c r="YG104" s="18"/>
      <c r="YH104" s="18"/>
      <c r="YI104" s="18"/>
      <c r="YJ104" s="18"/>
      <c r="YK104" s="18"/>
      <c r="YL104" s="18"/>
      <c r="YM104" s="18"/>
      <c r="YN104" s="18"/>
      <c r="YO104" s="18"/>
      <c r="YP104" s="18"/>
      <c r="YQ104" s="18"/>
      <c r="YR104" s="18"/>
      <c r="YS104" s="18"/>
      <c r="YT104" s="18"/>
      <c r="YU104" s="18"/>
      <c r="YV104" s="18"/>
      <c r="YW104" s="18"/>
      <c r="YX104" s="18"/>
      <c r="YY104" s="18"/>
      <c r="YZ104" s="18"/>
      <c r="ZA104" s="18"/>
      <c r="ZB104" s="18"/>
      <c r="ZC104" s="18"/>
      <c r="ZD104" s="18"/>
      <c r="ZE104" s="18"/>
      <c r="ZF104" s="18"/>
      <c r="ZG104" s="18"/>
      <c r="ZH104" s="18"/>
      <c r="ZI104" s="18"/>
      <c r="ZJ104" s="18"/>
      <c r="ZK104" s="18"/>
      <c r="ZL104" s="18"/>
      <c r="ZM104" s="18"/>
      <c r="ZN104" s="18"/>
      <c r="ZO104" s="18"/>
      <c r="ZP104" s="18"/>
      <c r="ZQ104" s="18"/>
      <c r="ZR104" s="18"/>
      <c r="ZS104" s="18"/>
      <c r="ZT104" s="18"/>
      <c r="ZU104" s="18"/>
      <c r="ZV104" s="18"/>
      <c r="ZW104" s="18"/>
      <c r="ZX104" s="18"/>
      <c r="ZY104" s="18"/>
      <c r="ZZ104" s="18"/>
      <c r="AAA104" s="18"/>
      <c r="AAB104" s="18"/>
      <c r="AAC104" s="18"/>
      <c r="AAD104" s="18"/>
      <c r="AAE104" s="18"/>
      <c r="AAF104" s="18"/>
      <c r="AAG104" s="18"/>
      <c r="AAH104" s="18"/>
      <c r="AAI104" s="18"/>
      <c r="AAJ104" s="18"/>
      <c r="AAK104" s="18"/>
      <c r="AAL104" s="18"/>
      <c r="AAM104" s="18"/>
      <c r="AAN104" s="18"/>
      <c r="AAO104" s="18"/>
      <c r="AAP104" s="18"/>
      <c r="AAQ104" s="18"/>
      <c r="AAR104" s="18"/>
      <c r="AAS104" s="18"/>
      <c r="AAT104" s="18"/>
      <c r="AAU104" s="18"/>
      <c r="AAV104" s="18"/>
      <c r="AAW104" s="18"/>
      <c r="AAX104" s="18"/>
      <c r="AAY104" s="18"/>
      <c r="AAZ104" s="18"/>
      <c r="ABA104" s="18"/>
      <c r="ABB104" s="18"/>
      <c r="ABC104" s="18"/>
      <c r="ABD104" s="18"/>
      <c r="ABE104" s="18"/>
      <c r="ABF104" s="18"/>
      <c r="ABG104" s="18"/>
      <c r="ABH104" s="18"/>
      <c r="ABI104" s="18"/>
      <c r="ABJ104" s="18"/>
      <c r="ABK104" s="18"/>
      <c r="ABL104" s="18"/>
      <c r="ABM104" s="18"/>
      <c r="ABN104" s="18"/>
      <c r="ABO104" s="18"/>
      <c r="ABP104" s="18"/>
      <c r="ABQ104" s="18"/>
      <c r="ABR104" s="18"/>
      <c r="ABS104" s="18"/>
      <c r="ABT104" s="18"/>
      <c r="ABU104" s="18"/>
      <c r="ABV104" s="18"/>
      <c r="ABW104" s="18"/>
      <c r="ABX104" s="18"/>
      <c r="ABY104" s="18"/>
      <c r="ABZ104" s="18"/>
      <c r="ACA104" s="18"/>
      <c r="ACB104" s="18"/>
      <c r="ACC104" s="18"/>
      <c r="ACD104" s="18"/>
      <c r="ACE104" s="18"/>
      <c r="ACF104" s="18"/>
      <c r="ACG104" s="18"/>
      <c r="ACH104" s="18"/>
      <c r="ACI104" s="18"/>
      <c r="ACJ104" s="18"/>
      <c r="ACK104" s="18"/>
      <c r="ACL104" s="18"/>
      <c r="ACM104" s="18"/>
      <c r="ACN104" s="18"/>
      <c r="ACO104" s="18"/>
      <c r="ACP104" s="18"/>
      <c r="ACQ104" s="18"/>
      <c r="ACR104" s="18"/>
      <c r="ACS104" s="18"/>
      <c r="ACT104" s="18"/>
      <c r="ACU104" s="18"/>
      <c r="ACV104" s="18"/>
      <c r="ACW104" s="18"/>
      <c r="ACX104" s="18"/>
      <c r="ACY104" s="18"/>
      <c r="ACZ104" s="18"/>
      <c r="ADA104" s="18"/>
      <c r="ADB104" s="18"/>
      <c r="ADC104" s="18"/>
      <c r="ADD104" s="18"/>
      <c r="ADE104" s="18"/>
      <c r="ADF104" s="18"/>
      <c r="ADG104" s="18"/>
      <c r="ADH104" s="18"/>
      <c r="ADI104" s="18"/>
      <c r="ADJ104" s="18"/>
      <c r="ADK104" s="18"/>
      <c r="ADL104" s="18"/>
      <c r="ADM104" s="18"/>
      <c r="ADN104" s="18"/>
      <c r="ADO104" s="18"/>
      <c r="ADP104" s="18"/>
      <c r="ADQ104" s="18"/>
      <c r="ADR104" s="18"/>
      <c r="ADS104" s="18"/>
      <c r="ADT104" s="18"/>
      <c r="ADU104" s="18"/>
      <c r="ADV104" s="18"/>
      <c r="ADW104" s="18"/>
      <c r="ADX104" s="18"/>
      <c r="ADY104" s="18"/>
      <c r="ADZ104" s="18"/>
      <c r="AEA104" s="18"/>
      <c r="AEB104" s="18"/>
      <c r="AEC104" s="18"/>
      <c r="AED104" s="18"/>
      <c r="AEE104" s="18"/>
      <c r="AEF104" s="18"/>
      <c r="AEG104" s="18"/>
      <c r="AEH104" s="18"/>
      <c r="AEI104" s="18"/>
      <c r="AEJ104" s="18"/>
      <c r="AEK104" s="18"/>
      <c r="AEL104" s="18"/>
      <c r="AEM104" s="18"/>
      <c r="AEN104" s="18"/>
      <c r="AEO104" s="18"/>
      <c r="AEP104" s="18"/>
      <c r="AEQ104" s="18"/>
      <c r="AER104" s="18"/>
      <c r="AES104" s="18"/>
      <c r="AET104" s="18"/>
      <c r="AEU104" s="18"/>
      <c r="AEV104" s="18"/>
      <c r="AEW104" s="18"/>
      <c r="AEX104" s="18"/>
      <c r="AEY104" s="18"/>
      <c r="AEZ104" s="18"/>
      <c r="AFA104" s="18"/>
      <c r="AFB104" s="18"/>
      <c r="AFC104" s="18"/>
      <c r="AFD104" s="18"/>
      <c r="AFE104" s="18"/>
      <c r="AFF104" s="18"/>
      <c r="AFG104" s="18"/>
      <c r="AFH104" s="18"/>
      <c r="AFI104" s="18"/>
      <c r="AFJ104" s="18"/>
      <c r="AFK104" s="18"/>
      <c r="AFL104" s="18"/>
      <c r="AFM104" s="18"/>
      <c r="AFN104" s="18"/>
      <c r="AFO104" s="18"/>
      <c r="AFP104" s="18"/>
      <c r="AFQ104" s="18"/>
      <c r="AFR104" s="18"/>
      <c r="AFS104" s="18"/>
      <c r="AFT104" s="18"/>
      <c r="AFU104" s="18"/>
      <c r="AFV104" s="18"/>
      <c r="AFW104" s="18"/>
      <c r="AFX104" s="18"/>
      <c r="AFY104" s="18"/>
      <c r="AFZ104" s="18"/>
      <c r="AGA104" s="18"/>
      <c r="AGB104" s="18"/>
      <c r="AGC104" s="18"/>
      <c r="AGD104" s="18"/>
      <c r="AGE104" s="18"/>
      <c r="AGF104" s="18"/>
      <c r="AGG104" s="18"/>
      <c r="AGH104" s="18"/>
      <c r="AGI104" s="18"/>
      <c r="AGJ104" s="18"/>
      <c r="AGK104" s="18"/>
      <c r="AGL104" s="18"/>
      <c r="AGM104" s="18"/>
      <c r="AGN104" s="18"/>
      <c r="AGO104" s="18"/>
      <c r="AGP104" s="18"/>
      <c r="AGQ104" s="18"/>
      <c r="AGR104" s="18"/>
      <c r="AGS104" s="18"/>
      <c r="AGT104" s="18"/>
      <c r="AGU104" s="18"/>
      <c r="AGV104" s="18"/>
      <c r="AGW104" s="18"/>
      <c r="AGX104" s="18"/>
      <c r="AGY104" s="18"/>
      <c r="AGZ104" s="18"/>
      <c r="AHA104" s="18"/>
      <c r="AHB104" s="18"/>
      <c r="AHC104" s="18"/>
      <c r="AHD104" s="18"/>
      <c r="AHE104" s="18"/>
      <c r="AHF104" s="18"/>
      <c r="AHG104" s="18"/>
      <c r="AHH104" s="18"/>
      <c r="AHI104" s="18"/>
      <c r="AHJ104" s="18"/>
      <c r="AHK104" s="18"/>
      <c r="AHL104" s="18"/>
      <c r="AHM104" s="18"/>
      <c r="AHN104" s="18"/>
      <c r="AHO104" s="18"/>
      <c r="AHP104" s="18"/>
      <c r="AHQ104" s="18"/>
      <c r="AHR104" s="18"/>
      <c r="AHS104" s="18"/>
      <c r="AHT104" s="18"/>
      <c r="AHU104" s="18"/>
      <c r="AHV104" s="18"/>
      <c r="AHW104" s="18"/>
      <c r="AHX104" s="18"/>
      <c r="AHY104" s="18"/>
      <c r="AHZ104" s="18"/>
      <c r="AIA104" s="18"/>
      <c r="AIB104" s="18"/>
      <c r="AIC104" s="18"/>
      <c r="AID104" s="18"/>
      <c r="AIE104" s="18"/>
      <c r="AIF104" s="18"/>
      <c r="AIG104" s="18"/>
      <c r="AIH104" s="18"/>
      <c r="AII104" s="18"/>
      <c r="AIJ104" s="18"/>
      <c r="AIK104" s="18"/>
      <c r="AIL104" s="18"/>
      <c r="AIM104" s="18"/>
      <c r="AIN104" s="18"/>
      <c r="AIO104" s="18"/>
      <c r="AIP104" s="18"/>
      <c r="AIQ104" s="18"/>
      <c r="AIR104" s="18"/>
      <c r="AIS104" s="18"/>
      <c r="AIT104" s="18"/>
      <c r="AIU104" s="18"/>
      <c r="AIV104" s="18"/>
      <c r="AIW104" s="18"/>
      <c r="AIX104" s="18"/>
      <c r="AIY104" s="18"/>
      <c r="AIZ104" s="18"/>
      <c r="AJA104" s="18"/>
      <c r="AJB104" s="18"/>
      <c r="AJC104" s="18"/>
      <c r="AJD104" s="18"/>
      <c r="AJE104" s="18"/>
      <c r="AJF104" s="18"/>
      <c r="AJG104" s="18"/>
      <c r="AJH104" s="18"/>
      <c r="AJI104" s="18"/>
      <c r="AJJ104" s="18"/>
      <c r="AJK104" s="18"/>
      <c r="AJL104" s="18"/>
      <c r="AJM104" s="18"/>
      <c r="AJN104" s="18"/>
      <c r="AJO104" s="18"/>
      <c r="AJP104" s="18"/>
      <c r="AJQ104" s="18"/>
      <c r="AJR104" s="18"/>
      <c r="AJS104" s="18"/>
      <c r="AJT104" s="18"/>
      <c r="AJU104" s="18"/>
      <c r="AJV104" s="18"/>
      <c r="AJW104" s="18"/>
      <c r="AJX104" s="18"/>
      <c r="AJY104" s="18"/>
      <c r="AJZ104" s="18"/>
      <c r="AKA104" s="18"/>
      <c r="AKB104" s="18"/>
      <c r="AKC104" s="18"/>
      <c r="AKD104" s="18"/>
      <c r="AKE104" s="18"/>
      <c r="AKF104" s="18"/>
      <c r="AKG104" s="18"/>
      <c r="AKH104" s="18"/>
      <c r="AKI104" s="18"/>
      <c r="AKJ104" s="18"/>
      <c r="AKK104" s="18"/>
      <c r="AKL104" s="18"/>
      <c r="AKM104" s="18"/>
      <c r="AKN104" s="18"/>
      <c r="AKO104" s="18"/>
      <c r="AKP104" s="18"/>
      <c r="AKQ104" s="18"/>
      <c r="AKR104" s="18"/>
      <c r="AKS104" s="18"/>
      <c r="AKT104" s="18"/>
      <c r="AKU104" s="18"/>
      <c r="AKV104" s="18"/>
      <c r="AKW104" s="18"/>
      <c r="AKX104" s="18"/>
      <c r="AKY104" s="18"/>
      <c r="AKZ104" s="18"/>
      <c r="ALA104" s="18"/>
      <c r="ALB104" s="18"/>
      <c r="ALC104" s="18"/>
      <c r="ALD104" s="18"/>
      <c r="ALE104" s="18"/>
      <c r="ALF104" s="18"/>
      <c r="ALG104" s="18"/>
      <c r="ALH104" s="18"/>
      <c r="ALI104" s="18"/>
      <c r="ALJ104" s="18"/>
      <c r="ALK104" s="18"/>
      <c r="ALL104" s="18"/>
      <c r="ALM104" s="18"/>
      <c r="ALN104" s="18"/>
      <c r="ALO104" s="18"/>
      <c r="ALP104" s="18"/>
      <c r="ALQ104" s="18"/>
      <c r="ALR104" s="18"/>
      <c r="ALS104" s="18"/>
      <c r="ALT104" s="18"/>
      <c r="ALU104" s="18"/>
      <c r="ALV104" s="18"/>
      <c r="ALW104" s="18"/>
      <c r="ALX104" s="18"/>
      <c r="ALY104" s="18"/>
      <c r="ALZ104" s="18"/>
      <c r="AMA104" s="18"/>
      <c r="AMB104" s="18"/>
      <c r="AMC104" s="18"/>
      <c r="AMD104" s="18"/>
      <c r="AME104" s="18"/>
      <c r="AMF104" s="18"/>
      <c r="AMG104" s="18"/>
      <c r="AMH104" s="18"/>
    </row>
    <row r="105" spans="1:1022" s="23" customFormat="1" x14ac:dyDescent="0.3">
      <c r="A105" s="33">
        <v>201</v>
      </c>
      <c r="B105" s="19"/>
      <c r="C105" s="19"/>
      <c r="D105" s="34"/>
      <c r="E105" s="34"/>
      <c r="F105" s="19"/>
      <c r="G105" s="19"/>
      <c r="H105" s="18"/>
      <c r="I105" s="31"/>
      <c r="J105" s="31"/>
      <c r="K105" s="31"/>
      <c r="L105" s="31"/>
      <c r="M105" s="32"/>
      <c r="N105" s="32"/>
      <c r="O105" s="18"/>
      <c r="P105" s="36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18"/>
      <c r="BK105" s="18"/>
      <c r="BL105" s="18"/>
      <c r="BM105" s="18"/>
      <c r="BN105" s="18"/>
      <c r="BO105" s="18"/>
      <c r="BP105" s="18"/>
      <c r="BQ105" s="18"/>
      <c r="BR105" s="18"/>
      <c r="BS105" s="18"/>
      <c r="BT105" s="18"/>
      <c r="BU105" s="18"/>
      <c r="BV105" s="18"/>
      <c r="BW105" s="18"/>
      <c r="BX105" s="18"/>
      <c r="BY105" s="18"/>
      <c r="BZ105" s="18"/>
      <c r="CA105" s="18"/>
      <c r="CB105" s="18"/>
      <c r="CC105" s="18"/>
      <c r="CD105" s="18"/>
      <c r="CE105" s="18"/>
      <c r="CF105" s="18"/>
      <c r="CG105" s="18"/>
      <c r="CH105" s="18"/>
      <c r="CI105" s="18"/>
      <c r="CJ105" s="18"/>
      <c r="CK105" s="18"/>
      <c r="CL105" s="18"/>
      <c r="CM105" s="18"/>
      <c r="CN105" s="18"/>
      <c r="CO105" s="18"/>
      <c r="CP105" s="18"/>
      <c r="CQ105" s="18"/>
      <c r="CR105" s="18"/>
      <c r="CS105" s="18"/>
      <c r="CT105" s="18"/>
      <c r="CU105" s="18"/>
      <c r="CV105" s="18"/>
      <c r="CW105" s="18"/>
      <c r="CX105" s="18"/>
      <c r="CY105" s="18"/>
      <c r="CZ105" s="18"/>
      <c r="DA105" s="18"/>
      <c r="DB105" s="18"/>
      <c r="DC105" s="18"/>
      <c r="DD105" s="18"/>
      <c r="DE105" s="18"/>
      <c r="DF105" s="18"/>
      <c r="DG105" s="18"/>
      <c r="DH105" s="18"/>
      <c r="DI105" s="18"/>
      <c r="DJ105" s="18"/>
      <c r="DK105" s="18"/>
      <c r="DL105" s="18"/>
      <c r="DM105" s="18"/>
      <c r="DN105" s="18"/>
      <c r="DO105" s="18"/>
      <c r="DP105" s="18"/>
      <c r="DQ105" s="18"/>
      <c r="DR105" s="18"/>
      <c r="DS105" s="18"/>
      <c r="DT105" s="18"/>
      <c r="DU105" s="18"/>
      <c r="DV105" s="18"/>
      <c r="DW105" s="18"/>
      <c r="DX105" s="18"/>
      <c r="DY105" s="18"/>
      <c r="DZ105" s="18"/>
      <c r="EA105" s="18"/>
      <c r="EB105" s="18"/>
      <c r="EC105" s="18"/>
      <c r="ED105" s="18"/>
      <c r="EE105" s="18"/>
      <c r="EF105" s="18"/>
      <c r="EG105" s="18"/>
      <c r="EH105" s="18"/>
      <c r="EI105" s="18"/>
      <c r="EJ105" s="18"/>
      <c r="EK105" s="18"/>
      <c r="EL105" s="18"/>
      <c r="EM105" s="18"/>
      <c r="EN105" s="18"/>
      <c r="EO105" s="18"/>
      <c r="EP105" s="18"/>
      <c r="EQ105" s="18"/>
      <c r="ER105" s="18"/>
      <c r="ES105" s="18"/>
      <c r="ET105" s="18"/>
      <c r="EU105" s="18"/>
      <c r="EV105" s="18"/>
      <c r="EW105" s="18"/>
      <c r="EX105" s="18"/>
      <c r="EY105" s="18"/>
      <c r="EZ105" s="18"/>
      <c r="FA105" s="18"/>
      <c r="FB105" s="18"/>
      <c r="FC105" s="18"/>
      <c r="FD105" s="18"/>
      <c r="FE105" s="18"/>
      <c r="FF105" s="18"/>
      <c r="FG105" s="18"/>
      <c r="FH105" s="18"/>
      <c r="FI105" s="18"/>
      <c r="FJ105" s="18"/>
      <c r="FK105" s="18"/>
      <c r="FL105" s="18"/>
      <c r="FM105" s="18"/>
      <c r="FN105" s="18"/>
      <c r="FO105" s="18"/>
      <c r="FP105" s="18"/>
      <c r="FQ105" s="18"/>
      <c r="FR105" s="18"/>
      <c r="FS105" s="18"/>
      <c r="FT105" s="18"/>
      <c r="FU105" s="18"/>
      <c r="FV105" s="18"/>
      <c r="FW105" s="18"/>
      <c r="FX105" s="18"/>
      <c r="FY105" s="18"/>
      <c r="FZ105" s="18"/>
      <c r="GA105" s="18"/>
      <c r="GB105" s="18"/>
      <c r="GC105" s="18"/>
      <c r="GD105" s="18"/>
      <c r="GE105" s="18"/>
      <c r="GF105" s="18"/>
      <c r="GG105" s="18"/>
      <c r="GH105" s="18"/>
      <c r="GI105" s="18"/>
      <c r="GJ105" s="18"/>
      <c r="GK105" s="18"/>
      <c r="GL105" s="18"/>
      <c r="GM105" s="18"/>
      <c r="GN105" s="18"/>
      <c r="GO105" s="18"/>
      <c r="GP105" s="18"/>
      <c r="GQ105" s="18"/>
      <c r="GR105" s="18"/>
      <c r="GS105" s="18"/>
      <c r="GT105" s="18"/>
      <c r="GU105" s="18"/>
      <c r="GV105" s="18"/>
      <c r="GW105" s="18"/>
      <c r="GX105" s="18"/>
      <c r="GY105" s="18"/>
      <c r="GZ105" s="18"/>
      <c r="HA105" s="18"/>
      <c r="HB105" s="18"/>
      <c r="HC105" s="18"/>
      <c r="HD105" s="18"/>
      <c r="HE105" s="18"/>
      <c r="HF105" s="18"/>
      <c r="HG105" s="18"/>
      <c r="HH105" s="18"/>
      <c r="HI105" s="18"/>
      <c r="HJ105" s="18"/>
      <c r="HK105" s="18"/>
      <c r="HL105" s="18"/>
      <c r="HM105" s="18"/>
      <c r="HN105" s="18"/>
      <c r="HO105" s="18"/>
      <c r="HP105" s="18"/>
      <c r="HQ105" s="18"/>
      <c r="HR105" s="18"/>
      <c r="HS105" s="18"/>
      <c r="HT105" s="18"/>
      <c r="HU105" s="18"/>
      <c r="HV105" s="18"/>
      <c r="HW105" s="18"/>
      <c r="HX105" s="18"/>
      <c r="HY105" s="18"/>
      <c r="HZ105" s="18"/>
      <c r="IA105" s="18"/>
      <c r="IB105" s="18"/>
      <c r="IC105" s="18"/>
      <c r="ID105" s="18"/>
      <c r="IE105" s="18"/>
      <c r="IF105" s="18"/>
      <c r="IG105" s="18"/>
      <c r="IH105" s="18"/>
      <c r="II105" s="18"/>
      <c r="IJ105" s="18"/>
      <c r="IK105" s="18"/>
      <c r="IL105" s="18"/>
      <c r="IM105" s="18"/>
      <c r="IN105" s="18"/>
      <c r="IO105" s="18"/>
      <c r="IP105" s="18"/>
      <c r="IQ105" s="18"/>
      <c r="IR105" s="18"/>
      <c r="IS105" s="18"/>
      <c r="IT105" s="18"/>
      <c r="IU105" s="18"/>
      <c r="IV105" s="18"/>
      <c r="IW105" s="18"/>
      <c r="IX105" s="18"/>
      <c r="IY105" s="18"/>
      <c r="IZ105" s="18"/>
      <c r="JA105" s="18"/>
      <c r="JB105" s="18"/>
      <c r="JC105" s="18"/>
      <c r="JD105" s="18"/>
      <c r="JE105" s="18"/>
      <c r="JF105" s="18"/>
      <c r="JG105" s="18"/>
      <c r="JH105" s="18"/>
      <c r="JI105" s="18"/>
      <c r="JJ105" s="18"/>
      <c r="JK105" s="18"/>
      <c r="JL105" s="18"/>
      <c r="JM105" s="18"/>
      <c r="JN105" s="18"/>
      <c r="JO105" s="18"/>
      <c r="JP105" s="18"/>
      <c r="JQ105" s="18"/>
      <c r="JR105" s="18"/>
      <c r="JS105" s="18"/>
      <c r="JT105" s="18"/>
      <c r="JU105" s="18"/>
      <c r="JV105" s="18"/>
      <c r="JW105" s="18"/>
      <c r="JX105" s="18"/>
      <c r="JY105" s="18"/>
      <c r="JZ105" s="18"/>
      <c r="KA105" s="18"/>
      <c r="KB105" s="18"/>
      <c r="KC105" s="18"/>
      <c r="KD105" s="18"/>
      <c r="KE105" s="18"/>
      <c r="KF105" s="18"/>
      <c r="KG105" s="18"/>
      <c r="KH105" s="18"/>
      <c r="KI105" s="18"/>
      <c r="KJ105" s="18"/>
      <c r="KK105" s="18"/>
      <c r="KL105" s="18"/>
      <c r="KM105" s="18"/>
      <c r="KN105" s="18"/>
      <c r="KO105" s="18"/>
      <c r="KP105" s="18"/>
      <c r="KQ105" s="18"/>
      <c r="KR105" s="18"/>
      <c r="KS105" s="18"/>
      <c r="KT105" s="18"/>
      <c r="KU105" s="18"/>
      <c r="KV105" s="18"/>
      <c r="KW105" s="18"/>
      <c r="KX105" s="18"/>
      <c r="KY105" s="18"/>
      <c r="KZ105" s="18"/>
      <c r="LA105" s="18"/>
      <c r="LB105" s="18"/>
      <c r="LC105" s="18"/>
      <c r="LD105" s="18"/>
      <c r="LE105" s="18"/>
      <c r="LF105" s="18"/>
      <c r="LG105" s="18"/>
      <c r="LH105" s="18"/>
      <c r="LI105" s="18"/>
      <c r="LJ105" s="18"/>
      <c r="LK105" s="18"/>
      <c r="LL105" s="18"/>
      <c r="LM105" s="18"/>
      <c r="LN105" s="18"/>
      <c r="LO105" s="18"/>
      <c r="LP105" s="18"/>
      <c r="LQ105" s="18"/>
      <c r="LR105" s="18"/>
      <c r="LS105" s="18"/>
      <c r="LT105" s="18"/>
      <c r="LU105" s="18"/>
      <c r="LV105" s="18"/>
      <c r="LW105" s="18"/>
      <c r="LX105" s="18"/>
      <c r="LY105" s="18"/>
      <c r="LZ105" s="18"/>
      <c r="MA105" s="18"/>
      <c r="MB105" s="18"/>
      <c r="MC105" s="18"/>
      <c r="MD105" s="18"/>
      <c r="ME105" s="18"/>
      <c r="MF105" s="18"/>
      <c r="MG105" s="18"/>
      <c r="MH105" s="18"/>
      <c r="MI105" s="18"/>
      <c r="MJ105" s="18"/>
      <c r="MK105" s="18"/>
      <c r="ML105" s="18"/>
      <c r="MM105" s="18"/>
      <c r="MN105" s="18"/>
      <c r="MO105" s="18"/>
      <c r="MP105" s="18"/>
      <c r="MQ105" s="18"/>
      <c r="MR105" s="18"/>
      <c r="MS105" s="18"/>
      <c r="MT105" s="18"/>
      <c r="MU105" s="18"/>
      <c r="MV105" s="18"/>
      <c r="MW105" s="18"/>
      <c r="MX105" s="18"/>
      <c r="MY105" s="18"/>
      <c r="MZ105" s="18"/>
      <c r="NA105" s="18"/>
      <c r="NB105" s="18"/>
      <c r="NC105" s="18"/>
      <c r="ND105" s="18"/>
      <c r="NE105" s="18"/>
      <c r="NF105" s="18"/>
      <c r="NG105" s="18"/>
      <c r="NH105" s="18"/>
      <c r="NI105" s="18"/>
      <c r="NJ105" s="18"/>
      <c r="NK105" s="18"/>
      <c r="NL105" s="18"/>
      <c r="NM105" s="18"/>
      <c r="NN105" s="18"/>
      <c r="NO105" s="18"/>
      <c r="NP105" s="18"/>
      <c r="NQ105" s="18"/>
      <c r="NR105" s="18"/>
      <c r="NS105" s="18"/>
      <c r="NT105" s="18"/>
      <c r="NU105" s="18"/>
      <c r="NV105" s="18"/>
      <c r="NW105" s="18"/>
      <c r="NX105" s="18"/>
      <c r="NY105" s="18"/>
      <c r="NZ105" s="18"/>
      <c r="OA105" s="18"/>
      <c r="OB105" s="18"/>
      <c r="OC105" s="18"/>
      <c r="OD105" s="18"/>
      <c r="OE105" s="18"/>
      <c r="OF105" s="18"/>
      <c r="OG105" s="18"/>
      <c r="OH105" s="18"/>
      <c r="OI105" s="18"/>
      <c r="OJ105" s="18"/>
      <c r="OK105" s="18"/>
      <c r="OL105" s="18"/>
      <c r="OM105" s="18"/>
      <c r="ON105" s="18"/>
      <c r="OO105" s="18"/>
      <c r="OP105" s="18"/>
      <c r="OQ105" s="18"/>
      <c r="OR105" s="18"/>
      <c r="OS105" s="18"/>
      <c r="OT105" s="18"/>
      <c r="OU105" s="18"/>
      <c r="OV105" s="18"/>
      <c r="OW105" s="18"/>
      <c r="OX105" s="18"/>
      <c r="OY105" s="18"/>
      <c r="OZ105" s="18"/>
      <c r="PA105" s="18"/>
      <c r="PB105" s="18"/>
      <c r="PC105" s="18"/>
      <c r="PD105" s="18"/>
      <c r="PE105" s="18"/>
      <c r="PF105" s="18"/>
      <c r="PG105" s="18"/>
      <c r="PH105" s="18"/>
      <c r="PI105" s="18"/>
      <c r="PJ105" s="18"/>
      <c r="PK105" s="18"/>
      <c r="PL105" s="18"/>
      <c r="PM105" s="18"/>
      <c r="PN105" s="18"/>
      <c r="PO105" s="18"/>
      <c r="PP105" s="18"/>
      <c r="PQ105" s="18"/>
      <c r="PR105" s="18"/>
      <c r="PS105" s="18"/>
      <c r="PT105" s="18"/>
      <c r="PU105" s="18"/>
      <c r="PV105" s="18"/>
      <c r="PW105" s="18"/>
      <c r="PX105" s="18"/>
      <c r="PY105" s="18"/>
      <c r="PZ105" s="18"/>
      <c r="QA105" s="18"/>
      <c r="QB105" s="18"/>
      <c r="QC105" s="18"/>
      <c r="QD105" s="18"/>
      <c r="QE105" s="18"/>
      <c r="QF105" s="18"/>
      <c r="QG105" s="18"/>
      <c r="QH105" s="18"/>
      <c r="QI105" s="18"/>
      <c r="QJ105" s="18"/>
      <c r="QK105" s="18"/>
      <c r="QL105" s="18"/>
      <c r="QM105" s="18"/>
      <c r="QN105" s="18"/>
      <c r="QO105" s="18"/>
      <c r="QP105" s="18"/>
      <c r="QQ105" s="18"/>
      <c r="QR105" s="18"/>
      <c r="QS105" s="18"/>
      <c r="QT105" s="18"/>
      <c r="QU105" s="18"/>
      <c r="QV105" s="18"/>
      <c r="QW105" s="18"/>
      <c r="QX105" s="18"/>
      <c r="QY105" s="18"/>
      <c r="QZ105" s="18"/>
      <c r="RA105" s="18"/>
      <c r="RB105" s="18"/>
      <c r="RC105" s="18"/>
      <c r="RD105" s="18"/>
      <c r="RE105" s="18"/>
      <c r="RF105" s="18"/>
      <c r="RG105" s="18"/>
      <c r="RH105" s="18"/>
      <c r="RI105" s="18"/>
      <c r="RJ105" s="18"/>
      <c r="RK105" s="18"/>
      <c r="RL105" s="18"/>
      <c r="RM105" s="18"/>
      <c r="RN105" s="18"/>
      <c r="RO105" s="18"/>
      <c r="RP105" s="18"/>
      <c r="RQ105" s="18"/>
      <c r="RR105" s="18"/>
      <c r="RS105" s="18"/>
      <c r="RT105" s="18"/>
      <c r="RU105" s="18"/>
      <c r="RV105" s="18"/>
      <c r="RW105" s="18"/>
      <c r="RX105" s="18"/>
      <c r="RY105" s="18"/>
      <c r="RZ105" s="18"/>
      <c r="SA105" s="18"/>
      <c r="SB105" s="18"/>
      <c r="SC105" s="18"/>
      <c r="SD105" s="18"/>
      <c r="SE105" s="18"/>
      <c r="SF105" s="18"/>
      <c r="SG105" s="18"/>
      <c r="SH105" s="18"/>
      <c r="SI105" s="18"/>
      <c r="SJ105" s="18"/>
      <c r="SK105" s="18"/>
      <c r="SL105" s="18"/>
      <c r="SM105" s="18"/>
      <c r="SN105" s="18"/>
      <c r="SO105" s="18"/>
      <c r="SP105" s="18"/>
      <c r="SQ105" s="18"/>
      <c r="SR105" s="18"/>
      <c r="SS105" s="18"/>
      <c r="ST105" s="18"/>
      <c r="SU105" s="18"/>
      <c r="SV105" s="18"/>
      <c r="SW105" s="18"/>
      <c r="SX105" s="18"/>
      <c r="SY105" s="18"/>
      <c r="SZ105" s="18"/>
      <c r="TA105" s="18"/>
      <c r="TB105" s="18"/>
      <c r="TC105" s="18"/>
      <c r="TD105" s="18"/>
      <c r="TE105" s="18"/>
      <c r="TF105" s="18"/>
      <c r="TG105" s="18"/>
      <c r="TH105" s="18"/>
      <c r="TI105" s="18"/>
      <c r="TJ105" s="18"/>
      <c r="TK105" s="18"/>
      <c r="TL105" s="18"/>
      <c r="TM105" s="18"/>
      <c r="TN105" s="18"/>
      <c r="TO105" s="18"/>
      <c r="TP105" s="18"/>
      <c r="TQ105" s="18"/>
      <c r="TR105" s="18"/>
      <c r="TS105" s="18"/>
      <c r="TT105" s="18"/>
      <c r="TU105" s="18"/>
      <c r="TV105" s="18"/>
      <c r="TW105" s="18"/>
      <c r="TX105" s="18"/>
      <c r="TY105" s="18"/>
      <c r="TZ105" s="18"/>
      <c r="UA105" s="18"/>
      <c r="UB105" s="18"/>
      <c r="UC105" s="18"/>
      <c r="UD105" s="18"/>
      <c r="UE105" s="18"/>
      <c r="UF105" s="18"/>
      <c r="UG105" s="18"/>
      <c r="UH105" s="18"/>
      <c r="UI105" s="18"/>
      <c r="UJ105" s="18"/>
      <c r="UK105" s="18"/>
      <c r="UL105" s="18"/>
      <c r="UM105" s="18"/>
      <c r="UN105" s="18"/>
      <c r="UO105" s="18"/>
      <c r="UP105" s="18"/>
      <c r="UQ105" s="18"/>
      <c r="UR105" s="18"/>
      <c r="US105" s="18"/>
      <c r="UT105" s="18"/>
      <c r="UU105" s="18"/>
      <c r="UV105" s="18"/>
      <c r="UW105" s="18"/>
      <c r="UX105" s="18"/>
      <c r="UY105" s="18"/>
      <c r="UZ105" s="18"/>
      <c r="VA105" s="18"/>
      <c r="VB105" s="18"/>
      <c r="VC105" s="18"/>
      <c r="VD105" s="18"/>
      <c r="VE105" s="18"/>
      <c r="VF105" s="18"/>
      <c r="VG105" s="18"/>
      <c r="VH105" s="18"/>
      <c r="VI105" s="18"/>
      <c r="VJ105" s="18"/>
      <c r="VK105" s="18"/>
      <c r="VL105" s="18"/>
      <c r="VM105" s="18"/>
      <c r="VN105" s="18"/>
      <c r="VO105" s="18"/>
      <c r="VP105" s="18"/>
      <c r="VQ105" s="18"/>
      <c r="VR105" s="18"/>
      <c r="VS105" s="18"/>
      <c r="VT105" s="18"/>
      <c r="VU105" s="18"/>
      <c r="VV105" s="18"/>
      <c r="VW105" s="18"/>
      <c r="VX105" s="18"/>
      <c r="VY105" s="18"/>
      <c r="VZ105" s="18"/>
      <c r="WA105" s="18"/>
      <c r="WB105" s="18"/>
      <c r="WC105" s="18"/>
      <c r="WD105" s="18"/>
      <c r="WE105" s="18"/>
      <c r="WF105" s="18"/>
      <c r="WG105" s="18"/>
      <c r="WH105" s="18"/>
      <c r="WI105" s="18"/>
      <c r="WJ105" s="18"/>
      <c r="WK105" s="18"/>
      <c r="WL105" s="18"/>
      <c r="WM105" s="18"/>
      <c r="WN105" s="18"/>
      <c r="WO105" s="18"/>
      <c r="WP105" s="18"/>
      <c r="WQ105" s="18"/>
      <c r="WR105" s="18"/>
      <c r="WS105" s="18"/>
      <c r="WT105" s="18"/>
      <c r="WU105" s="18"/>
      <c r="WV105" s="18"/>
      <c r="WW105" s="18"/>
      <c r="WX105" s="18"/>
      <c r="WY105" s="18"/>
      <c r="WZ105" s="18"/>
      <c r="XA105" s="18"/>
      <c r="XB105" s="18"/>
      <c r="XC105" s="18"/>
      <c r="XD105" s="18"/>
      <c r="XE105" s="18"/>
      <c r="XF105" s="18"/>
      <c r="XG105" s="18"/>
      <c r="XH105" s="18"/>
      <c r="XI105" s="18"/>
      <c r="XJ105" s="18"/>
      <c r="XK105" s="18"/>
      <c r="XL105" s="18"/>
      <c r="XM105" s="18"/>
      <c r="XN105" s="18"/>
      <c r="XO105" s="18"/>
      <c r="XP105" s="18"/>
      <c r="XQ105" s="18"/>
      <c r="XR105" s="18"/>
      <c r="XS105" s="18"/>
      <c r="XT105" s="18"/>
      <c r="XU105" s="18"/>
      <c r="XV105" s="18"/>
      <c r="XW105" s="18"/>
      <c r="XX105" s="18"/>
      <c r="XY105" s="18"/>
      <c r="XZ105" s="18"/>
      <c r="YA105" s="18"/>
      <c r="YB105" s="18"/>
      <c r="YC105" s="18"/>
      <c r="YD105" s="18"/>
      <c r="YE105" s="18"/>
      <c r="YF105" s="18"/>
      <c r="YG105" s="18"/>
      <c r="YH105" s="18"/>
      <c r="YI105" s="18"/>
      <c r="YJ105" s="18"/>
      <c r="YK105" s="18"/>
      <c r="YL105" s="18"/>
      <c r="YM105" s="18"/>
      <c r="YN105" s="18"/>
      <c r="YO105" s="18"/>
      <c r="YP105" s="18"/>
      <c r="YQ105" s="18"/>
      <c r="YR105" s="18"/>
      <c r="YS105" s="18"/>
      <c r="YT105" s="18"/>
      <c r="YU105" s="18"/>
      <c r="YV105" s="18"/>
      <c r="YW105" s="18"/>
      <c r="YX105" s="18"/>
      <c r="YY105" s="18"/>
      <c r="YZ105" s="18"/>
      <c r="ZA105" s="18"/>
      <c r="ZB105" s="18"/>
      <c r="ZC105" s="18"/>
      <c r="ZD105" s="18"/>
      <c r="ZE105" s="18"/>
      <c r="ZF105" s="18"/>
      <c r="ZG105" s="18"/>
      <c r="ZH105" s="18"/>
      <c r="ZI105" s="18"/>
      <c r="ZJ105" s="18"/>
      <c r="ZK105" s="18"/>
      <c r="ZL105" s="18"/>
      <c r="ZM105" s="18"/>
      <c r="ZN105" s="18"/>
      <c r="ZO105" s="18"/>
      <c r="ZP105" s="18"/>
      <c r="ZQ105" s="18"/>
      <c r="ZR105" s="18"/>
      <c r="ZS105" s="18"/>
      <c r="ZT105" s="18"/>
      <c r="ZU105" s="18"/>
      <c r="ZV105" s="18"/>
      <c r="ZW105" s="18"/>
      <c r="ZX105" s="18"/>
      <c r="ZY105" s="18"/>
      <c r="ZZ105" s="18"/>
      <c r="AAA105" s="18"/>
      <c r="AAB105" s="18"/>
      <c r="AAC105" s="18"/>
      <c r="AAD105" s="18"/>
      <c r="AAE105" s="18"/>
      <c r="AAF105" s="18"/>
      <c r="AAG105" s="18"/>
      <c r="AAH105" s="18"/>
      <c r="AAI105" s="18"/>
      <c r="AAJ105" s="18"/>
      <c r="AAK105" s="18"/>
      <c r="AAL105" s="18"/>
      <c r="AAM105" s="18"/>
      <c r="AAN105" s="18"/>
      <c r="AAO105" s="18"/>
      <c r="AAP105" s="18"/>
      <c r="AAQ105" s="18"/>
      <c r="AAR105" s="18"/>
      <c r="AAS105" s="18"/>
      <c r="AAT105" s="18"/>
      <c r="AAU105" s="18"/>
      <c r="AAV105" s="18"/>
      <c r="AAW105" s="18"/>
      <c r="AAX105" s="18"/>
      <c r="AAY105" s="18"/>
      <c r="AAZ105" s="18"/>
      <c r="ABA105" s="18"/>
      <c r="ABB105" s="18"/>
      <c r="ABC105" s="18"/>
      <c r="ABD105" s="18"/>
      <c r="ABE105" s="18"/>
      <c r="ABF105" s="18"/>
      <c r="ABG105" s="18"/>
      <c r="ABH105" s="18"/>
      <c r="ABI105" s="18"/>
      <c r="ABJ105" s="18"/>
      <c r="ABK105" s="18"/>
      <c r="ABL105" s="18"/>
      <c r="ABM105" s="18"/>
      <c r="ABN105" s="18"/>
      <c r="ABO105" s="18"/>
      <c r="ABP105" s="18"/>
      <c r="ABQ105" s="18"/>
      <c r="ABR105" s="18"/>
      <c r="ABS105" s="18"/>
      <c r="ABT105" s="18"/>
      <c r="ABU105" s="18"/>
      <c r="ABV105" s="18"/>
      <c r="ABW105" s="18"/>
      <c r="ABX105" s="18"/>
      <c r="ABY105" s="18"/>
      <c r="ABZ105" s="18"/>
      <c r="ACA105" s="18"/>
      <c r="ACB105" s="18"/>
      <c r="ACC105" s="18"/>
      <c r="ACD105" s="18"/>
      <c r="ACE105" s="18"/>
      <c r="ACF105" s="18"/>
      <c r="ACG105" s="18"/>
      <c r="ACH105" s="18"/>
      <c r="ACI105" s="18"/>
      <c r="ACJ105" s="18"/>
      <c r="ACK105" s="18"/>
      <c r="ACL105" s="18"/>
      <c r="ACM105" s="18"/>
      <c r="ACN105" s="18"/>
      <c r="ACO105" s="18"/>
      <c r="ACP105" s="18"/>
      <c r="ACQ105" s="18"/>
      <c r="ACR105" s="18"/>
      <c r="ACS105" s="18"/>
      <c r="ACT105" s="18"/>
      <c r="ACU105" s="18"/>
      <c r="ACV105" s="18"/>
      <c r="ACW105" s="18"/>
      <c r="ACX105" s="18"/>
      <c r="ACY105" s="18"/>
      <c r="ACZ105" s="18"/>
      <c r="ADA105" s="18"/>
      <c r="ADB105" s="18"/>
      <c r="ADC105" s="18"/>
      <c r="ADD105" s="18"/>
      <c r="ADE105" s="18"/>
      <c r="ADF105" s="18"/>
      <c r="ADG105" s="18"/>
      <c r="ADH105" s="18"/>
      <c r="ADI105" s="18"/>
      <c r="ADJ105" s="18"/>
      <c r="ADK105" s="18"/>
      <c r="ADL105" s="18"/>
      <c r="ADM105" s="18"/>
      <c r="ADN105" s="18"/>
      <c r="ADO105" s="18"/>
      <c r="ADP105" s="18"/>
      <c r="ADQ105" s="18"/>
      <c r="ADR105" s="18"/>
      <c r="ADS105" s="18"/>
      <c r="ADT105" s="18"/>
      <c r="ADU105" s="18"/>
      <c r="ADV105" s="18"/>
      <c r="ADW105" s="18"/>
      <c r="ADX105" s="18"/>
      <c r="ADY105" s="18"/>
      <c r="ADZ105" s="18"/>
      <c r="AEA105" s="18"/>
      <c r="AEB105" s="18"/>
      <c r="AEC105" s="18"/>
      <c r="AED105" s="18"/>
      <c r="AEE105" s="18"/>
      <c r="AEF105" s="18"/>
      <c r="AEG105" s="18"/>
      <c r="AEH105" s="18"/>
      <c r="AEI105" s="18"/>
      <c r="AEJ105" s="18"/>
      <c r="AEK105" s="18"/>
      <c r="AEL105" s="18"/>
      <c r="AEM105" s="18"/>
      <c r="AEN105" s="18"/>
      <c r="AEO105" s="18"/>
      <c r="AEP105" s="18"/>
      <c r="AEQ105" s="18"/>
      <c r="AER105" s="18"/>
      <c r="AES105" s="18"/>
      <c r="AET105" s="18"/>
      <c r="AEU105" s="18"/>
      <c r="AEV105" s="18"/>
      <c r="AEW105" s="18"/>
      <c r="AEX105" s="18"/>
      <c r="AEY105" s="18"/>
      <c r="AEZ105" s="18"/>
      <c r="AFA105" s="18"/>
      <c r="AFB105" s="18"/>
      <c r="AFC105" s="18"/>
      <c r="AFD105" s="18"/>
      <c r="AFE105" s="18"/>
      <c r="AFF105" s="18"/>
      <c r="AFG105" s="18"/>
      <c r="AFH105" s="18"/>
      <c r="AFI105" s="18"/>
      <c r="AFJ105" s="18"/>
      <c r="AFK105" s="18"/>
      <c r="AFL105" s="18"/>
      <c r="AFM105" s="18"/>
      <c r="AFN105" s="18"/>
      <c r="AFO105" s="18"/>
      <c r="AFP105" s="18"/>
      <c r="AFQ105" s="18"/>
      <c r="AFR105" s="18"/>
      <c r="AFS105" s="18"/>
      <c r="AFT105" s="18"/>
      <c r="AFU105" s="18"/>
      <c r="AFV105" s="18"/>
      <c r="AFW105" s="18"/>
      <c r="AFX105" s="18"/>
      <c r="AFY105" s="18"/>
      <c r="AFZ105" s="18"/>
      <c r="AGA105" s="18"/>
      <c r="AGB105" s="18"/>
      <c r="AGC105" s="18"/>
      <c r="AGD105" s="18"/>
      <c r="AGE105" s="18"/>
      <c r="AGF105" s="18"/>
      <c r="AGG105" s="18"/>
      <c r="AGH105" s="18"/>
      <c r="AGI105" s="18"/>
      <c r="AGJ105" s="18"/>
      <c r="AGK105" s="18"/>
      <c r="AGL105" s="18"/>
      <c r="AGM105" s="18"/>
      <c r="AGN105" s="18"/>
      <c r="AGO105" s="18"/>
      <c r="AGP105" s="18"/>
      <c r="AGQ105" s="18"/>
      <c r="AGR105" s="18"/>
      <c r="AGS105" s="18"/>
      <c r="AGT105" s="18"/>
      <c r="AGU105" s="18"/>
      <c r="AGV105" s="18"/>
      <c r="AGW105" s="18"/>
      <c r="AGX105" s="18"/>
      <c r="AGY105" s="18"/>
      <c r="AGZ105" s="18"/>
      <c r="AHA105" s="18"/>
      <c r="AHB105" s="18"/>
      <c r="AHC105" s="18"/>
      <c r="AHD105" s="18"/>
      <c r="AHE105" s="18"/>
      <c r="AHF105" s="18"/>
      <c r="AHG105" s="18"/>
      <c r="AHH105" s="18"/>
      <c r="AHI105" s="18"/>
      <c r="AHJ105" s="18"/>
      <c r="AHK105" s="18"/>
      <c r="AHL105" s="18"/>
      <c r="AHM105" s="18"/>
      <c r="AHN105" s="18"/>
      <c r="AHO105" s="18"/>
      <c r="AHP105" s="18"/>
      <c r="AHQ105" s="18"/>
      <c r="AHR105" s="18"/>
      <c r="AHS105" s="18"/>
      <c r="AHT105" s="18"/>
      <c r="AHU105" s="18"/>
      <c r="AHV105" s="18"/>
      <c r="AHW105" s="18"/>
      <c r="AHX105" s="18"/>
      <c r="AHY105" s="18"/>
      <c r="AHZ105" s="18"/>
      <c r="AIA105" s="18"/>
      <c r="AIB105" s="18"/>
      <c r="AIC105" s="18"/>
      <c r="AID105" s="18"/>
      <c r="AIE105" s="18"/>
      <c r="AIF105" s="18"/>
      <c r="AIG105" s="18"/>
      <c r="AIH105" s="18"/>
      <c r="AII105" s="18"/>
      <c r="AIJ105" s="18"/>
      <c r="AIK105" s="18"/>
      <c r="AIL105" s="18"/>
      <c r="AIM105" s="18"/>
      <c r="AIN105" s="18"/>
      <c r="AIO105" s="18"/>
      <c r="AIP105" s="18"/>
      <c r="AIQ105" s="18"/>
      <c r="AIR105" s="18"/>
      <c r="AIS105" s="18"/>
      <c r="AIT105" s="18"/>
      <c r="AIU105" s="18"/>
      <c r="AIV105" s="18"/>
      <c r="AIW105" s="18"/>
      <c r="AIX105" s="18"/>
      <c r="AIY105" s="18"/>
      <c r="AIZ105" s="18"/>
      <c r="AJA105" s="18"/>
      <c r="AJB105" s="18"/>
      <c r="AJC105" s="18"/>
      <c r="AJD105" s="18"/>
      <c r="AJE105" s="18"/>
      <c r="AJF105" s="18"/>
      <c r="AJG105" s="18"/>
      <c r="AJH105" s="18"/>
      <c r="AJI105" s="18"/>
      <c r="AJJ105" s="18"/>
      <c r="AJK105" s="18"/>
      <c r="AJL105" s="18"/>
      <c r="AJM105" s="18"/>
      <c r="AJN105" s="18"/>
      <c r="AJO105" s="18"/>
      <c r="AJP105" s="18"/>
      <c r="AJQ105" s="18"/>
      <c r="AJR105" s="18"/>
      <c r="AJS105" s="18"/>
      <c r="AJT105" s="18"/>
      <c r="AJU105" s="18"/>
      <c r="AJV105" s="18"/>
      <c r="AJW105" s="18"/>
      <c r="AJX105" s="18"/>
      <c r="AJY105" s="18"/>
      <c r="AJZ105" s="18"/>
      <c r="AKA105" s="18"/>
      <c r="AKB105" s="18"/>
      <c r="AKC105" s="18"/>
      <c r="AKD105" s="18"/>
      <c r="AKE105" s="18"/>
      <c r="AKF105" s="18"/>
      <c r="AKG105" s="18"/>
      <c r="AKH105" s="18"/>
      <c r="AKI105" s="18"/>
      <c r="AKJ105" s="18"/>
      <c r="AKK105" s="18"/>
      <c r="AKL105" s="18"/>
      <c r="AKM105" s="18"/>
      <c r="AKN105" s="18"/>
      <c r="AKO105" s="18"/>
      <c r="AKP105" s="18"/>
      <c r="AKQ105" s="18"/>
      <c r="AKR105" s="18"/>
      <c r="AKS105" s="18"/>
      <c r="AKT105" s="18"/>
      <c r="AKU105" s="18"/>
      <c r="AKV105" s="18"/>
      <c r="AKW105" s="18"/>
      <c r="AKX105" s="18"/>
      <c r="AKY105" s="18"/>
      <c r="AKZ105" s="18"/>
      <c r="ALA105" s="18"/>
      <c r="ALB105" s="18"/>
      <c r="ALC105" s="18"/>
      <c r="ALD105" s="18"/>
      <c r="ALE105" s="18"/>
      <c r="ALF105" s="18"/>
      <c r="ALG105" s="18"/>
      <c r="ALH105" s="18"/>
      <c r="ALI105" s="18"/>
      <c r="ALJ105" s="18"/>
      <c r="ALK105" s="18"/>
      <c r="ALL105" s="18"/>
      <c r="ALM105" s="18"/>
      <c r="ALN105" s="18"/>
      <c r="ALO105" s="18"/>
      <c r="ALP105" s="18"/>
      <c r="ALQ105" s="18"/>
      <c r="ALR105" s="18"/>
      <c r="ALS105" s="18"/>
      <c r="ALT105" s="18"/>
      <c r="ALU105" s="18"/>
      <c r="ALV105" s="18"/>
      <c r="ALW105" s="18"/>
      <c r="ALX105" s="18"/>
      <c r="ALY105" s="18"/>
      <c r="ALZ105" s="18"/>
      <c r="AMA105" s="18"/>
      <c r="AMB105" s="18"/>
      <c r="AMC105" s="18"/>
      <c r="AMD105" s="18"/>
      <c r="AME105" s="18"/>
      <c r="AMF105" s="18"/>
      <c r="AMG105" s="18"/>
      <c r="AMH105" s="18"/>
    </row>
    <row r="106" spans="1:1022" s="23" customFormat="1" x14ac:dyDescent="0.3">
      <c r="A106" s="33">
        <v>202</v>
      </c>
      <c r="B106" s="19"/>
      <c r="C106" s="19"/>
      <c r="D106" s="34"/>
      <c r="E106" s="34"/>
      <c r="F106" s="19"/>
      <c r="G106" s="19"/>
      <c r="H106" s="18"/>
      <c r="I106" s="31"/>
      <c r="J106" s="31"/>
      <c r="K106" s="31"/>
      <c r="L106" s="31"/>
      <c r="M106" s="32"/>
      <c r="N106" s="32"/>
      <c r="O106" s="18"/>
      <c r="P106" s="36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  <c r="BI106" s="18"/>
      <c r="BJ106" s="18"/>
      <c r="BK106" s="18"/>
      <c r="BL106" s="18"/>
      <c r="BM106" s="18"/>
      <c r="BN106" s="18"/>
      <c r="BO106" s="18"/>
      <c r="BP106" s="18"/>
      <c r="BQ106" s="18"/>
      <c r="BR106" s="18"/>
      <c r="BS106" s="18"/>
      <c r="BT106" s="18"/>
      <c r="BU106" s="18"/>
      <c r="BV106" s="18"/>
      <c r="BW106" s="18"/>
      <c r="BX106" s="18"/>
      <c r="BY106" s="18"/>
      <c r="BZ106" s="18"/>
      <c r="CA106" s="18"/>
      <c r="CB106" s="18"/>
      <c r="CC106" s="18"/>
      <c r="CD106" s="18"/>
      <c r="CE106" s="18"/>
      <c r="CF106" s="18"/>
      <c r="CG106" s="18"/>
      <c r="CH106" s="18"/>
      <c r="CI106" s="18"/>
      <c r="CJ106" s="18"/>
      <c r="CK106" s="18"/>
      <c r="CL106" s="18"/>
      <c r="CM106" s="18"/>
      <c r="CN106" s="18"/>
      <c r="CO106" s="18"/>
      <c r="CP106" s="18"/>
      <c r="CQ106" s="18"/>
      <c r="CR106" s="18"/>
      <c r="CS106" s="18"/>
      <c r="CT106" s="18"/>
      <c r="CU106" s="18"/>
      <c r="CV106" s="18"/>
      <c r="CW106" s="18"/>
      <c r="CX106" s="18"/>
      <c r="CY106" s="18"/>
      <c r="CZ106" s="18"/>
      <c r="DA106" s="18"/>
      <c r="DB106" s="18"/>
      <c r="DC106" s="18"/>
      <c r="DD106" s="18"/>
      <c r="DE106" s="18"/>
      <c r="DF106" s="18"/>
      <c r="DG106" s="18"/>
      <c r="DH106" s="18"/>
      <c r="DI106" s="18"/>
      <c r="DJ106" s="18"/>
      <c r="DK106" s="18"/>
      <c r="DL106" s="18"/>
      <c r="DM106" s="18"/>
      <c r="DN106" s="18"/>
      <c r="DO106" s="18"/>
      <c r="DP106" s="18"/>
      <c r="DQ106" s="18"/>
      <c r="DR106" s="18"/>
      <c r="DS106" s="18"/>
      <c r="DT106" s="18"/>
      <c r="DU106" s="18"/>
      <c r="DV106" s="18"/>
      <c r="DW106" s="18"/>
      <c r="DX106" s="18"/>
      <c r="DY106" s="18"/>
      <c r="DZ106" s="18"/>
      <c r="EA106" s="18"/>
      <c r="EB106" s="18"/>
      <c r="EC106" s="18"/>
      <c r="ED106" s="18"/>
      <c r="EE106" s="18"/>
      <c r="EF106" s="18"/>
      <c r="EG106" s="18"/>
      <c r="EH106" s="18"/>
      <c r="EI106" s="18"/>
      <c r="EJ106" s="18"/>
      <c r="EK106" s="18"/>
      <c r="EL106" s="18"/>
      <c r="EM106" s="18"/>
      <c r="EN106" s="18"/>
      <c r="EO106" s="18"/>
      <c r="EP106" s="18"/>
      <c r="EQ106" s="18"/>
      <c r="ER106" s="18"/>
      <c r="ES106" s="18"/>
      <c r="ET106" s="18"/>
      <c r="EU106" s="18"/>
      <c r="EV106" s="18"/>
      <c r="EW106" s="18"/>
      <c r="EX106" s="18"/>
      <c r="EY106" s="18"/>
      <c r="EZ106" s="18"/>
      <c r="FA106" s="18"/>
      <c r="FB106" s="18"/>
      <c r="FC106" s="18"/>
      <c r="FD106" s="18"/>
      <c r="FE106" s="18"/>
      <c r="FF106" s="18"/>
      <c r="FG106" s="18"/>
      <c r="FH106" s="18"/>
      <c r="FI106" s="18"/>
      <c r="FJ106" s="18"/>
      <c r="FK106" s="18"/>
      <c r="FL106" s="18"/>
      <c r="FM106" s="18"/>
      <c r="FN106" s="18"/>
      <c r="FO106" s="18"/>
      <c r="FP106" s="18"/>
      <c r="FQ106" s="18"/>
      <c r="FR106" s="18"/>
      <c r="FS106" s="18"/>
      <c r="FT106" s="18"/>
      <c r="FU106" s="18"/>
      <c r="FV106" s="18"/>
      <c r="FW106" s="18"/>
      <c r="FX106" s="18"/>
      <c r="FY106" s="18"/>
      <c r="FZ106" s="18"/>
      <c r="GA106" s="18"/>
      <c r="GB106" s="18"/>
      <c r="GC106" s="18"/>
      <c r="GD106" s="18"/>
      <c r="GE106" s="18"/>
      <c r="GF106" s="18"/>
      <c r="GG106" s="18"/>
      <c r="GH106" s="18"/>
      <c r="GI106" s="18"/>
      <c r="GJ106" s="18"/>
      <c r="GK106" s="18"/>
      <c r="GL106" s="18"/>
      <c r="GM106" s="18"/>
      <c r="GN106" s="18"/>
      <c r="GO106" s="18"/>
      <c r="GP106" s="18"/>
      <c r="GQ106" s="18"/>
      <c r="GR106" s="18"/>
      <c r="GS106" s="18"/>
      <c r="GT106" s="18"/>
      <c r="GU106" s="18"/>
      <c r="GV106" s="18"/>
      <c r="GW106" s="18"/>
      <c r="GX106" s="18"/>
      <c r="GY106" s="18"/>
      <c r="GZ106" s="18"/>
      <c r="HA106" s="18"/>
      <c r="HB106" s="18"/>
      <c r="HC106" s="18"/>
      <c r="HD106" s="18"/>
      <c r="HE106" s="18"/>
      <c r="HF106" s="18"/>
      <c r="HG106" s="18"/>
      <c r="HH106" s="18"/>
      <c r="HI106" s="18"/>
      <c r="HJ106" s="18"/>
      <c r="HK106" s="18"/>
      <c r="HL106" s="18"/>
      <c r="HM106" s="18"/>
      <c r="HN106" s="18"/>
      <c r="HO106" s="18"/>
      <c r="HP106" s="18"/>
      <c r="HQ106" s="18"/>
      <c r="HR106" s="18"/>
      <c r="HS106" s="18"/>
      <c r="HT106" s="18"/>
      <c r="HU106" s="18"/>
      <c r="HV106" s="18"/>
      <c r="HW106" s="18"/>
      <c r="HX106" s="18"/>
      <c r="HY106" s="18"/>
      <c r="HZ106" s="18"/>
      <c r="IA106" s="18"/>
      <c r="IB106" s="18"/>
      <c r="IC106" s="18"/>
      <c r="ID106" s="18"/>
      <c r="IE106" s="18"/>
      <c r="IF106" s="18"/>
      <c r="IG106" s="18"/>
      <c r="IH106" s="18"/>
      <c r="II106" s="18"/>
      <c r="IJ106" s="18"/>
      <c r="IK106" s="18"/>
      <c r="IL106" s="18"/>
      <c r="IM106" s="18"/>
      <c r="IN106" s="18"/>
      <c r="IO106" s="18"/>
      <c r="IP106" s="18"/>
      <c r="IQ106" s="18"/>
      <c r="IR106" s="18"/>
      <c r="IS106" s="18"/>
      <c r="IT106" s="18"/>
      <c r="IU106" s="18"/>
      <c r="IV106" s="18"/>
      <c r="IW106" s="18"/>
      <c r="IX106" s="18"/>
      <c r="IY106" s="18"/>
      <c r="IZ106" s="18"/>
      <c r="JA106" s="18"/>
      <c r="JB106" s="18"/>
      <c r="JC106" s="18"/>
      <c r="JD106" s="18"/>
      <c r="JE106" s="18"/>
      <c r="JF106" s="18"/>
      <c r="JG106" s="18"/>
      <c r="JH106" s="18"/>
      <c r="JI106" s="18"/>
      <c r="JJ106" s="18"/>
      <c r="JK106" s="18"/>
      <c r="JL106" s="18"/>
      <c r="JM106" s="18"/>
      <c r="JN106" s="18"/>
      <c r="JO106" s="18"/>
      <c r="JP106" s="18"/>
      <c r="JQ106" s="18"/>
      <c r="JR106" s="18"/>
      <c r="JS106" s="18"/>
      <c r="JT106" s="18"/>
      <c r="JU106" s="18"/>
      <c r="JV106" s="18"/>
      <c r="JW106" s="18"/>
      <c r="JX106" s="18"/>
      <c r="JY106" s="18"/>
      <c r="JZ106" s="18"/>
      <c r="KA106" s="18"/>
      <c r="KB106" s="18"/>
      <c r="KC106" s="18"/>
      <c r="KD106" s="18"/>
      <c r="KE106" s="18"/>
      <c r="KF106" s="18"/>
      <c r="KG106" s="18"/>
      <c r="KH106" s="18"/>
      <c r="KI106" s="18"/>
      <c r="KJ106" s="18"/>
      <c r="KK106" s="18"/>
      <c r="KL106" s="18"/>
      <c r="KM106" s="18"/>
      <c r="KN106" s="18"/>
      <c r="KO106" s="18"/>
      <c r="KP106" s="18"/>
      <c r="KQ106" s="18"/>
      <c r="KR106" s="18"/>
      <c r="KS106" s="18"/>
      <c r="KT106" s="18"/>
      <c r="KU106" s="18"/>
      <c r="KV106" s="18"/>
      <c r="KW106" s="18"/>
      <c r="KX106" s="18"/>
      <c r="KY106" s="18"/>
      <c r="KZ106" s="18"/>
      <c r="LA106" s="18"/>
      <c r="LB106" s="18"/>
      <c r="LC106" s="18"/>
      <c r="LD106" s="18"/>
      <c r="LE106" s="18"/>
      <c r="LF106" s="18"/>
      <c r="LG106" s="18"/>
      <c r="LH106" s="18"/>
      <c r="LI106" s="18"/>
      <c r="LJ106" s="18"/>
      <c r="LK106" s="18"/>
      <c r="LL106" s="18"/>
      <c r="LM106" s="18"/>
      <c r="LN106" s="18"/>
      <c r="LO106" s="18"/>
      <c r="LP106" s="18"/>
      <c r="LQ106" s="18"/>
      <c r="LR106" s="18"/>
      <c r="LS106" s="18"/>
      <c r="LT106" s="18"/>
      <c r="LU106" s="18"/>
      <c r="LV106" s="18"/>
      <c r="LW106" s="18"/>
      <c r="LX106" s="18"/>
      <c r="LY106" s="18"/>
      <c r="LZ106" s="18"/>
      <c r="MA106" s="18"/>
      <c r="MB106" s="18"/>
      <c r="MC106" s="18"/>
      <c r="MD106" s="18"/>
      <c r="ME106" s="18"/>
      <c r="MF106" s="18"/>
      <c r="MG106" s="18"/>
      <c r="MH106" s="18"/>
      <c r="MI106" s="18"/>
      <c r="MJ106" s="18"/>
      <c r="MK106" s="18"/>
      <c r="ML106" s="18"/>
      <c r="MM106" s="18"/>
      <c r="MN106" s="18"/>
      <c r="MO106" s="18"/>
      <c r="MP106" s="18"/>
      <c r="MQ106" s="18"/>
      <c r="MR106" s="18"/>
      <c r="MS106" s="18"/>
      <c r="MT106" s="18"/>
      <c r="MU106" s="18"/>
      <c r="MV106" s="18"/>
      <c r="MW106" s="18"/>
      <c r="MX106" s="18"/>
      <c r="MY106" s="18"/>
      <c r="MZ106" s="18"/>
      <c r="NA106" s="18"/>
      <c r="NB106" s="18"/>
      <c r="NC106" s="18"/>
      <c r="ND106" s="18"/>
      <c r="NE106" s="18"/>
      <c r="NF106" s="18"/>
      <c r="NG106" s="18"/>
      <c r="NH106" s="18"/>
      <c r="NI106" s="18"/>
      <c r="NJ106" s="18"/>
      <c r="NK106" s="18"/>
      <c r="NL106" s="18"/>
      <c r="NM106" s="18"/>
      <c r="NN106" s="18"/>
      <c r="NO106" s="18"/>
      <c r="NP106" s="18"/>
      <c r="NQ106" s="18"/>
      <c r="NR106" s="18"/>
      <c r="NS106" s="18"/>
      <c r="NT106" s="18"/>
      <c r="NU106" s="18"/>
      <c r="NV106" s="18"/>
      <c r="NW106" s="18"/>
      <c r="NX106" s="18"/>
      <c r="NY106" s="18"/>
      <c r="NZ106" s="18"/>
      <c r="OA106" s="18"/>
      <c r="OB106" s="18"/>
      <c r="OC106" s="18"/>
      <c r="OD106" s="18"/>
      <c r="OE106" s="18"/>
      <c r="OF106" s="18"/>
      <c r="OG106" s="18"/>
      <c r="OH106" s="18"/>
      <c r="OI106" s="18"/>
      <c r="OJ106" s="18"/>
      <c r="OK106" s="18"/>
      <c r="OL106" s="18"/>
      <c r="OM106" s="18"/>
      <c r="ON106" s="18"/>
      <c r="OO106" s="18"/>
      <c r="OP106" s="18"/>
      <c r="OQ106" s="18"/>
      <c r="OR106" s="18"/>
      <c r="OS106" s="18"/>
      <c r="OT106" s="18"/>
      <c r="OU106" s="18"/>
      <c r="OV106" s="18"/>
      <c r="OW106" s="18"/>
      <c r="OX106" s="18"/>
      <c r="OY106" s="18"/>
      <c r="OZ106" s="18"/>
      <c r="PA106" s="18"/>
      <c r="PB106" s="18"/>
      <c r="PC106" s="18"/>
      <c r="PD106" s="18"/>
      <c r="PE106" s="18"/>
      <c r="PF106" s="18"/>
      <c r="PG106" s="18"/>
      <c r="PH106" s="18"/>
      <c r="PI106" s="18"/>
      <c r="PJ106" s="18"/>
      <c r="PK106" s="18"/>
      <c r="PL106" s="18"/>
      <c r="PM106" s="18"/>
      <c r="PN106" s="18"/>
      <c r="PO106" s="18"/>
      <c r="PP106" s="18"/>
      <c r="PQ106" s="18"/>
      <c r="PR106" s="18"/>
      <c r="PS106" s="18"/>
      <c r="PT106" s="18"/>
      <c r="PU106" s="18"/>
      <c r="PV106" s="18"/>
      <c r="PW106" s="18"/>
      <c r="PX106" s="18"/>
      <c r="PY106" s="18"/>
      <c r="PZ106" s="18"/>
      <c r="QA106" s="18"/>
      <c r="QB106" s="18"/>
      <c r="QC106" s="18"/>
      <c r="QD106" s="18"/>
      <c r="QE106" s="18"/>
      <c r="QF106" s="18"/>
      <c r="QG106" s="18"/>
      <c r="QH106" s="18"/>
      <c r="QI106" s="18"/>
      <c r="QJ106" s="18"/>
      <c r="QK106" s="18"/>
      <c r="QL106" s="18"/>
      <c r="QM106" s="18"/>
      <c r="QN106" s="18"/>
      <c r="QO106" s="18"/>
      <c r="QP106" s="18"/>
      <c r="QQ106" s="18"/>
      <c r="QR106" s="18"/>
      <c r="QS106" s="18"/>
      <c r="QT106" s="18"/>
      <c r="QU106" s="18"/>
      <c r="QV106" s="18"/>
      <c r="QW106" s="18"/>
      <c r="QX106" s="18"/>
      <c r="QY106" s="18"/>
      <c r="QZ106" s="18"/>
      <c r="RA106" s="18"/>
      <c r="RB106" s="18"/>
      <c r="RC106" s="18"/>
      <c r="RD106" s="18"/>
      <c r="RE106" s="18"/>
      <c r="RF106" s="18"/>
      <c r="RG106" s="18"/>
      <c r="RH106" s="18"/>
      <c r="RI106" s="18"/>
      <c r="RJ106" s="18"/>
      <c r="RK106" s="18"/>
      <c r="RL106" s="18"/>
      <c r="RM106" s="18"/>
      <c r="RN106" s="18"/>
      <c r="RO106" s="18"/>
      <c r="RP106" s="18"/>
      <c r="RQ106" s="18"/>
      <c r="RR106" s="18"/>
      <c r="RS106" s="18"/>
      <c r="RT106" s="18"/>
      <c r="RU106" s="18"/>
      <c r="RV106" s="18"/>
      <c r="RW106" s="18"/>
      <c r="RX106" s="18"/>
      <c r="RY106" s="18"/>
      <c r="RZ106" s="18"/>
      <c r="SA106" s="18"/>
      <c r="SB106" s="18"/>
      <c r="SC106" s="18"/>
      <c r="SD106" s="18"/>
      <c r="SE106" s="18"/>
      <c r="SF106" s="18"/>
      <c r="SG106" s="18"/>
      <c r="SH106" s="18"/>
      <c r="SI106" s="18"/>
      <c r="SJ106" s="18"/>
      <c r="SK106" s="18"/>
      <c r="SL106" s="18"/>
      <c r="SM106" s="18"/>
      <c r="SN106" s="18"/>
      <c r="SO106" s="18"/>
      <c r="SP106" s="18"/>
      <c r="SQ106" s="18"/>
      <c r="SR106" s="18"/>
      <c r="SS106" s="18"/>
      <c r="ST106" s="18"/>
      <c r="SU106" s="18"/>
      <c r="SV106" s="18"/>
      <c r="SW106" s="18"/>
      <c r="SX106" s="18"/>
      <c r="SY106" s="18"/>
      <c r="SZ106" s="18"/>
      <c r="TA106" s="18"/>
      <c r="TB106" s="18"/>
      <c r="TC106" s="18"/>
      <c r="TD106" s="18"/>
      <c r="TE106" s="18"/>
      <c r="TF106" s="18"/>
      <c r="TG106" s="18"/>
      <c r="TH106" s="18"/>
      <c r="TI106" s="18"/>
      <c r="TJ106" s="18"/>
      <c r="TK106" s="18"/>
      <c r="TL106" s="18"/>
      <c r="TM106" s="18"/>
      <c r="TN106" s="18"/>
      <c r="TO106" s="18"/>
      <c r="TP106" s="18"/>
      <c r="TQ106" s="18"/>
      <c r="TR106" s="18"/>
      <c r="TS106" s="18"/>
      <c r="TT106" s="18"/>
      <c r="TU106" s="18"/>
      <c r="TV106" s="18"/>
      <c r="TW106" s="18"/>
      <c r="TX106" s="18"/>
      <c r="TY106" s="18"/>
      <c r="TZ106" s="18"/>
      <c r="UA106" s="18"/>
      <c r="UB106" s="18"/>
      <c r="UC106" s="18"/>
      <c r="UD106" s="18"/>
      <c r="UE106" s="18"/>
      <c r="UF106" s="18"/>
      <c r="UG106" s="18"/>
      <c r="UH106" s="18"/>
      <c r="UI106" s="18"/>
      <c r="UJ106" s="18"/>
      <c r="UK106" s="18"/>
      <c r="UL106" s="18"/>
      <c r="UM106" s="18"/>
      <c r="UN106" s="18"/>
      <c r="UO106" s="18"/>
      <c r="UP106" s="18"/>
      <c r="UQ106" s="18"/>
      <c r="UR106" s="18"/>
      <c r="US106" s="18"/>
      <c r="UT106" s="18"/>
      <c r="UU106" s="18"/>
      <c r="UV106" s="18"/>
      <c r="UW106" s="18"/>
      <c r="UX106" s="18"/>
      <c r="UY106" s="18"/>
      <c r="UZ106" s="18"/>
      <c r="VA106" s="18"/>
      <c r="VB106" s="18"/>
      <c r="VC106" s="18"/>
      <c r="VD106" s="18"/>
      <c r="VE106" s="18"/>
      <c r="VF106" s="18"/>
      <c r="VG106" s="18"/>
      <c r="VH106" s="18"/>
      <c r="VI106" s="18"/>
      <c r="VJ106" s="18"/>
      <c r="VK106" s="18"/>
      <c r="VL106" s="18"/>
      <c r="VM106" s="18"/>
      <c r="VN106" s="18"/>
      <c r="VO106" s="18"/>
      <c r="VP106" s="18"/>
      <c r="VQ106" s="18"/>
      <c r="VR106" s="18"/>
      <c r="VS106" s="18"/>
      <c r="VT106" s="18"/>
      <c r="VU106" s="18"/>
      <c r="VV106" s="18"/>
      <c r="VW106" s="18"/>
      <c r="VX106" s="18"/>
      <c r="VY106" s="18"/>
      <c r="VZ106" s="18"/>
      <c r="WA106" s="18"/>
      <c r="WB106" s="18"/>
      <c r="WC106" s="18"/>
      <c r="WD106" s="18"/>
      <c r="WE106" s="18"/>
      <c r="WF106" s="18"/>
      <c r="WG106" s="18"/>
      <c r="WH106" s="18"/>
      <c r="WI106" s="18"/>
      <c r="WJ106" s="18"/>
      <c r="WK106" s="18"/>
      <c r="WL106" s="18"/>
      <c r="WM106" s="18"/>
      <c r="WN106" s="18"/>
      <c r="WO106" s="18"/>
      <c r="WP106" s="18"/>
      <c r="WQ106" s="18"/>
      <c r="WR106" s="18"/>
      <c r="WS106" s="18"/>
      <c r="WT106" s="18"/>
      <c r="WU106" s="18"/>
      <c r="WV106" s="18"/>
      <c r="WW106" s="18"/>
      <c r="WX106" s="18"/>
      <c r="WY106" s="18"/>
      <c r="WZ106" s="18"/>
      <c r="XA106" s="18"/>
      <c r="XB106" s="18"/>
      <c r="XC106" s="18"/>
      <c r="XD106" s="18"/>
      <c r="XE106" s="18"/>
      <c r="XF106" s="18"/>
      <c r="XG106" s="18"/>
      <c r="XH106" s="18"/>
      <c r="XI106" s="18"/>
      <c r="XJ106" s="18"/>
      <c r="XK106" s="18"/>
      <c r="XL106" s="18"/>
      <c r="XM106" s="18"/>
      <c r="XN106" s="18"/>
      <c r="XO106" s="18"/>
      <c r="XP106" s="18"/>
      <c r="XQ106" s="18"/>
      <c r="XR106" s="18"/>
      <c r="XS106" s="18"/>
      <c r="XT106" s="18"/>
      <c r="XU106" s="18"/>
      <c r="XV106" s="18"/>
      <c r="XW106" s="18"/>
      <c r="XX106" s="18"/>
      <c r="XY106" s="18"/>
      <c r="XZ106" s="18"/>
      <c r="YA106" s="18"/>
      <c r="YB106" s="18"/>
      <c r="YC106" s="18"/>
      <c r="YD106" s="18"/>
      <c r="YE106" s="18"/>
      <c r="YF106" s="18"/>
      <c r="YG106" s="18"/>
      <c r="YH106" s="18"/>
      <c r="YI106" s="18"/>
      <c r="YJ106" s="18"/>
      <c r="YK106" s="18"/>
      <c r="YL106" s="18"/>
      <c r="YM106" s="18"/>
      <c r="YN106" s="18"/>
      <c r="YO106" s="18"/>
      <c r="YP106" s="18"/>
      <c r="YQ106" s="18"/>
      <c r="YR106" s="18"/>
      <c r="YS106" s="18"/>
      <c r="YT106" s="18"/>
      <c r="YU106" s="18"/>
      <c r="YV106" s="18"/>
      <c r="YW106" s="18"/>
      <c r="YX106" s="18"/>
      <c r="YY106" s="18"/>
      <c r="YZ106" s="18"/>
      <c r="ZA106" s="18"/>
      <c r="ZB106" s="18"/>
      <c r="ZC106" s="18"/>
      <c r="ZD106" s="18"/>
      <c r="ZE106" s="18"/>
      <c r="ZF106" s="18"/>
      <c r="ZG106" s="18"/>
      <c r="ZH106" s="18"/>
      <c r="ZI106" s="18"/>
      <c r="ZJ106" s="18"/>
      <c r="ZK106" s="18"/>
      <c r="ZL106" s="18"/>
      <c r="ZM106" s="18"/>
      <c r="ZN106" s="18"/>
      <c r="ZO106" s="18"/>
      <c r="ZP106" s="18"/>
      <c r="ZQ106" s="18"/>
      <c r="ZR106" s="18"/>
      <c r="ZS106" s="18"/>
      <c r="ZT106" s="18"/>
      <c r="ZU106" s="18"/>
      <c r="ZV106" s="18"/>
      <c r="ZW106" s="18"/>
      <c r="ZX106" s="18"/>
      <c r="ZY106" s="18"/>
      <c r="ZZ106" s="18"/>
      <c r="AAA106" s="18"/>
      <c r="AAB106" s="18"/>
      <c r="AAC106" s="18"/>
      <c r="AAD106" s="18"/>
      <c r="AAE106" s="18"/>
      <c r="AAF106" s="18"/>
      <c r="AAG106" s="18"/>
      <c r="AAH106" s="18"/>
      <c r="AAI106" s="18"/>
      <c r="AAJ106" s="18"/>
      <c r="AAK106" s="18"/>
      <c r="AAL106" s="18"/>
      <c r="AAM106" s="18"/>
      <c r="AAN106" s="18"/>
      <c r="AAO106" s="18"/>
      <c r="AAP106" s="18"/>
      <c r="AAQ106" s="18"/>
      <c r="AAR106" s="18"/>
      <c r="AAS106" s="18"/>
      <c r="AAT106" s="18"/>
      <c r="AAU106" s="18"/>
      <c r="AAV106" s="18"/>
      <c r="AAW106" s="18"/>
      <c r="AAX106" s="18"/>
      <c r="AAY106" s="18"/>
      <c r="AAZ106" s="18"/>
      <c r="ABA106" s="18"/>
      <c r="ABB106" s="18"/>
      <c r="ABC106" s="18"/>
      <c r="ABD106" s="18"/>
      <c r="ABE106" s="18"/>
      <c r="ABF106" s="18"/>
      <c r="ABG106" s="18"/>
      <c r="ABH106" s="18"/>
      <c r="ABI106" s="18"/>
      <c r="ABJ106" s="18"/>
      <c r="ABK106" s="18"/>
      <c r="ABL106" s="18"/>
      <c r="ABM106" s="18"/>
      <c r="ABN106" s="18"/>
      <c r="ABO106" s="18"/>
      <c r="ABP106" s="18"/>
      <c r="ABQ106" s="18"/>
      <c r="ABR106" s="18"/>
      <c r="ABS106" s="18"/>
      <c r="ABT106" s="18"/>
      <c r="ABU106" s="18"/>
      <c r="ABV106" s="18"/>
      <c r="ABW106" s="18"/>
      <c r="ABX106" s="18"/>
      <c r="ABY106" s="18"/>
      <c r="ABZ106" s="18"/>
      <c r="ACA106" s="18"/>
      <c r="ACB106" s="18"/>
      <c r="ACC106" s="18"/>
      <c r="ACD106" s="18"/>
      <c r="ACE106" s="18"/>
      <c r="ACF106" s="18"/>
      <c r="ACG106" s="18"/>
      <c r="ACH106" s="18"/>
      <c r="ACI106" s="18"/>
      <c r="ACJ106" s="18"/>
      <c r="ACK106" s="18"/>
      <c r="ACL106" s="18"/>
      <c r="ACM106" s="18"/>
      <c r="ACN106" s="18"/>
      <c r="ACO106" s="18"/>
      <c r="ACP106" s="18"/>
      <c r="ACQ106" s="18"/>
      <c r="ACR106" s="18"/>
      <c r="ACS106" s="18"/>
      <c r="ACT106" s="18"/>
      <c r="ACU106" s="18"/>
      <c r="ACV106" s="18"/>
      <c r="ACW106" s="18"/>
      <c r="ACX106" s="18"/>
      <c r="ACY106" s="18"/>
      <c r="ACZ106" s="18"/>
      <c r="ADA106" s="18"/>
      <c r="ADB106" s="18"/>
      <c r="ADC106" s="18"/>
      <c r="ADD106" s="18"/>
      <c r="ADE106" s="18"/>
      <c r="ADF106" s="18"/>
      <c r="ADG106" s="18"/>
      <c r="ADH106" s="18"/>
      <c r="ADI106" s="18"/>
      <c r="ADJ106" s="18"/>
      <c r="ADK106" s="18"/>
      <c r="ADL106" s="18"/>
      <c r="ADM106" s="18"/>
      <c r="ADN106" s="18"/>
      <c r="ADO106" s="18"/>
      <c r="ADP106" s="18"/>
      <c r="ADQ106" s="18"/>
      <c r="ADR106" s="18"/>
      <c r="ADS106" s="18"/>
      <c r="ADT106" s="18"/>
      <c r="ADU106" s="18"/>
      <c r="ADV106" s="18"/>
      <c r="ADW106" s="18"/>
      <c r="ADX106" s="18"/>
      <c r="ADY106" s="18"/>
      <c r="ADZ106" s="18"/>
      <c r="AEA106" s="18"/>
      <c r="AEB106" s="18"/>
      <c r="AEC106" s="18"/>
      <c r="AED106" s="18"/>
      <c r="AEE106" s="18"/>
      <c r="AEF106" s="18"/>
      <c r="AEG106" s="18"/>
      <c r="AEH106" s="18"/>
      <c r="AEI106" s="18"/>
      <c r="AEJ106" s="18"/>
      <c r="AEK106" s="18"/>
      <c r="AEL106" s="18"/>
      <c r="AEM106" s="18"/>
      <c r="AEN106" s="18"/>
      <c r="AEO106" s="18"/>
      <c r="AEP106" s="18"/>
      <c r="AEQ106" s="18"/>
      <c r="AER106" s="18"/>
      <c r="AES106" s="18"/>
      <c r="AET106" s="18"/>
      <c r="AEU106" s="18"/>
      <c r="AEV106" s="18"/>
      <c r="AEW106" s="18"/>
      <c r="AEX106" s="18"/>
      <c r="AEY106" s="18"/>
      <c r="AEZ106" s="18"/>
      <c r="AFA106" s="18"/>
      <c r="AFB106" s="18"/>
      <c r="AFC106" s="18"/>
      <c r="AFD106" s="18"/>
      <c r="AFE106" s="18"/>
      <c r="AFF106" s="18"/>
      <c r="AFG106" s="18"/>
      <c r="AFH106" s="18"/>
      <c r="AFI106" s="18"/>
      <c r="AFJ106" s="18"/>
      <c r="AFK106" s="18"/>
      <c r="AFL106" s="18"/>
      <c r="AFM106" s="18"/>
      <c r="AFN106" s="18"/>
      <c r="AFO106" s="18"/>
      <c r="AFP106" s="18"/>
      <c r="AFQ106" s="18"/>
      <c r="AFR106" s="18"/>
      <c r="AFS106" s="18"/>
      <c r="AFT106" s="18"/>
      <c r="AFU106" s="18"/>
      <c r="AFV106" s="18"/>
      <c r="AFW106" s="18"/>
      <c r="AFX106" s="18"/>
      <c r="AFY106" s="18"/>
      <c r="AFZ106" s="18"/>
      <c r="AGA106" s="18"/>
      <c r="AGB106" s="18"/>
      <c r="AGC106" s="18"/>
      <c r="AGD106" s="18"/>
      <c r="AGE106" s="18"/>
      <c r="AGF106" s="18"/>
      <c r="AGG106" s="18"/>
      <c r="AGH106" s="18"/>
      <c r="AGI106" s="18"/>
      <c r="AGJ106" s="18"/>
      <c r="AGK106" s="18"/>
      <c r="AGL106" s="18"/>
      <c r="AGM106" s="18"/>
      <c r="AGN106" s="18"/>
      <c r="AGO106" s="18"/>
      <c r="AGP106" s="18"/>
      <c r="AGQ106" s="18"/>
      <c r="AGR106" s="18"/>
      <c r="AGS106" s="18"/>
      <c r="AGT106" s="18"/>
      <c r="AGU106" s="18"/>
      <c r="AGV106" s="18"/>
      <c r="AGW106" s="18"/>
      <c r="AGX106" s="18"/>
      <c r="AGY106" s="18"/>
      <c r="AGZ106" s="18"/>
      <c r="AHA106" s="18"/>
      <c r="AHB106" s="18"/>
      <c r="AHC106" s="18"/>
      <c r="AHD106" s="18"/>
      <c r="AHE106" s="18"/>
      <c r="AHF106" s="18"/>
      <c r="AHG106" s="18"/>
      <c r="AHH106" s="18"/>
      <c r="AHI106" s="18"/>
      <c r="AHJ106" s="18"/>
      <c r="AHK106" s="18"/>
      <c r="AHL106" s="18"/>
      <c r="AHM106" s="18"/>
      <c r="AHN106" s="18"/>
      <c r="AHO106" s="18"/>
      <c r="AHP106" s="18"/>
      <c r="AHQ106" s="18"/>
      <c r="AHR106" s="18"/>
      <c r="AHS106" s="18"/>
      <c r="AHT106" s="18"/>
      <c r="AHU106" s="18"/>
      <c r="AHV106" s="18"/>
      <c r="AHW106" s="18"/>
      <c r="AHX106" s="18"/>
      <c r="AHY106" s="18"/>
      <c r="AHZ106" s="18"/>
      <c r="AIA106" s="18"/>
      <c r="AIB106" s="18"/>
      <c r="AIC106" s="18"/>
      <c r="AID106" s="18"/>
      <c r="AIE106" s="18"/>
      <c r="AIF106" s="18"/>
      <c r="AIG106" s="18"/>
      <c r="AIH106" s="18"/>
      <c r="AII106" s="18"/>
      <c r="AIJ106" s="18"/>
      <c r="AIK106" s="18"/>
      <c r="AIL106" s="18"/>
      <c r="AIM106" s="18"/>
      <c r="AIN106" s="18"/>
      <c r="AIO106" s="18"/>
      <c r="AIP106" s="18"/>
      <c r="AIQ106" s="18"/>
      <c r="AIR106" s="18"/>
      <c r="AIS106" s="18"/>
      <c r="AIT106" s="18"/>
      <c r="AIU106" s="18"/>
      <c r="AIV106" s="18"/>
      <c r="AIW106" s="18"/>
      <c r="AIX106" s="18"/>
      <c r="AIY106" s="18"/>
      <c r="AIZ106" s="18"/>
      <c r="AJA106" s="18"/>
      <c r="AJB106" s="18"/>
      <c r="AJC106" s="18"/>
      <c r="AJD106" s="18"/>
      <c r="AJE106" s="18"/>
      <c r="AJF106" s="18"/>
      <c r="AJG106" s="18"/>
      <c r="AJH106" s="18"/>
      <c r="AJI106" s="18"/>
      <c r="AJJ106" s="18"/>
      <c r="AJK106" s="18"/>
      <c r="AJL106" s="18"/>
      <c r="AJM106" s="18"/>
      <c r="AJN106" s="18"/>
      <c r="AJO106" s="18"/>
      <c r="AJP106" s="18"/>
      <c r="AJQ106" s="18"/>
      <c r="AJR106" s="18"/>
      <c r="AJS106" s="18"/>
      <c r="AJT106" s="18"/>
      <c r="AJU106" s="18"/>
      <c r="AJV106" s="18"/>
      <c r="AJW106" s="18"/>
      <c r="AJX106" s="18"/>
      <c r="AJY106" s="18"/>
      <c r="AJZ106" s="18"/>
      <c r="AKA106" s="18"/>
      <c r="AKB106" s="18"/>
      <c r="AKC106" s="18"/>
      <c r="AKD106" s="18"/>
      <c r="AKE106" s="18"/>
      <c r="AKF106" s="18"/>
      <c r="AKG106" s="18"/>
      <c r="AKH106" s="18"/>
      <c r="AKI106" s="18"/>
      <c r="AKJ106" s="18"/>
      <c r="AKK106" s="18"/>
      <c r="AKL106" s="18"/>
      <c r="AKM106" s="18"/>
      <c r="AKN106" s="18"/>
      <c r="AKO106" s="18"/>
      <c r="AKP106" s="18"/>
      <c r="AKQ106" s="18"/>
      <c r="AKR106" s="18"/>
      <c r="AKS106" s="18"/>
      <c r="AKT106" s="18"/>
      <c r="AKU106" s="18"/>
      <c r="AKV106" s="18"/>
      <c r="AKW106" s="18"/>
      <c r="AKX106" s="18"/>
      <c r="AKY106" s="18"/>
      <c r="AKZ106" s="18"/>
      <c r="ALA106" s="18"/>
      <c r="ALB106" s="18"/>
      <c r="ALC106" s="18"/>
      <c r="ALD106" s="18"/>
      <c r="ALE106" s="18"/>
      <c r="ALF106" s="18"/>
      <c r="ALG106" s="18"/>
      <c r="ALH106" s="18"/>
      <c r="ALI106" s="18"/>
      <c r="ALJ106" s="18"/>
      <c r="ALK106" s="18"/>
      <c r="ALL106" s="18"/>
      <c r="ALM106" s="18"/>
      <c r="ALN106" s="18"/>
      <c r="ALO106" s="18"/>
      <c r="ALP106" s="18"/>
      <c r="ALQ106" s="18"/>
      <c r="ALR106" s="18"/>
      <c r="ALS106" s="18"/>
      <c r="ALT106" s="18"/>
      <c r="ALU106" s="18"/>
      <c r="ALV106" s="18"/>
      <c r="ALW106" s="18"/>
      <c r="ALX106" s="18"/>
      <c r="ALY106" s="18"/>
      <c r="ALZ106" s="18"/>
      <c r="AMA106" s="18"/>
      <c r="AMB106" s="18"/>
      <c r="AMC106" s="18"/>
      <c r="AMD106" s="18"/>
      <c r="AME106" s="18"/>
      <c r="AMF106" s="18"/>
      <c r="AMG106" s="18"/>
      <c r="AMH106" s="18"/>
    </row>
    <row r="107" spans="1:1022" s="23" customFormat="1" x14ac:dyDescent="0.3">
      <c r="A107" s="33">
        <v>203</v>
      </c>
      <c r="B107" s="19"/>
      <c r="C107" s="19"/>
      <c r="D107" s="34"/>
      <c r="E107" s="34"/>
      <c r="F107" s="19"/>
      <c r="G107" s="19"/>
      <c r="H107" s="18"/>
      <c r="I107" s="31"/>
      <c r="J107" s="31"/>
      <c r="K107" s="31"/>
      <c r="L107" s="31"/>
      <c r="M107" s="32"/>
      <c r="N107" s="32"/>
      <c r="O107" s="18"/>
      <c r="P107" s="36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18"/>
      <c r="BK107" s="18"/>
      <c r="BL107" s="18"/>
      <c r="BM107" s="18"/>
      <c r="BN107" s="18"/>
      <c r="BO107" s="18"/>
      <c r="BP107" s="18"/>
      <c r="BQ107" s="18"/>
      <c r="BR107" s="18"/>
      <c r="BS107" s="18"/>
      <c r="BT107" s="18"/>
      <c r="BU107" s="18"/>
      <c r="BV107" s="18"/>
      <c r="BW107" s="18"/>
      <c r="BX107" s="18"/>
      <c r="BY107" s="18"/>
      <c r="BZ107" s="18"/>
      <c r="CA107" s="18"/>
      <c r="CB107" s="18"/>
      <c r="CC107" s="18"/>
      <c r="CD107" s="18"/>
      <c r="CE107" s="18"/>
      <c r="CF107" s="18"/>
      <c r="CG107" s="18"/>
      <c r="CH107" s="18"/>
      <c r="CI107" s="18"/>
      <c r="CJ107" s="18"/>
      <c r="CK107" s="18"/>
      <c r="CL107" s="18"/>
      <c r="CM107" s="18"/>
      <c r="CN107" s="18"/>
      <c r="CO107" s="18"/>
      <c r="CP107" s="18"/>
      <c r="CQ107" s="18"/>
      <c r="CR107" s="18"/>
      <c r="CS107" s="18"/>
      <c r="CT107" s="18"/>
      <c r="CU107" s="18"/>
      <c r="CV107" s="18"/>
      <c r="CW107" s="18"/>
      <c r="CX107" s="18"/>
      <c r="CY107" s="18"/>
      <c r="CZ107" s="18"/>
      <c r="DA107" s="18"/>
      <c r="DB107" s="18"/>
      <c r="DC107" s="18"/>
      <c r="DD107" s="18"/>
      <c r="DE107" s="18"/>
      <c r="DF107" s="18"/>
      <c r="DG107" s="18"/>
      <c r="DH107" s="18"/>
      <c r="DI107" s="18"/>
      <c r="DJ107" s="18"/>
      <c r="DK107" s="18"/>
      <c r="DL107" s="18"/>
      <c r="DM107" s="18"/>
      <c r="DN107" s="18"/>
      <c r="DO107" s="18"/>
      <c r="DP107" s="18"/>
      <c r="DQ107" s="18"/>
      <c r="DR107" s="18"/>
      <c r="DS107" s="18"/>
      <c r="DT107" s="18"/>
      <c r="DU107" s="18"/>
      <c r="DV107" s="18"/>
      <c r="DW107" s="18"/>
      <c r="DX107" s="18"/>
      <c r="DY107" s="18"/>
      <c r="DZ107" s="18"/>
      <c r="EA107" s="18"/>
      <c r="EB107" s="18"/>
      <c r="EC107" s="18"/>
      <c r="ED107" s="18"/>
      <c r="EE107" s="18"/>
      <c r="EF107" s="18"/>
      <c r="EG107" s="18"/>
      <c r="EH107" s="18"/>
      <c r="EI107" s="18"/>
      <c r="EJ107" s="18"/>
      <c r="EK107" s="18"/>
      <c r="EL107" s="18"/>
      <c r="EM107" s="18"/>
      <c r="EN107" s="18"/>
      <c r="EO107" s="18"/>
      <c r="EP107" s="18"/>
      <c r="EQ107" s="18"/>
      <c r="ER107" s="18"/>
      <c r="ES107" s="18"/>
      <c r="ET107" s="18"/>
      <c r="EU107" s="18"/>
      <c r="EV107" s="18"/>
      <c r="EW107" s="18"/>
      <c r="EX107" s="18"/>
      <c r="EY107" s="18"/>
      <c r="EZ107" s="18"/>
      <c r="FA107" s="18"/>
      <c r="FB107" s="18"/>
      <c r="FC107" s="18"/>
      <c r="FD107" s="18"/>
      <c r="FE107" s="18"/>
      <c r="FF107" s="18"/>
      <c r="FG107" s="18"/>
      <c r="FH107" s="18"/>
      <c r="FI107" s="18"/>
      <c r="FJ107" s="18"/>
      <c r="FK107" s="18"/>
      <c r="FL107" s="18"/>
      <c r="FM107" s="18"/>
      <c r="FN107" s="18"/>
      <c r="FO107" s="18"/>
      <c r="FP107" s="18"/>
      <c r="FQ107" s="18"/>
      <c r="FR107" s="18"/>
      <c r="FS107" s="18"/>
      <c r="FT107" s="18"/>
      <c r="FU107" s="18"/>
      <c r="FV107" s="18"/>
      <c r="FW107" s="18"/>
      <c r="FX107" s="18"/>
      <c r="FY107" s="18"/>
      <c r="FZ107" s="18"/>
      <c r="GA107" s="18"/>
      <c r="GB107" s="18"/>
      <c r="GC107" s="18"/>
      <c r="GD107" s="18"/>
      <c r="GE107" s="18"/>
      <c r="GF107" s="18"/>
      <c r="GG107" s="18"/>
      <c r="GH107" s="18"/>
      <c r="GI107" s="18"/>
      <c r="GJ107" s="18"/>
      <c r="GK107" s="18"/>
      <c r="GL107" s="18"/>
      <c r="GM107" s="18"/>
      <c r="GN107" s="18"/>
      <c r="GO107" s="18"/>
      <c r="GP107" s="18"/>
      <c r="GQ107" s="18"/>
      <c r="GR107" s="18"/>
      <c r="GS107" s="18"/>
      <c r="GT107" s="18"/>
      <c r="GU107" s="18"/>
      <c r="GV107" s="18"/>
      <c r="GW107" s="18"/>
      <c r="GX107" s="18"/>
      <c r="GY107" s="18"/>
      <c r="GZ107" s="18"/>
      <c r="HA107" s="18"/>
      <c r="HB107" s="18"/>
      <c r="HC107" s="18"/>
      <c r="HD107" s="18"/>
      <c r="HE107" s="18"/>
      <c r="HF107" s="18"/>
      <c r="HG107" s="18"/>
      <c r="HH107" s="18"/>
      <c r="HI107" s="18"/>
      <c r="HJ107" s="18"/>
      <c r="HK107" s="18"/>
      <c r="HL107" s="18"/>
      <c r="HM107" s="18"/>
      <c r="HN107" s="18"/>
      <c r="HO107" s="18"/>
      <c r="HP107" s="18"/>
      <c r="HQ107" s="18"/>
      <c r="HR107" s="18"/>
      <c r="HS107" s="18"/>
      <c r="HT107" s="18"/>
      <c r="HU107" s="18"/>
      <c r="HV107" s="18"/>
      <c r="HW107" s="18"/>
      <c r="HX107" s="18"/>
      <c r="HY107" s="18"/>
      <c r="HZ107" s="18"/>
      <c r="IA107" s="18"/>
      <c r="IB107" s="18"/>
      <c r="IC107" s="18"/>
      <c r="ID107" s="18"/>
      <c r="IE107" s="18"/>
      <c r="IF107" s="18"/>
      <c r="IG107" s="18"/>
      <c r="IH107" s="18"/>
      <c r="II107" s="18"/>
      <c r="IJ107" s="18"/>
      <c r="IK107" s="18"/>
      <c r="IL107" s="18"/>
      <c r="IM107" s="18"/>
      <c r="IN107" s="18"/>
      <c r="IO107" s="18"/>
      <c r="IP107" s="18"/>
      <c r="IQ107" s="18"/>
      <c r="IR107" s="18"/>
      <c r="IS107" s="18"/>
      <c r="IT107" s="18"/>
      <c r="IU107" s="18"/>
      <c r="IV107" s="18"/>
      <c r="IW107" s="18"/>
      <c r="IX107" s="18"/>
      <c r="IY107" s="18"/>
      <c r="IZ107" s="18"/>
      <c r="JA107" s="18"/>
      <c r="JB107" s="18"/>
      <c r="JC107" s="18"/>
      <c r="JD107" s="18"/>
      <c r="JE107" s="18"/>
      <c r="JF107" s="18"/>
      <c r="JG107" s="18"/>
      <c r="JH107" s="18"/>
      <c r="JI107" s="18"/>
      <c r="JJ107" s="18"/>
      <c r="JK107" s="18"/>
      <c r="JL107" s="18"/>
      <c r="JM107" s="18"/>
      <c r="JN107" s="18"/>
      <c r="JO107" s="18"/>
      <c r="JP107" s="18"/>
      <c r="JQ107" s="18"/>
      <c r="JR107" s="18"/>
      <c r="JS107" s="18"/>
      <c r="JT107" s="18"/>
      <c r="JU107" s="18"/>
      <c r="JV107" s="18"/>
      <c r="JW107" s="18"/>
      <c r="JX107" s="18"/>
      <c r="JY107" s="18"/>
      <c r="JZ107" s="18"/>
      <c r="KA107" s="18"/>
      <c r="KB107" s="18"/>
      <c r="KC107" s="18"/>
      <c r="KD107" s="18"/>
      <c r="KE107" s="18"/>
      <c r="KF107" s="18"/>
      <c r="KG107" s="18"/>
      <c r="KH107" s="18"/>
      <c r="KI107" s="18"/>
      <c r="KJ107" s="18"/>
      <c r="KK107" s="18"/>
      <c r="KL107" s="18"/>
      <c r="KM107" s="18"/>
      <c r="KN107" s="18"/>
      <c r="KO107" s="18"/>
      <c r="KP107" s="18"/>
      <c r="KQ107" s="18"/>
      <c r="KR107" s="18"/>
      <c r="KS107" s="18"/>
      <c r="KT107" s="18"/>
      <c r="KU107" s="18"/>
      <c r="KV107" s="18"/>
      <c r="KW107" s="18"/>
      <c r="KX107" s="18"/>
      <c r="KY107" s="18"/>
      <c r="KZ107" s="18"/>
      <c r="LA107" s="18"/>
      <c r="LB107" s="18"/>
      <c r="LC107" s="18"/>
      <c r="LD107" s="18"/>
      <c r="LE107" s="18"/>
      <c r="LF107" s="18"/>
      <c r="LG107" s="18"/>
      <c r="LH107" s="18"/>
      <c r="LI107" s="18"/>
      <c r="LJ107" s="18"/>
      <c r="LK107" s="18"/>
      <c r="LL107" s="18"/>
      <c r="LM107" s="18"/>
      <c r="LN107" s="18"/>
      <c r="LO107" s="18"/>
      <c r="LP107" s="18"/>
      <c r="LQ107" s="18"/>
      <c r="LR107" s="18"/>
      <c r="LS107" s="18"/>
      <c r="LT107" s="18"/>
      <c r="LU107" s="18"/>
      <c r="LV107" s="18"/>
      <c r="LW107" s="18"/>
      <c r="LX107" s="18"/>
      <c r="LY107" s="18"/>
      <c r="LZ107" s="18"/>
      <c r="MA107" s="18"/>
      <c r="MB107" s="18"/>
      <c r="MC107" s="18"/>
      <c r="MD107" s="18"/>
      <c r="ME107" s="18"/>
      <c r="MF107" s="18"/>
      <c r="MG107" s="18"/>
      <c r="MH107" s="18"/>
      <c r="MI107" s="18"/>
      <c r="MJ107" s="18"/>
      <c r="MK107" s="18"/>
      <c r="ML107" s="18"/>
      <c r="MM107" s="18"/>
      <c r="MN107" s="18"/>
      <c r="MO107" s="18"/>
      <c r="MP107" s="18"/>
      <c r="MQ107" s="18"/>
      <c r="MR107" s="18"/>
      <c r="MS107" s="18"/>
      <c r="MT107" s="18"/>
      <c r="MU107" s="18"/>
      <c r="MV107" s="18"/>
      <c r="MW107" s="18"/>
      <c r="MX107" s="18"/>
      <c r="MY107" s="18"/>
      <c r="MZ107" s="18"/>
      <c r="NA107" s="18"/>
      <c r="NB107" s="18"/>
      <c r="NC107" s="18"/>
      <c r="ND107" s="18"/>
      <c r="NE107" s="18"/>
      <c r="NF107" s="18"/>
      <c r="NG107" s="18"/>
      <c r="NH107" s="18"/>
      <c r="NI107" s="18"/>
      <c r="NJ107" s="18"/>
      <c r="NK107" s="18"/>
      <c r="NL107" s="18"/>
      <c r="NM107" s="18"/>
      <c r="NN107" s="18"/>
      <c r="NO107" s="18"/>
      <c r="NP107" s="18"/>
      <c r="NQ107" s="18"/>
      <c r="NR107" s="18"/>
      <c r="NS107" s="18"/>
      <c r="NT107" s="18"/>
      <c r="NU107" s="18"/>
      <c r="NV107" s="18"/>
      <c r="NW107" s="18"/>
      <c r="NX107" s="18"/>
      <c r="NY107" s="18"/>
      <c r="NZ107" s="18"/>
      <c r="OA107" s="18"/>
      <c r="OB107" s="18"/>
      <c r="OC107" s="18"/>
      <c r="OD107" s="18"/>
      <c r="OE107" s="18"/>
      <c r="OF107" s="18"/>
      <c r="OG107" s="18"/>
      <c r="OH107" s="18"/>
      <c r="OI107" s="18"/>
      <c r="OJ107" s="18"/>
      <c r="OK107" s="18"/>
      <c r="OL107" s="18"/>
      <c r="OM107" s="18"/>
      <c r="ON107" s="18"/>
      <c r="OO107" s="18"/>
      <c r="OP107" s="18"/>
      <c r="OQ107" s="18"/>
      <c r="OR107" s="18"/>
      <c r="OS107" s="18"/>
      <c r="OT107" s="18"/>
      <c r="OU107" s="18"/>
      <c r="OV107" s="18"/>
      <c r="OW107" s="18"/>
      <c r="OX107" s="18"/>
      <c r="OY107" s="18"/>
      <c r="OZ107" s="18"/>
      <c r="PA107" s="18"/>
      <c r="PB107" s="18"/>
      <c r="PC107" s="18"/>
      <c r="PD107" s="18"/>
      <c r="PE107" s="18"/>
      <c r="PF107" s="18"/>
      <c r="PG107" s="18"/>
      <c r="PH107" s="18"/>
      <c r="PI107" s="18"/>
      <c r="PJ107" s="18"/>
      <c r="PK107" s="18"/>
      <c r="PL107" s="18"/>
      <c r="PM107" s="18"/>
      <c r="PN107" s="18"/>
      <c r="PO107" s="18"/>
      <c r="PP107" s="18"/>
      <c r="PQ107" s="18"/>
      <c r="PR107" s="18"/>
      <c r="PS107" s="18"/>
      <c r="PT107" s="18"/>
      <c r="PU107" s="18"/>
      <c r="PV107" s="18"/>
      <c r="PW107" s="18"/>
      <c r="PX107" s="18"/>
      <c r="PY107" s="18"/>
      <c r="PZ107" s="18"/>
      <c r="QA107" s="18"/>
      <c r="QB107" s="18"/>
      <c r="QC107" s="18"/>
      <c r="QD107" s="18"/>
      <c r="QE107" s="18"/>
      <c r="QF107" s="18"/>
      <c r="QG107" s="18"/>
      <c r="QH107" s="18"/>
      <c r="QI107" s="18"/>
      <c r="QJ107" s="18"/>
      <c r="QK107" s="18"/>
      <c r="QL107" s="18"/>
      <c r="QM107" s="18"/>
      <c r="QN107" s="18"/>
      <c r="QO107" s="18"/>
      <c r="QP107" s="18"/>
      <c r="QQ107" s="18"/>
      <c r="QR107" s="18"/>
      <c r="QS107" s="18"/>
      <c r="QT107" s="18"/>
      <c r="QU107" s="18"/>
      <c r="QV107" s="18"/>
      <c r="QW107" s="18"/>
      <c r="QX107" s="18"/>
      <c r="QY107" s="18"/>
      <c r="QZ107" s="18"/>
      <c r="RA107" s="18"/>
      <c r="RB107" s="18"/>
      <c r="RC107" s="18"/>
      <c r="RD107" s="18"/>
      <c r="RE107" s="18"/>
      <c r="RF107" s="18"/>
      <c r="RG107" s="18"/>
      <c r="RH107" s="18"/>
      <c r="RI107" s="18"/>
      <c r="RJ107" s="18"/>
      <c r="RK107" s="18"/>
      <c r="RL107" s="18"/>
      <c r="RM107" s="18"/>
      <c r="RN107" s="18"/>
      <c r="RO107" s="18"/>
      <c r="RP107" s="18"/>
      <c r="RQ107" s="18"/>
      <c r="RR107" s="18"/>
      <c r="RS107" s="18"/>
      <c r="RT107" s="18"/>
      <c r="RU107" s="18"/>
      <c r="RV107" s="18"/>
      <c r="RW107" s="18"/>
      <c r="RX107" s="18"/>
      <c r="RY107" s="18"/>
      <c r="RZ107" s="18"/>
      <c r="SA107" s="18"/>
      <c r="SB107" s="18"/>
      <c r="SC107" s="18"/>
      <c r="SD107" s="18"/>
      <c r="SE107" s="18"/>
      <c r="SF107" s="18"/>
      <c r="SG107" s="18"/>
      <c r="SH107" s="18"/>
      <c r="SI107" s="18"/>
      <c r="SJ107" s="18"/>
      <c r="SK107" s="18"/>
      <c r="SL107" s="18"/>
      <c r="SM107" s="18"/>
      <c r="SN107" s="18"/>
      <c r="SO107" s="18"/>
      <c r="SP107" s="18"/>
      <c r="SQ107" s="18"/>
      <c r="SR107" s="18"/>
      <c r="SS107" s="18"/>
      <c r="ST107" s="18"/>
      <c r="SU107" s="18"/>
      <c r="SV107" s="18"/>
      <c r="SW107" s="18"/>
      <c r="SX107" s="18"/>
      <c r="SY107" s="18"/>
      <c r="SZ107" s="18"/>
      <c r="TA107" s="18"/>
      <c r="TB107" s="18"/>
      <c r="TC107" s="18"/>
      <c r="TD107" s="18"/>
      <c r="TE107" s="18"/>
      <c r="TF107" s="18"/>
      <c r="TG107" s="18"/>
      <c r="TH107" s="18"/>
      <c r="TI107" s="18"/>
      <c r="TJ107" s="18"/>
      <c r="TK107" s="18"/>
      <c r="TL107" s="18"/>
      <c r="TM107" s="18"/>
      <c r="TN107" s="18"/>
      <c r="TO107" s="18"/>
      <c r="TP107" s="18"/>
      <c r="TQ107" s="18"/>
      <c r="TR107" s="18"/>
      <c r="TS107" s="18"/>
      <c r="TT107" s="18"/>
      <c r="TU107" s="18"/>
      <c r="TV107" s="18"/>
      <c r="TW107" s="18"/>
      <c r="TX107" s="18"/>
      <c r="TY107" s="18"/>
      <c r="TZ107" s="18"/>
      <c r="UA107" s="18"/>
      <c r="UB107" s="18"/>
      <c r="UC107" s="18"/>
      <c r="UD107" s="18"/>
      <c r="UE107" s="18"/>
      <c r="UF107" s="18"/>
      <c r="UG107" s="18"/>
      <c r="UH107" s="18"/>
      <c r="UI107" s="18"/>
      <c r="UJ107" s="18"/>
      <c r="UK107" s="18"/>
      <c r="UL107" s="18"/>
      <c r="UM107" s="18"/>
      <c r="UN107" s="18"/>
      <c r="UO107" s="18"/>
      <c r="UP107" s="18"/>
      <c r="UQ107" s="18"/>
      <c r="UR107" s="18"/>
      <c r="US107" s="18"/>
      <c r="UT107" s="18"/>
      <c r="UU107" s="18"/>
      <c r="UV107" s="18"/>
      <c r="UW107" s="18"/>
      <c r="UX107" s="18"/>
      <c r="UY107" s="18"/>
      <c r="UZ107" s="18"/>
      <c r="VA107" s="18"/>
      <c r="VB107" s="18"/>
      <c r="VC107" s="18"/>
      <c r="VD107" s="18"/>
      <c r="VE107" s="18"/>
      <c r="VF107" s="18"/>
      <c r="VG107" s="18"/>
      <c r="VH107" s="18"/>
      <c r="VI107" s="18"/>
      <c r="VJ107" s="18"/>
      <c r="VK107" s="18"/>
      <c r="VL107" s="18"/>
      <c r="VM107" s="18"/>
      <c r="VN107" s="18"/>
      <c r="VO107" s="18"/>
      <c r="VP107" s="18"/>
      <c r="VQ107" s="18"/>
      <c r="VR107" s="18"/>
      <c r="VS107" s="18"/>
      <c r="VT107" s="18"/>
      <c r="VU107" s="18"/>
      <c r="VV107" s="18"/>
      <c r="VW107" s="18"/>
      <c r="VX107" s="18"/>
      <c r="VY107" s="18"/>
      <c r="VZ107" s="18"/>
      <c r="WA107" s="18"/>
      <c r="WB107" s="18"/>
      <c r="WC107" s="18"/>
      <c r="WD107" s="18"/>
      <c r="WE107" s="18"/>
      <c r="WF107" s="18"/>
      <c r="WG107" s="18"/>
      <c r="WH107" s="18"/>
      <c r="WI107" s="18"/>
      <c r="WJ107" s="18"/>
      <c r="WK107" s="18"/>
      <c r="WL107" s="18"/>
      <c r="WM107" s="18"/>
      <c r="WN107" s="18"/>
      <c r="WO107" s="18"/>
      <c r="WP107" s="18"/>
      <c r="WQ107" s="18"/>
      <c r="WR107" s="18"/>
      <c r="WS107" s="18"/>
      <c r="WT107" s="18"/>
      <c r="WU107" s="18"/>
      <c r="WV107" s="18"/>
      <c r="WW107" s="18"/>
      <c r="WX107" s="18"/>
      <c r="WY107" s="18"/>
      <c r="WZ107" s="18"/>
      <c r="XA107" s="18"/>
      <c r="XB107" s="18"/>
      <c r="XC107" s="18"/>
      <c r="XD107" s="18"/>
      <c r="XE107" s="18"/>
      <c r="XF107" s="18"/>
      <c r="XG107" s="18"/>
      <c r="XH107" s="18"/>
      <c r="XI107" s="18"/>
      <c r="XJ107" s="18"/>
      <c r="XK107" s="18"/>
      <c r="XL107" s="18"/>
      <c r="XM107" s="18"/>
      <c r="XN107" s="18"/>
      <c r="XO107" s="18"/>
      <c r="XP107" s="18"/>
      <c r="XQ107" s="18"/>
      <c r="XR107" s="18"/>
      <c r="XS107" s="18"/>
      <c r="XT107" s="18"/>
      <c r="XU107" s="18"/>
      <c r="XV107" s="18"/>
      <c r="XW107" s="18"/>
      <c r="XX107" s="18"/>
      <c r="XY107" s="18"/>
      <c r="XZ107" s="18"/>
      <c r="YA107" s="18"/>
      <c r="YB107" s="18"/>
      <c r="YC107" s="18"/>
      <c r="YD107" s="18"/>
      <c r="YE107" s="18"/>
      <c r="YF107" s="18"/>
      <c r="YG107" s="18"/>
      <c r="YH107" s="18"/>
      <c r="YI107" s="18"/>
      <c r="YJ107" s="18"/>
      <c r="YK107" s="18"/>
      <c r="YL107" s="18"/>
      <c r="YM107" s="18"/>
      <c r="YN107" s="18"/>
      <c r="YO107" s="18"/>
      <c r="YP107" s="18"/>
      <c r="YQ107" s="18"/>
      <c r="YR107" s="18"/>
      <c r="YS107" s="18"/>
      <c r="YT107" s="18"/>
      <c r="YU107" s="18"/>
      <c r="YV107" s="18"/>
      <c r="YW107" s="18"/>
      <c r="YX107" s="18"/>
      <c r="YY107" s="18"/>
      <c r="YZ107" s="18"/>
      <c r="ZA107" s="18"/>
      <c r="ZB107" s="18"/>
      <c r="ZC107" s="18"/>
      <c r="ZD107" s="18"/>
      <c r="ZE107" s="18"/>
      <c r="ZF107" s="18"/>
      <c r="ZG107" s="18"/>
      <c r="ZH107" s="18"/>
      <c r="ZI107" s="18"/>
      <c r="ZJ107" s="18"/>
      <c r="ZK107" s="18"/>
      <c r="ZL107" s="18"/>
      <c r="ZM107" s="18"/>
      <c r="ZN107" s="18"/>
      <c r="ZO107" s="18"/>
      <c r="ZP107" s="18"/>
      <c r="ZQ107" s="18"/>
      <c r="ZR107" s="18"/>
      <c r="ZS107" s="18"/>
      <c r="ZT107" s="18"/>
      <c r="ZU107" s="18"/>
      <c r="ZV107" s="18"/>
      <c r="ZW107" s="18"/>
      <c r="ZX107" s="18"/>
      <c r="ZY107" s="18"/>
      <c r="ZZ107" s="18"/>
      <c r="AAA107" s="18"/>
      <c r="AAB107" s="18"/>
      <c r="AAC107" s="18"/>
      <c r="AAD107" s="18"/>
      <c r="AAE107" s="18"/>
      <c r="AAF107" s="18"/>
      <c r="AAG107" s="18"/>
      <c r="AAH107" s="18"/>
      <c r="AAI107" s="18"/>
      <c r="AAJ107" s="18"/>
      <c r="AAK107" s="18"/>
      <c r="AAL107" s="18"/>
      <c r="AAM107" s="18"/>
      <c r="AAN107" s="18"/>
      <c r="AAO107" s="18"/>
      <c r="AAP107" s="18"/>
      <c r="AAQ107" s="18"/>
      <c r="AAR107" s="18"/>
      <c r="AAS107" s="18"/>
      <c r="AAT107" s="18"/>
      <c r="AAU107" s="18"/>
      <c r="AAV107" s="18"/>
      <c r="AAW107" s="18"/>
      <c r="AAX107" s="18"/>
      <c r="AAY107" s="18"/>
      <c r="AAZ107" s="18"/>
      <c r="ABA107" s="18"/>
      <c r="ABB107" s="18"/>
      <c r="ABC107" s="18"/>
      <c r="ABD107" s="18"/>
      <c r="ABE107" s="18"/>
      <c r="ABF107" s="18"/>
      <c r="ABG107" s="18"/>
      <c r="ABH107" s="18"/>
      <c r="ABI107" s="18"/>
      <c r="ABJ107" s="18"/>
      <c r="ABK107" s="18"/>
      <c r="ABL107" s="18"/>
      <c r="ABM107" s="18"/>
      <c r="ABN107" s="18"/>
      <c r="ABO107" s="18"/>
      <c r="ABP107" s="18"/>
      <c r="ABQ107" s="18"/>
      <c r="ABR107" s="18"/>
      <c r="ABS107" s="18"/>
      <c r="ABT107" s="18"/>
      <c r="ABU107" s="18"/>
      <c r="ABV107" s="18"/>
      <c r="ABW107" s="18"/>
      <c r="ABX107" s="18"/>
      <c r="ABY107" s="18"/>
      <c r="ABZ107" s="18"/>
      <c r="ACA107" s="18"/>
      <c r="ACB107" s="18"/>
      <c r="ACC107" s="18"/>
      <c r="ACD107" s="18"/>
      <c r="ACE107" s="18"/>
      <c r="ACF107" s="18"/>
      <c r="ACG107" s="18"/>
      <c r="ACH107" s="18"/>
      <c r="ACI107" s="18"/>
      <c r="ACJ107" s="18"/>
      <c r="ACK107" s="18"/>
      <c r="ACL107" s="18"/>
      <c r="ACM107" s="18"/>
      <c r="ACN107" s="18"/>
      <c r="ACO107" s="18"/>
      <c r="ACP107" s="18"/>
      <c r="ACQ107" s="18"/>
      <c r="ACR107" s="18"/>
      <c r="ACS107" s="18"/>
      <c r="ACT107" s="18"/>
      <c r="ACU107" s="18"/>
      <c r="ACV107" s="18"/>
      <c r="ACW107" s="18"/>
      <c r="ACX107" s="18"/>
      <c r="ACY107" s="18"/>
      <c r="ACZ107" s="18"/>
      <c r="ADA107" s="18"/>
      <c r="ADB107" s="18"/>
      <c r="ADC107" s="18"/>
      <c r="ADD107" s="18"/>
      <c r="ADE107" s="18"/>
      <c r="ADF107" s="18"/>
      <c r="ADG107" s="18"/>
      <c r="ADH107" s="18"/>
      <c r="ADI107" s="18"/>
      <c r="ADJ107" s="18"/>
      <c r="ADK107" s="18"/>
      <c r="ADL107" s="18"/>
      <c r="ADM107" s="18"/>
      <c r="ADN107" s="18"/>
      <c r="ADO107" s="18"/>
      <c r="ADP107" s="18"/>
      <c r="ADQ107" s="18"/>
      <c r="ADR107" s="18"/>
      <c r="ADS107" s="18"/>
      <c r="ADT107" s="18"/>
      <c r="ADU107" s="18"/>
      <c r="ADV107" s="18"/>
      <c r="ADW107" s="18"/>
      <c r="ADX107" s="18"/>
      <c r="ADY107" s="18"/>
      <c r="ADZ107" s="18"/>
      <c r="AEA107" s="18"/>
      <c r="AEB107" s="18"/>
      <c r="AEC107" s="18"/>
      <c r="AED107" s="18"/>
      <c r="AEE107" s="18"/>
      <c r="AEF107" s="18"/>
      <c r="AEG107" s="18"/>
      <c r="AEH107" s="18"/>
      <c r="AEI107" s="18"/>
      <c r="AEJ107" s="18"/>
      <c r="AEK107" s="18"/>
      <c r="AEL107" s="18"/>
      <c r="AEM107" s="18"/>
      <c r="AEN107" s="18"/>
      <c r="AEO107" s="18"/>
      <c r="AEP107" s="18"/>
      <c r="AEQ107" s="18"/>
      <c r="AER107" s="18"/>
      <c r="AES107" s="18"/>
      <c r="AET107" s="18"/>
      <c r="AEU107" s="18"/>
      <c r="AEV107" s="18"/>
      <c r="AEW107" s="18"/>
      <c r="AEX107" s="18"/>
      <c r="AEY107" s="18"/>
      <c r="AEZ107" s="18"/>
      <c r="AFA107" s="18"/>
      <c r="AFB107" s="18"/>
      <c r="AFC107" s="18"/>
      <c r="AFD107" s="18"/>
      <c r="AFE107" s="18"/>
      <c r="AFF107" s="18"/>
      <c r="AFG107" s="18"/>
      <c r="AFH107" s="18"/>
      <c r="AFI107" s="18"/>
      <c r="AFJ107" s="18"/>
      <c r="AFK107" s="18"/>
      <c r="AFL107" s="18"/>
      <c r="AFM107" s="18"/>
      <c r="AFN107" s="18"/>
      <c r="AFO107" s="18"/>
      <c r="AFP107" s="18"/>
      <c r="AFQ107" s="18"/>
      <c r="AFR107" s="18"/>
      <c r="AFS107" s="18"/>
      <c r="AFT107" s="18"/>
      <c r="AFU107" s="18"/>
      <c r="AFV107" s="18"/>
      <c r="AFW107" s="18"/>
      <c r="AFX107" s="18"/>
      <c r="AFY107" s="18"/>
      <c r="AFZ107" s="18"/>
      <c r="AGA107" s="18"/>
      <c r="AGB107" s="18"/>
      <c r="AGC107" s="18"/>
      <c r="AGD107" s="18"/>
      <c r="AGE107" s="18"/>
      <c r="AGF107" s="18"/>
      <c r="AGG107" s="18"/>
      <c r="AGH107" s="18"/>
      <c r="AGI107" s="18"/>
      <c r="AGJ107" s="18"/>
      <c r="AGK107" s="18"/>
      <c r="AGL107" s="18"/>
      <c r="AGM107" s="18"/>
      <c r="AGN107" s="18"/>
      <c r="AGO107" s="18"/>
      <c r="AGP107" s="18"/>
      <c r="AGQ107" s="18"/>
      <c r="AGR107" s="18"/>
      <c r="AGS107" s="18"/>
      <c r="AGT107" s="18"/>
      <c r="AGU107" s="18"/>
      <c r="AGV107" s="18"/>
      <c r="AGW107" s="18"/>
      <c r="AGX107" s="18"/>
      <c r="AGY107" s="18"/>
      <c r="AGZ107" s="18"/>
      <c r="AHA107" s="18"/>
      <c r="AHB107" s="18"/>
      <c r="AHC107" s="18"/>
      <c r="AHD107" s="18"/>
      <c r="AHE107" s="18"/>
      <c r="AHF107" s="18"/>
      <c r="AHG107" s="18"/>
      <c r="AHH107" s="18"/>
      <c r="AHI107" s="18"/>
      <c r="AHJ107" s="18"/>
      <c r="AHK107" s="18"/>
      <c r="AHL107" s="18"/>
      <c r="AHM107" s="18"/>
      <c r="AHN107" s="18"/>
      <c r="AHO107" s="18"/>
      <c r="AHP107" s="18"/>
      <c r="AHQ107" s="18"/>
      <c r="AHR107" s="18"/>
      <c r="AHS107" s="18"/>
      <c r="AHT107" s="18"/>
      <c r="AHU107" s="18"/>
      <c r="AHV107" s="18"/>
      <c r="AHW107" s="18"/>
      <c r="AHX107" s="18"/>
      <c r="AHY107" s="18"/>
      <c r="AHZ107" s="18"/>
      <c r="AIA107" s="18"/>
      <c r="AIB107" s="18"/>
      <c r="AIC107" s="18"/>
      <c r="AID107" s="18"/>
      <c r="AIE107" s="18"/>
      <c r="AIF107" s="18"/>
      <c r="AIG107" s="18"/>
      <c r="AIH107" s="18"/>
      <c r="AII107" s="18"/>
      <c r="AIJ107" s="18"/>
      <c r="AIK107" s="18"/>
      <c r="AIL107" s="18"/>
      <c r="AIM107" s="18"/>
      <c r="AIN107" s="18"/>
      <c r="AIO107" s="18"/>
      <c r="AIP107" s="18"/>
      <c r="AIQ107" s="18"/>
      <c r="AIR107" s="18"/>
      <c r="AIS107" s="18"/>
      <c r="AIT107" s="18"/>
      <c r="AIU107" s="18"/>
      <c r="AIV107" s="18"/>
      <c r="AIW107" s="18"/>
      <c r="AIX107" s="18"/>
      <c r="AIY107" s="18"/>
      <c r="AIZ107" s="18"/>
      <c r="AJA107" s="18"/>
      <c r="AJB107" s="18"/>
      <c r="AJC107" s="18"/>
      <c r="AJD107" s="18"/>
      <c r="AJE107" s="18"/>
      <c r="AJF107" s="18"/>
      <c r="AJG107" s="18"/>
      <c r="AJH107" s="18"/>
      <c r="AJI107" s="18"/>
      <c r="AJJ107" s="18"/>
      <c r="AJK107" s="18"/>
      <c r="AJL107" s="18"/>
      <c r="AJM107" s="18"/>
      <c r="AJN107" s="18"/>
      <c r="AJO107" s="18"/>
      <c r="AJP107" s="18"/>
      <c r="AJQ107" s="18"/>
      <c r="AJR107" s="18"/>
      <c r="AJS107" s="18"/>
      <c r="AJT107" s="18"/>
      <c r="AJU107" s="18"/>
      <c r="AJV107" s="18"/>
      <c r="AJW107" s="18"/>
      <c r="AJX107" s="18"/>
      <c r="AJY107" s="18"/>
      <c r="AJZ107" s="18"/>
      <c r="AKA107" s="18"/>
      <c r="AKB107" s="18"/>
      <c r="AKC107" s="18"/>
      <c r="AKD107" s="18"/>
      <c r="AKE107" s="18"/>
      <c r="AKF107" s="18"/>
      <c r="AKG107" s="18"/>
      <c r="AKH107" s="18"/>
      <c r="AKI107" s="18"/>
      <c r="AKJ107" s="18"/>
      <c r="AKK107" s="18"/>
      <c r="AKL107" s="18"/>
      <c r="AKM107" s="18"/>
      <c r="AKN107" s="18"/>
      <c r="AKO107" s="18"/>
      <c r="AKP107" s="18"/>
      <c r="AKQ107" s="18"/>
      <c r="AKR107" s="18"/>
      <c r="AKS107" s="18"/>
      <c r="AKT107" s="18"/>
      <c r="AKU107" s="18"/>
      <c r="AKV107" s="18"/>
      <c r="AKW107" s="18"/>
      <c r="AKX107" s="18"/>
      <c r="AKY107" s="18"/>
      <c r="AKZ107" s="18"/>
      <c r="ALA107" s="18"/>
      <c r="ALB107" s="18"/>
      <c r="ALC107" s="18"/>
      <c r="ALD107" s="18"/>
      <c r="ALE107" s="18"/>
      <c r="ALF107" s="18"/>
      <c r="ALG107" s="18"/>
      <c r="ALH107" s="18"/>
      <c r="ALI107" s="18"/>
      <c r="ALJ107" s="18"/>
      <c r="ALK107" s="18"/>
      <c r="ALL107" s="18"/>
      <c r="ALM107" s="18"/>
      <c r="ALN107" s="18"/>
      <c r="ALO107" s="18"/>
      <c r="ALP107" s="18"/>
      <c r="ALQ107" s="18"/>
      <c r="ALR107" s="18"/>
      <c r="ALS107" s="18"/>
      <c r="ALT107" s="18"/>
      <c r="ALU107" s="18"/>
      <c r="ALV107" s="18"/>
      <c r="ALW107" s="18"/>
      <c r="ALX107" s="18"/>
      <c r="ALY107" s="18"/>
      <c r="ALZ107" s="18"/>
      <c r="AMA107" s="18"/>
      <c r="AMB107" s="18"/>
      <c r="AMC107" s="18"/>
      <c r="AMD107" s="18"/>
      <c r="AME107" s="18"/>
      <c r="AMF107" s="18"/>
      <c r="AMG107" s="18"/>
      <c r="AMH107" s="18"/>
    </row>
    <row r="108" spans="1:1022" s="23" customFormat="1" x14ac:dyDescent="0.3">
      <c r="A108" s="33">
        <v>204</v>
      </c>
      <c r="B108" s="19"/>
      <c r="C108" s="19"/>
      <c r="D108" s="34"/>
      <c r="E108" s="34"/>
      <c r="F108" s="19"/>
      <c r="G108" s="19"/>
      <c r="H108" s="18"/>
      <c r="I108" s="31"/>
      <c r="J108" s="31"/>
      <c r="K108" s="31"/>
      <c r="L108" s="31"/>
      <c r="M108" s="32"/>
      <c r="N108" s="32"/>
      <c r="O108" s="18"/>
      <c r="P108" s="36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18"/>
      <c r="BK108" s="18"/>
      <c r="BL108" s="18"/>
      <c r="BM108" s="18"/>
      <c r="BN108" s="18"/>
      <c r="BO108" s="18"/>
      <c r="BP108" s="18"/>
      <c r="BQ108" s="18"/>
      <c r="BR108" s="18"/>
      <c r="BS108" s="18"/>
      <c r="BT108" s="18"/>
      <c r="BU108" s="18"/>
      <c r="BV108" s="18"/>
      <c r="BW108" s="18"/>
      <c r="BX108" s="18"/>
      <c r="BY108" s="18"/>
      <c r="BZ108" s="18"/>
      <c r="CA108" s="18"/>
      <c r="CB108" s="18"/>
      <c r="CC108" s="18"/>
      <c r="CD108" s="18"/>
      <c r="CE108" s="18"/>
      <c r="CF108" s="18"/>
      <c r="CG108" s="18"/>
      <c r="CH108" s="18"/>
      <c r="CI108" s="18"/>
      <c r="CJ108" s="18"/>
      <c r="CK108" s="18"/>
      <c r="CL108" s="18"/>
      <c r="CM108" s="18"/>
      <c r="CN108" s="18"/>
      <c r="CO108" s="18"/>
      <c r="CP108" s="18"/>
      <c r="CQ108" s="18"/>
      <c r="CR108" s="18"/>
      <c r="CS108" s="18"/>
      <c r="CT108" s="18"/>
      <c r="CU108" s="18"/>
      <c r="CV108" s="18"/>
      <c r="CW108" s="18"/>
      <c r="CX108" s="18"/>
      <c r="CY108" s="18"/>
      <c r="CZ108" s="18"/>
      <c r="DA108" s="18"/>
      <c r="DB108" s="18"/>
      <c r="DC108" s="18"/>
      <c r="DD108" s="18"/>
      <c r="DE108" s="18"/>
      <c r="DF108" s="18"/>
      <c r="DG108" s="18"/>
      <c r="DH108" s="18"/>
      <c r="DI108" s="18"/>
      <c r="DJ108" s="18"/>
      <c r="DK108" s="18"/>
      <c r="DL108" s="18"/>
      <c r="DM108" s="18"/>
      <c r="DN108" s="18"/>
      <c r="DO108" s="18"/>
      <c r="DP108" s="18"/>
      <c r="DQ108" s="18"/>
      <c r="DR108" s="18"/>
      <c r="DS108" s="18"/>
      <c r="DT108" s="18"/>
      <c r="DU108" s="18"/>
      <c r="DV108" s="18"/>
      <c r="DW108" s="18"/>
      <c r="DX108" s="18"/>
      <c r="DY108" s="18"/>
      <c r="DZ108" s="18"/>
      <c r="EA108" s="18"/>
      <c r="EB108" s="18"/>
      <c r="EC108" s="18"/>
      <c r="ED108" s="18"/>
      <c r="EE108" s="18"/>
      <c r="EF108" s="18"/>
      <c r="EG108" s="18"/>
      <c r="EH108" s="18"/>
      <c r="EI108" s="18"/>
      <c r="EJ108" s="18"/>
      <c r="EK108" s="18"/>
      <c r="EL108" s="18"/>
      <c r="EM108" s="18"/>
      <c r="EN108" s="18"/>
      <c r="EO108" s="18"/>
      <c r="EP108" s="18"/>
      <c r="EQ108" s="18"/>
      <c r="ER108" s="18"/>
      <c r="ES108" s="18"/>
      <c r="ET108" s="18"/>
      <c r="EU108" s="18"/>
      <c r="EV108" s="18"/>
      <c r="EW108" s="18"/>
      <c r="EX108" s="18"/>
      <c r="EY108" s="18"/>
      <c r="EZ108" s="18"/>
      <c r="FA108" s="18"/>
      <c r="FB108" s="18"/>
      <c r="FC108" s="18"/>
      <c r="FD108" s="18"/>
      <c r="FE108" s="18"/>
      <c r="FF108" s="18"/>
      <c r="FG108" s="18"/>
      <c r="FH108" s="18"/>
      <c r="FI108" s="18"/>
      <c r="FJ108" s="18"/>
      <c r="FK108" s="18"/>
      <c r="FL108" s="18"/>
      <c r="FM108" s="18"/>
      <c r="FN108" s="18"/>
      <c r="FO108" s="18"/>
      <c r="FP108" s="18"/>
      <c r="FQ108" s="18"/>
      <c r="FR108" s="18"/>
      <c r="FS108" s="18"/>
      <c r="FT108" s="18"/>
      <c r="FU108" s="18"/>
      <c r="FV108" s="18"/>
      <c r="FW108" s="18"/>
      <c r="FX108" s="18"/>
      <c r="FY108" s="18"/>
      <c r="FZ108" s="18"/>
      <c r="GA108" s="18"/>
      <c r="GB108" s="18"/>
      <c r="GC108" s="18"/>
      <c r="GD108" s="18"/>
      <c r="GE108" s="18"/>
      <c r="GF108" s="18"/>
      <c r="GG108" s="18"/>
      <c r="GH108" s="18"/>
      <c r="GI108" s="18"/>
      <c r="GJ108" s="18"/>
      <c r="GK108" s="18"/>
      <c r="GL108" s="18"/>
      <c r="GM108" s="18"/>
      <c r="GN108" s="18"/>
      <c r="GO108" s="18"/>
      <c r="GP108" s="18"/>
      <c r="GQ108" s="18"/>
      <c r="GR108" s="18"/>
      <c r="GS108" s="18"/>
      <c r="GT108" s="18"/>
      <c r="GU108" s="18"/>
      <c r="GV108" s="18"/>
      <c r="GW108" s="18"/>
      <c r="GX108" s="18"/>
      <c r="GY108" s="18"/>
      <c r="GZ108" s="18"/>
      <c r="HA108" s="18"/>
      <c r="HB108" s="18"/>
      <c r="HC108" s="18"/>
      <c r="HD108" s="18"/>
      <c r="HE108" s="18"/>
      <c r="HF108" s="18"/>
      <c r="HG108" s="18"/>
      <c r="HH108" s="18"/>
      <c r="HI108" s="18"/>
      <c r="HJ108" s="18"/>
      <c r="HK108" s="18"/>
      <c r="HL108" s="18"/>
      <c r="HM108" s="18"/>
      <c r="HN108" s="18"/>
      <c r="HO108" s="18"/>
      <c r="HP108" s="18"/>
      <c r="HQ108" s="18"/>
      <c r="HR108" s="18"/>
      <c r="HS108" s="18"/>
      <c r="HT108" s="18"/>
      <c r="HU108" s="18"/>
      <c r="HV108" s="18"/>
      <c r="HW108" s="18"/>
      <c r="HX108" s="18"/>
      <c r="HY108" s="18"/>
      <c r="HZ108" s="18"/>
      <c r="IA108" s="18"/>
      <c r="IB108" s="18"/>
      <c r="IC108" s="18"/>
      <c r="ID108" s="18"/>
      <c r="IE108" s="18"/>
      <c r="IF108" s="18"/>
      <c r="IG108" s="18"/>
      <c r="IH108" s="18"/>
      <c r="II108" s="18"/>
      <c r="IJ108" s="18"/>
      <c r="IK108" s="18"/>
      <c r="IL108" s="18"/>
      <c r="IM108" s="18"/>
      <c r="IN108" s="18"/>
      <c r="IO108" s="18"/>
      <c r="IP108" s="18"/>
      <c r="IQ108" s="18"/>
      <c r="IR108" s="18"/>
      <c r="IS108" s="18"/>
      <c r="IT108" s="18"/>
      <c r="IU108" s="18"/>
      <c r="IV108" s="18"/>
      <c r="IW108" s="18"/>
      <c r="IX108" s="18"/>
      <c r="IY108" s="18"/>
      <c r="IZ108" s="18"/>
      <c r="JA108" s="18"/>
      <c r="JB108" s="18"/>
      <c r="JC108" s="18"/>
      <c r="JD108" s="18"/>
      <c r="JE108" s="18"/>
      <c r="JF108" s="18"/>
      <c r="JG108" s="18"/>
      <c r="JH108" s="18"/>
      <c r="JI108" s="18"/>
      <c r="JJ108" s="18"/>
      <c r="JK108" s="18"/>
      <c r="JL108" s="18"/>
      <c r="JM108" s="18"/>
      <c r="JN108" s="18"/>
      <c r="JO108" s="18"/>
      <c r="JP108" s="18"/>
      <c r="JQ108" s="18"/>
      <c r="JR108" s="18"/>
      <c r="JS108" s="18"/>
      <c r="JT108" s="18"/>
      <c r="JU108" s="18"/>
      <c r="JV108" s="18"/>
      <c r="JW108" s="18"/>
      <c r="JX108" s="18"/>
      <c r="JY108" s="18"/>
      <c r="JZ108" s="18"/>
      <c r="KA108" s="18"/>
      <c r="KB108" s="18"/>
      <c r="KC108" s="18"/>
      <c r="KD108" s="18"/>
      <c r="KE108" s="18"/>
      <c r="KF108" s="18"/>
      <c r="KG108" s="18"/>
      <c r="KH108" s="18"/>
      <c r="KI108" s="18"/>
      <c r="KJ108" s="18"/>
      <c r="KK108" s="18"/>
      <c r="KL108" s="18"/>
      <c r="KM108" s="18"/>
      <c r="KN108" s="18"/>
      <c r="KO108" s="18"/>
      <c r="KP108" s="18"/>
      <c r="KQ108" s="18"/>
      <c r="KR108" s="18"/>
      <c r="KS108" s="18"/>
      <c r="KT108" s="18"/>
      <c r="KU108" s="18"/>
      <c r="KV108" s="18"/>
      <c r="KW108" s="18"/>
      <c r="KX108" s="18"/>
      <c r="KY108" s="18"/>
      <c r="KZ108" s="18"/>
      <c r="LA108" s="18"/>
      <c r="LB108" s="18"/>
      <c r="LC108" s="18"/>
      <c r="LD108" s="18"/>
      <c r="LE108" s="18"/>
      <c r="LF108" s="18"/>
      <c r="LG108" s="18"/>
      <c r="LH108" s="18"/>
      <c r="LI108" s="18"/>
      <c r="LJ108" s="18"/>
      <c r="LK108" s="18"/>
      <c r="LL108" s="18"/>
      <c r="LM108" s="18"/>
      <c r="LN108" s="18"/>
      <c r="LO108" s="18"/>
      <c r="LP108" s="18"/>
      <c r="LQ108" s="18"/>
      <c r="LR108" s="18"/>
      <c r="LS108" s="18"/>
      <c r="LT108" s="18"/>
      <c r="LU108" s="18"/>
      <c r="LV108" s="18"/>
      <c r="LW108" s="18"/>
      <c r="LX108" s="18"/>
      <c r="LY108" s="18"/>
      <c r="LZ108" s="18"/>
      <c r="MA108" s="18"/>
      <c r="MB108" s="18"/>
      <c r="MC108" s="18"/>
      <c r="MD108" s="18"/>
      <c r="ME108" s="18"/>
      <c r="MF108" s="18"/>
      <c r="MG108" s="18"/>
      <c r="MH108" s="18"/>
      <c r="MI108" s="18"/>
      <c r="MJ108" s="18"/>
      <c r="MK108" s="18"/>
      <c r="ML108" s="18"/>
      <c r="MM108" s="18"/>
      <c r="MN108" s="18"/>
      <c r="MO108" s="18"/>
      <c r="MP108" s="18"/>
      <c r="MQ108" s="18"/>
      <c r="MR108" s="18"/>
      <c r="MS108" s="18"/>
      <c r="MT108" s="18"/>
      <c r="MU108" s="18"/>
      <c r="MV108" s="18"/>
      <c r="MW108" s="18"/>
      <c r="MX108" s="18"/>
      <c r="MY108" s="18"/>
      <c r="MZ108" s="18"/>
      <c r="NA108" s="18"/>
      <c r="NB108" s="18"/>
      <c r="NC108" s="18"/>
      <c r="ND108" s="18"/>
      <c r="NE108" s="18"/>
      <c r="NF108" s="18"/>
      <c r="NG108" s="18"/>
      <c r="NH108" s="18"/>
      <c r="NI108" s="18"/>
      <c r="NJ108" s="18"/>
      <c r="NK108" s="18"/>
      <c r="NL108" s="18"/>
      <c r="NM108" s="18"/>
      <c r="NN108" s="18"/>
      <c r="NO108" s="18"/>
      <c r="NP108" s="18"/>
      <c r="NQ108" s="18"/>
      <c r="NR108" s="18"/>
      <c r="NS108" s="18"/>
      <c r="NT108" s="18"/>
      <c r="NU108" s="18"/>
      <c r="NV108" s="18"/>
      <c r="NW108" s="18"/>
      <c r="NX108" s="18"/>
      <c r="NY108" s="18"/>
      <c r="NZ108" s="18"/>
      <c r="OA108" s="18"/>
      <c r="OB108" s="18"/>
      <c r="OC108" s="18"/>
      <c r="OD108" s="18"/>
      <c r="OE108" s="18"/>
      <c r="OF108" s="18"/>
      <c r="OG108" s="18"/>
      <c r="OH108" s="18"/>
      <c r="OI108" s="18"/>
      <c r="OJ108" s="18"/>
      <c r="OK108" s="18"/>
      <c r="OL108" s="18"/>
      <c r="OM108" s="18"/>
      <c r="ON108" s="18"/>
      <c r="OO108" s="18"/>
      <c r="OP108" s="18"/>
      <c r="OQ108" s="18"/>
      <c r="OR108" s="18"/>
      <c r="OS108" s="18"/>
      <c r="OT108" s="18"/>
      <c r="OU108" s="18"/>
      <c r="OV108" s="18"/>
      <c r="OW108" s="18"/>
      <c r="OX108" s="18"/>
      <c r="OY108" s="18"/>
      <c r="OZ108" s="18"/>
      <c r="PA108" s="18"/>
      <c r="PB108" s="18"/>
      <c r="PC108" s="18"/>
      <c r="PD108" s="18"/>
      <c r="PE108" s="18"/>
      <c r="PF108" s="18"/>
      <c r="PG108" s="18"/>
      <c r="PH108" s="18"/>
      <c r="PI108" s="18"/>
      <c r="PJ108" s="18"/>
      <c r="PK108" s="18"/>
      <c r="PL108" s="18"/>
      <c r="PM108" s="18"/>
      <c r="PN108" s="18"/>
      <c r="PO108" s="18"/>
      <c r="PP108" s="18"/>
      <c r="PQ108" s="18"/>
      <c r="PR108" s="18"/>
      <c r="PS108" s="18"/>
      <c r="PT108" s="18"/>
      <c r="PU108" s="18"/>
      <c r="PV108" s="18"/>
      <c r="PW108" s="18"/>
      <c r="PX108" s="18"/>
      <c r="PY108" s="18"/>
      <c r="PZ108" s="18"/>
      <c r="QA108" s="18"/>
      <c r="QB108" s="18"/>
      <c r="QC108" s="18"/>
      <c r="QD108" s="18"/>
      <c r="QE108" s="18"/>
      <c r="QF108" s="18"/>
      <c r="QG108" s="18"/>
      <c r="QH108" s="18"/>
      <c r="QI108" s="18"/>
      <c r="QJ108" s="18"/>
      <c r="QK108" s="18"/>
      <c r="QL108" s="18"/>
      <c r="QM108" s="18"/>
      <c r="QN108" s="18"/>
      <c r="QO108" s="18"/>
      <c r="QP108" s="18"/>
      <c r="QQ108" s="18"/>
      <c r="QR108" s="18"/>
      <c r="QS108" s="18"/>
      <c r="QT108" s="18"/>
      <c r="QU108" s="18"/>
      <c r="QV108" s="18"/>
      <c r="QW108" s="18"/>
      <c r="QX108" s="18"/>
      <c r="QY108" s="18"/>
      <c r="QZ108" s="18"/>
      <c r="RA108" s="18"/>
      <c r="RB108" s="18"/>
      <c r="RC108" s="18"/>
      <c r="RD108" s="18"/>
      <c r="RE108" s="18"/>
      <c r="RF108" s="18"/>
      <c r="RG108" s="18"/>
      <c r="RH108" s="18"/>
      <c r="RI108" s="18"/>
      <c r="RJ108" s="18"/>
      <c r="RK108" s="18"/>
      <c r="RL108" s="18"/>
      <c r="RM108" s="18"/>
      <c r="RN108" s="18"/>
      <c r="RO108" s="18"/>
      <c r="RP108" s="18"/>
      <c r="RQ108" s="18"/>
      <c r="RR108" s="18"/>
      <c r="RS108" s="18"/>
      <c r="RT108" s="18"/>
      <c r="RU108" s="18"/>
      <c r="RV108" s="18"/>
      <c r="RW108" s="18"/>
      <c r="RX108" s="18"/>
      <c r="RY108" s="18"/>
      <c r="RZ108" s="18"/>
      <c r="SA108" s="18"/>
      <c r="SB108" s="18"/>
      <c r="SC108" s="18"/>
      <c r="SD108" s="18"/>
      <c r="SE108" s="18"/>
      <c r="SF108" s="18"/>
      <c r="SG108" s="18"/>
      <c r="SH108" s="18"/>
      <c r="SI108" s="18"/>
      <c r="SJ108" s="18"/>
      <c r="SK108" s="18"/>
      <c r="SL108" s="18"/>
      <c r="SM108" s="18"/>
      <c r="SN108" s="18"/>
      <c r="SO108" s="18"/>
      <c r="SP108" s="18"/>
      <c r="SQ108" s="18"/>
      <c r="SR108" s="18"/>
      <c r="SS108" s="18"/>
      <c r="ST108" s="18"/>
      <c r="SU108" s="18"/>
      <c r="SV108" s="18"/>
      <c r="SW108" s="18"/>
      <c r="SX108" s="18"/>
      <c r="SY108" s="18"/>
      <c r="SZ108" s="18"/>
      <c r="TA108" s="18"/>
      <c r="TB108" s="18"/>
      <c r="TC108" s="18"/>
      <c r="TD108" s="18"/>
      <c r="TE108" s="18"/>
      <c r="TF108" s="18"/>
      <c r="TG108" s="18"/>
      <c r="TH108" s="18"/>
      <c r="TI108" s="18"/>
      <c r="TJ108" s="18"/>
      <c r="TK108" s="18"/>
      <c r="TL108" s="18"/>
      <c r="TM108" s="18"/>
      <c r="TN108" s="18"/>
      <c r="TO108" s="18"/>
      <c r="TP108" s="18"/>
      <c r="TQ108" s="18"/>
      <c r="TR108" s="18"/>
      <c r="TS108" s="18"/>
      <c r="TT108" s="18"/>
      <c r="TU108" s="18"/>
      <c r="TV108" s="18"/>
      <c r="TW108" s="18"/>
      <c r="TX108" s="18"/>
      <c r="TY108" s="18"/>
      <c r="TZ108" s="18"/>
      <c r="UA108" s="18"/>
      <c r="UB108" s="18"/>
      <c r="UC108" s="18"/>
      <c r="UD108" s="18"/>
      <c r="UE108" s="18"/>
      <c r="UF108" s="18"/>
      <c r="UG108" s="18"/>
      <c r="UH108" s="18"/>
      <c r="UI108" s="18"/>
      <c r="UJ108" s="18"/>
      <c r="UK108" s="18"/>
      <c r="UL108" s="18"/>
      <c r="UM108" s="18"/>
      <c r="UN108" s="18"/>
      <c r="UO108" s="18"/>
      <c r="UP108" s="18"/>
      <c r="UQ108" s="18"/>
      <c r="UR108" s="18"/>
      <c r="US108" s="18"/>
      <c r="UT108" s="18"/>
      <c r="UU108" s="18"/>
      <c r="UV108" s="18"/>
      <c r="UW108" s="18"/>
      <c r="UX108" s="18"/>
      <c r="UY108" s="18"/>
      <c r="UZ108" s="18"/>
      <c r="VA108" s="18"/>
      <c r="VB108" s="18"/>
      <c r="VC108" s="18"/>
      <c r="VD108" s="18"/>
      <c r="VE108" s="18"/>
      <c r="VF108" s="18"/>
      <c r="VG108" s="18"/>
      <c r="VH108" s="18"/>
      <c r="VI108" s="18"/>
      <c r="VJ108" s="18"/>
      <c r="VK108" s="18"/>
      <c r="VL108" s="18"/>
      <c r="VM108" s="18"/>
      <c r="VN108" s="18"/>
      <c r="VO108" s="18"/>
      <c r="VP108" s="18"/>
      <c r="VQ108" s="18"/>
      <c r="VR108" s="18"/>
      <c r="VS108" s="18"/>
      <c r="VT108" s="18"/>
      <c r="VU108" s="18"/>
      <c r="VV108" s="18"/>
      <c r="VW108" s="18"/>
      <c r="VX108" s="18"/>
      <c r="VY108" s="18"/>
      <c r="VZ108" s="18"/>
      <c r="WA108" s="18"/>
      <c r="WB108" s="18"/>
      <c r="WC108" s="18"/>
      <c r="WD108" s="18"/>
      <c r="WE108" s="18"/>
      <c r="WF108" s="18"/>
      <c r="WG108" s="18"/>
      <c r="WH108" s="18"/>
      <c r="WI108" s="18"/>
      <c r="WJ108" s="18"/>
      <c r="WK108" s="18"/>
      <c r="WL108" s="18"/>
      <c r="WM108" s="18"/>
      <c r="WN108" s="18"/>
      <c r="WO108" s="18"/>
      <c r="WP108" s="18"/>
      <c r="WQ108" s="18"/>
      <c r="WR108" s="18"/>
      <c r="WS108" s="18"/>
      <c r="WT108" s="18"/>
      <c r="WU108" s="18"/>
      <c r="WV108" s="18"/>
      <c r="WW108" s="18"/>
      <c r="WX108" s="18"/>
      <c r="WY108" s="18"/>
      <c r="WZ108" s="18"/>
      <c r="XA108" s="18"/>
      <c r="XB108" s="18"/>
      <c r="XC108" s="18"/>
      <c r="XD108" s="18"/>
      <c r="XE108" s="18"/>
      <c r="XF108" s="18"/>
      <c r="XG108" s="18"/>
      <c r="XH108" s="18"/>
      <c r="XI108" s="18"/>
      <c r="XJ108" s="18"/>
      <c r="XK108" s="18"/>
      <c r="XL108" s="18"/>
      <c r="XM108" s="18"/>
      <c r="XN108" s="18"/>
      <c r="XO108" s="18"/>
      <c r="XP108" s="18"/>
      <c r="XQ108" s="18"/>
      <c r="XR108" s="18"/>
      <c r="XS108" s="18"/>
      <c r="XT108" s="18"/>
      <c r="XU108" s="18"/>
      <c r="XV108" s="18"/>
      <c r="XW108" s="18"/>
      <c r="XX108" s="18"/>
      <c r="XY108" s="18"/>
      <c r="XZ108" s="18"/>
      <c r="YA108" s="18"/>
      <c r="YB108" s="18"/>
      <c r="YC108" s="18"/>
      <c r="YD108" s="18"/>
      <c r="YE108" s="18"/>
      <c r="YF108" s="18"/>
      <c r="YG108" s="18"/>
      <c r="YH108" s="18"/>
      <c r="YI108" s="18"/>
      <c r="YJ108" s="18"/>
      <c r="YK108" s="18"/>
      <c r="YL108" s="18"/>
      <c r="YM108" s="18"/>
      <c r="YN108" s="18"/>
      <c r="YO108" s="18"/>
      <c r="YP108" s="18"/>
      <c r="YQ108" s="18"/>
      <c r="YR108" s="18"/>
      <c r="YS108" s="18"/>
      <c r="YT108" s="18"/>
      <c r="YU108" s="18"/>
      <c r="YV108" s="18"/>
      <c r="YW108" s="18"/>
      <c r="YX108" s="18"/>
      <c r="YY108" s="18"/>
      <c r="YZ108" s="18"/>
      <c r="ZA108" s="18"/>
      <c r="ZB108" s="18"/>
      <c r="ZC108" s="18"/>
      <c r="ZD108" s="18"/>
      <c r="ZE108" s="18"/>
      <c r="ZF108" s="18"/>
      <c r="ZG108" s="18"/>
      <c r="ZH108" s="18"/>
      <c r="ZI108" s="18"/>
      <c r="ZJ108" s="18"/>
      <c r="ZK108" s="18"/>
      <c r="ZL108" s="18"/>
      <c r="ZM108" s="18"/>
      <c r="ZN108" s="18"/>
      <c r="ZO108" s="18"/>
      <c r="ZP108" s="18"/>
      <c r="ZQ108" s="18"/>
      <c r="ZR108" s="18"/>
      <c r="ZS108" s="18"/>
      <c r="ZT108" s="18"/>
      <c r="ZU108" s="18"/>
      <c r="ZV108" s="18"/>
      <c r="ZW108" s="18"/>
      <c r="ZX108" s="18"/>
      <c r="ZY108" s="18"/>
      <c r="ZZ108" s="18"/>
      <c r="AAA108" s="18"/>
      <c r="AAB108" s="18"/>
      <c r="AAC108" s="18"/>
      <c r="AAD108" s="18"/>
      <c r="AAE108" s="18"/>
      <c r="AAF108" s="18"/>
      <c r="AAG108" s="18"/>
      <c r="AAH108" s="18"/>
      <c r="AAI108" s="18"/>
      <c r="AAJ108" s="18"/>
      <c r="AAK108" s="18"/>
      <c r="AAL108" s="18"/>
      <c r="AAM108" s="18"/>
      <c r="AAN108" s="18"/>
      <c r="AAO108" s="18"/>
      <c r="AAP108" s="18"/>
      <c r="AAQ108" s="18"/>
      <c r="AAR108" s="18"/>
      <c r="AAS108" s="18"/>
      <c r="AAT108" s="18"/>
      <c r="AAU108" s="18"/>
      <c r="AAV108" s="18"/>
      <c r="AAW108" s="18"/>
      <c r="AAX108" s="18"/>
      <c r="AAY108" s="18"/>
      <c r="AAZ108" s="18"/>
      <c r="ABA108" s="18"/>
      <c r="ABB108" s="18"/>
      <c r="ABC108" s="18"/>
      <c r="ABD108" s="18"/>
      <c r="ABE108" s="18"/>
      <c r="ABF108" s="18"/>
      <c r="ABG108" s="18"/>
      <c r="ABH108" s="18"/>
      <c r="ABI108" s="18"/>
      <c r="ABJ108" s="18"/>
      <c r="ABK108" s="18"/>
      <c r="ABL108" s="18"/>
      <c r="ABM108" s="18"/>
      <c r="ABN108" s="18"/>
      <c r="ABO108" s="18"/>
      <c r="ABP108" s="18"/>
      <c r="ABQ108" s="18"/>
      <c r="ABR108" s="18"/>
      <c r="ABS108" s="18"/>
      <c r="ABT108" s="18"/>
      <c r="ABU108" s="18"/>
      <c r="ABV108" s="18"/>
      <c r="ABW108" s="18"/>
      <c r="ABX108" s="18"/>
      <c r="ABY108" s="18"/>
      <c r="ABZ108" s="18"/>
      <c r="ACA108" s="18"/>
      <c r="ACB108" s="18"/>
      <c r="ACC108" s="18"/>
      <c r="ACD108" s="18"/>
      <c r="ACE108" s="18"/>
      <c r="ACF108" s="18"/>
      <c r="ACG108" s="18"/>
      <c r="ACH108" s="18"/>
      <c r="ACI108" s="18"/>
      <c r="ACJ108" s="18"/>
      <c r="ACK108" s="18"/>
      <c r="ACL108" s="18"/>
      <c r="ACM108" s="18"/>
      <c r="ACN108" s="18"/>
      <c r="ACO108" s="18"/>
      <c r="ACP108" s="18"/>
      <c r="ACQ108" s="18"/>
      <c r="ACR108" s="18"/>
      <c r="ACS108" s="18"/>
      <c r="ACT108" s="18"/>
      <c r="ACU108" s="18"/>
      <c r="ACV108" s="18"/>
      <c r="ACW108" s="18"/>
      <c r="ACX108" s="18"/>
      <c r="ACY108" s="18"/>
      <c r="ACZ108" s="18"/>
      <c r="ADA108" s="18"/>
      <c r="ADB108" s="18"/>
      <c r="ADC108" s="18"/>
      <c r="ADD108" s="18"/>
      <c r="ADE108" s="18"/>
      <c r="ADF108" s="18"/>
      <c r="ADG108" s="18"/>
      <c r="ADH108" s="18"/>
      <c r="ADI108" s="18"/>
      <c r="ADJ108" s="18"/>
      <c r="ADK108" s="18"/>
      <c r="ADL108" s="18"/>
      <c r="ADM108" s="18"/>
      <c r="ADN108" s="18"/>
      <c r="ADO108" s="18"/>
      <c r="ADP108" s="18"/>
      <c r="ADQ108" s="18"/>
      <c r="ADR108" s="18"/>
      <c r="ADS108" s="18"/>
      <c r="ADT108" s="18"/>
      <c r="ADU108" s="18"/>
      <c r="ADV108" s="18"/>
      <c r="ADW108" s="18"/>
      <c r="ADX108" s="18"/>
      <c r="ADY108" s="18"/>
      <c r="ADZ108" s="18"/>
      <c r="AEA108" s="18"/>
      <c r="AEB108" s="18"/>
      <c r="AEC108" s="18"/>
      <c r="AED108" s="18"/>
      <c r="AEE108" s="18"/>
      <c r="AEF108" s="18"/>
      <c r="AEG108" s="18"/>
      <c r="AEH108" s="18"/>
      <c r="AEI108" s="18"/>
      <c r="AEJ108" s="18"/>
      <c r="AEK108" s="18"/>
      <c r="AEL108" s="18"/>
      <c r="AEM108" s="18"/>
      <c r="AEN108" s="18"/>
      <c r="AEO108" s="18"/>
      <c r="AEP108" s="18"/>
      <c r="AEQ108" s="18"/>
      <c r="AER108" s="18"/>
      <c r="AES108" s="18"/>
      <c r="AET108" s="18"/>
      <c r="AEU108" s="18"/>
      <c r="AEV108" s="18"/>
      <c r="AEW108" s="18"/>
      <c r="AEX108" s="18"/>
      <c r="AEY108" s="18"/>
      <c r="AEZ108" s="18"/>
      <c r="AFA108" s="18"/>
      <c r="AFB108" s="18"/>
      <c r="AFC108" s="18"/>
      <c r="AFD108" s="18"/>
      <c r="AFE108" s="18"/>
      <c r="AFF108" s="18"/>
      <c r="AFG108" s="18"/>
      <c r="AFH108" s="18"/>
      <c r="AFI108" s="18"/>
      <c r="AFJ108" s="18"/>
      <c r="AFK108" s="18"/>
      <c r="AFL108" s="18"/>
      <c r="AFM108" s="18"/>
      <c r="AFN108" s="18"/>
      <c r="AFO108" s="18"/>
      <c r="AFP108" s="18"/>
      <c r="AFQ108" s="18"/>
      <c r="AFR108" s="18"/>
      <c r="AFS108" s="18"/>
      <c r="AFT108" s="18"/>
      <c r="AFU108" s="18"/>
      <c r="AFV108" s="18"/>
      <c r="AFW108" s="18"/>
      <c r="AFX108" s="18"/>
      <c r="AFY108" s="18"/>
      <c r="AFZ108" s="18"/>
      <c r="AGA108" s="18"/>
      <c r="AGB108" s="18"/>
      <c r="AGC108" s="18"/>
      <c r="AGD108" s="18"/>
      <c r="AGE108" s="18"/>
      <c r="AGF108" s="18"/>
      <c r="AGG108" s="18"/>
      <c r="AGH108" s="18"/>
      <c r="AGI108" s="18"/>
      <c r="AGJ108" s="18"/>
      <c r="AGK108" s="18"/>
      <c r="AGL108" s="18"/>
      <c r="AGM108" s="18"/>
      <c r="AGN108" s="18"/>
      <c r="AGO108" s="18"/>
      <c r="AGP108" s="18"/>
      <c r="AGQ108" s="18"/>
      <c r="AGR108" s="18"/>
      <c r="AGS108" s="18"/>
      <c r="AGT108" s="18"/>
      <c r="AGU108" s="18"/>
      <c r="AGV108" s="18"/>
      <c r="AGW108" s="18"/>
      <c r="AGX108" s="18"/>
      <c r="AGY108" s="18"/>
      <c r="AGZ108" s="18"/>
      <c r="AHA108" s="18"/>
      <c r="AHB108" s="18"/>
      <c r="AHC108" s="18"/>
      <c r="AHD108" s="18"/>
      <c r="AHE108" s="18"/>
      <c r="AHF108" s="18"/>
      <c r="AHG108" s="18"/>
      <c r="AHH108" s="18"/>
      <c r="AHI108" s="18"/>
      <c r="AHJ108" s="18"/>
      <c r="AHK108" s="18"/>
      <c r="AHL108" s="18"/>
      <c r="AHM108" s="18"/>
      <c r="AHN108" s="18"/>
      <c r="AHO108" s="18"/>
      <c r="AHP108" s="18"/>
      <c r="AHQ108" s="18"/>
      <c r="AHR108" s="18"/>
      <c r="AHS108" s="18"/>
      <c r="AHT108" s="18"/>
      <c r="AHU108" s="18"/>
      <c r="AHV108" s="18"/>
      <c r="AHW108" s="18"/>
      <c r="AHX108" s="18"/>
      <c r="AHY108" s="18"/>
      <c r="AHZ108" s="18"/>
      <c r="AIA108" s="18"/>
      <c r="AIB108" s="18"/>
      <c r="AIC108" s="18"/>
      <c r="AID108" s="18"/>
      <c r="AIE108" s="18"/>
      <c r="AIF108" s="18"/>
      <c r="AIG108" s="18"/>
      <c r="AIH108" s="18"/>
      <c r="AII108" s="18"/>
      <c r="AIJ108" s="18"/>
      <c r="AIK108" s="18"/>
      <c r="AIL108" s="18"/>
      <c r="AIM108" s="18"/>
      <c r="AIN108" s="18"/>
      <c r="AIO108" s="18"/>
      <c r="AIP108" s="18"/>
      <c r="AIQ108" s="18"/>
      <c r="AIR108" s="18"/>
      <c r="AIS108" s="18"/>
      <c r="AIT108" s="18"/>
      <c r="AIU108" s="18"/>
      <c r="AIV108" s="18"/>
      <c r="AIW108" s="18"/>
      <c r="AIX108" s="18"/>
      <c r="AIY108" s="18"/>
      <c r="AIZ108" s="18"/>
      <c r="AJA108" s="18"/>
      <c r="AJB108" s="18"/>
      <c r="AJC108" s="18"/>
      <c r="AJD108" s="18"/>
      <c r="AJE108" s="18"/>
      <c r="AJF108" s="18"/>
      <c r="AJG108" s="18"/>
      <c r="AJH108" s="18"/>
      <c r="AJI108" s="18"/>
      <c r="AJJ108" s="18"/>
      <c r="AJK108" s="18"/>
      <c r="AJL108" s="18"/>
      <c r="AJM108" s="18"/>
      <c r="AJN108" s="18"/>
      <c r="AJO108" s="18"/>
      <c r="AJP108" s="18"/>
      <c r="AJQ108" s="18"/>
      <c r="AJR108" s="18"/>
      <c r="AJS108" s="18"/>
      <c r="AJT108" s="18"/>
      <c r="AJU108" s="18"/>
      <c r="AJV108" s="18"/>
      <c r="AJW108" s="18"/>
      <c r="AJX108" s="18"/>
      <c r="AJY108" s="18"/>
      <c r="AJZ108" s="18"/>
      <c r="AKA108" s="18"/>
      <c r="AKB108" s="18"/>
      <c r="AKC108" s="18"/>
      <c r="AKD108" s="18"/>
      <c r="AKE108" s="18"/>
      <c r="AKF108" s="18"/>
      <c r="AKG108" s="18"/>
      <c r="AKH108" s="18"/>
      <c r="AKI108" s="18"/>
      <c r="AKJ108" s="18"/>
      <c r="AKK108" s="18"/>
      <c r="AKL108" s="18"/>
      <c r="AKM108" s="18"/>
      <c r="AKN108" s="18"/>
      <c r="AKO108" s="18"/>
      <c r="AKP108" s="18"/>
      <c r="AKQ108" s="18"/>
      <c r="AKR108" s="18"/>
      <c r="AKS108" s="18"/>
      <c r="AKT108" s="18"/>
      <c r="AKU108" s="18"/>
      <c r="AKV108" s="18"/>
      <c r="AKW108" s="18"/>
      <c r="AKX108" s="18"/>
      <c r="AKY108" s="18"/>
      <c r="AKZ108" s="18"/>
      <c r="ALA108" s="18"/>
      <c r="ALB108" s="18"/>
      <c r="ALC108" s="18"/>
      <c r="ALD108" s="18"/>
      <c r="ALE108" s="18"/>
      <c r="ALF108" s="18"/>
      <c r="ALG108" s="18"/>
      <c r="ALH108" s="18"/>
      <c r="ALI108" s="18"/>
      <c r="ALJ108" s="18"/>
      <c r="ALK108" s="18"/>
      <c r="ALL108" s="18"/>
      <c r="ALM108" s="18"/>
      <c r="ALN108" s="18"/>
      <c r="ALO108" s="18"/>
      <c r="ALP108" s="18"/>
      <c r="ALQ108" s="18"/>
      <c r="ALR108" s="18"/>
      <c r="ALS108" s="18"/>
      <c r="ALT108" s="18"/>
      <c r="ALU108" s="18"/>
      <c r="ALV108" s="18"/>
      <c r="ALW108" s="18"/>
      <c r="ALX108" s="18"/>
      <c r="ALY108" s="18"/>
      <c r="ALZ108" s="18"/>
      <c r="AMA108" s="18"/>
      <c r="AMB108" s="18"/>
      <c r="AMC108" s="18"/>
      <c r="AMD108" s="18"/>
      <c r="AME108" s="18"/>
      <c r="AMF108" s="18"/>
      <c r="AMG108" s="18"/>
      <c r="AMH108" s="18"/>
    </row>
    <row r="109" spans="1:1022" s="23" customFormat="1" x14ac:dyDescent="0.3">
      <c r="A109" s="33">
        <v>205</v>
      </c>
      <c r="B109" s="19"/>
      <c r="C109" s="19"/>
      <c r="D109" s="34"/>
      <c r="E109" s="34"/>
      <c r="F109" s="19"/>
      <c r="G109" s="19"/>
      <c r="H109" s="18"/>
      <c r="I109" s="31"/>
      <c r="J109" s="31"/>
      <c r="K109" s="31"/>
      <c r="L109" s="31"/>
      <c r="M109" s="32"/>
      <c r="N109" s="32"/>
      <c r="O109" s="18"/>
      <c r="P109" s="36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18"/>
      <c r="BK109" s="18"/>
      <c r="BL109" s="18"/>
      <c r="BM109" s="18"/>
      <c r="BN109" s="18"/>
      <c r="BO109" s="18"/>
      <c r="BP109" s="18"/>
      <c r="BQ109" s="18"/>
      <c r="BR109" s="18"/>
      <c r="BS109" s="18"/>
      <c r="BT109" s="18"/>
      <c r="BU109" s="18"/>
      <c r="BV109" s="18"/>
      <c r="BW109" s="18"/>
      <c r="BX109" s="18"/>
      <c r="BY109" s="18"/>
      <c r="BZ109" s="18"/>
      <c r="CA109" s="18"/>
      <c r="CB109" s="18"/>
      <c r="CC109" s="18"/>
      <c r="CD109" s="18"/>
      <c r="CE109" s="18"/>
      <c r="CF109" s="18"/>
      <c r="CG109" s="18"/>
      <c r="CH109" s="18"/>
      <c r="CI109" s="18"/>
      <c r="CJ109" s="18"/>
      <c r="CK109" s="18"/>
      <c r="CL109" s="18"/>
      <c r="CM109" s="18"/>
      <c r="CN109" s="18"/>
      <c r="CO109" s="18"/>
      <c r="CP109" s="18"/>
      <c r="CQ109" s="18"/>
      <c r="CR109" s="18"/>
      <c r="CS109" s="18"/>
      <c r="CT109" s="18"/>
      <c r="CU109" s="18"/>
      <c r="CV109" s="18"/>
      <c r="CW109" s="18"/>
      <c r="CX109" s="18"/>
      <c r="CY109" s="18"/>
      <c r="CZ109" s="18"/>
      <c r="DA109" s="18"/>
      <c r="DB109" s="18"/>
      <c r="DC109" s="18"/>
      <c r="DD109" s="18"/>
      <c r="DE109" s="18"/>
      <c r="DF109" s="18"/>
      <c r="DG109" s="18"/>
      <c r="DH109" s="18"/>
      <c r="DI109" s="18"/>
      <c r="DJ109" s="18"/>
      <c r="DK109" s="18"/>
      <c r="DL109" s="18"/>
      <c r="DM109" s="18"/>
      <c r="DN109" s="18"/>
      <c r="DO109" s="18"/>
      <c r="DP109" s="18"/>
      <c r="DQ109" s="18"/>
      <c r="DR109" s="18"/>
      <c r="DS109" s="18"/>
      <c r="DT109" s="18"/>
      <c r="DU109" s="18"/>
      <c r="DV109" s="18"/>
      <c r="DW109" s="18"/>
      <c r="DX109" s="18"/>
      <c r="DY109" s="18"/>
      <c r="DZ109" s="18"/>
      <c r="EA109" s="18"/>
      <c r="EB109" s="18"/>
      <c r="EC109" s="18"/>
      <c r="ED109" s="18"/>
      <c r="EE109" s="18"/>
      <c r="EF109" s="18"/>
      <c r="EG109" s="18"/>
      <c r="EH109" s="18"/>
      <c r="EI109" s="18"/>
      <c r="EJ109" s="18"/>
      <c r="EK109" s="18"/>
      <c r="EL109" s="18"/>
      <c r="EM109" s="18"/>
      <c r="EN109" s="18"/>
      <c r="EO109" s="18"/>
      <c r="EP109" s="18"/>
      <c r="EQ109" s="18"/>
      <c r="ER109" s="18"/>
      <c r="ES109" s="18"/>
      <c r="ET109" s="18"/>
      <c r="EU109" s="18"/>
      <c r="EV109" s="18"/>
      <c r="EW109" s="18"/>
      <c r="EX109" s="18"/>
      <c r="EY109" s="18"/>
      <c r="EZ109" s="18"/>
      <c r="FA109" s="18"/>
      <c r="FB109" s="18"/>
      <c r="FC109" s="18"/>
      <c r="FD109" s="18"/>
      <c r="FE109" s="18"/>
      <c r="FF109" s="18"/>
      <c r="FG109" s="18"/>
      <c r="FH109" s="18"/>
      <c r="FI109" s="18"/>
      <c r="FJ109" s="18"/>
      <c r="FK109" s="18"/>
      <c r="FL109" s="18"/>
      <c r="FM109" s="18"/>
      <c r="FN109" s="18"/>
      <c r="FO109" s="18"/>
      <c r="FP109" s="18"/>
      <c r="FQ109" s="18"/>
      <c r="FR109" s="18"/>
      <c r="FS109" s="18"/>
      <c r="FT109" s="18"/>
      <c r="FU109" s="18"/>
      <c r="FV109" s="18"/>
      <c r="FW109" s="18"/>
      <c r="FX109" s="18"/>
      <c r="FY109" s="18"/>
      <c r="FZ109" s="18"/>
      <c r="GA109" s="18"/>
      <c r="GB109" s="18"/>
      <c r="GC109" s="18"/>
      <c r="GD109" s="18"/>
      <c r="GE109" s="18"/>
      <c r="GF109" s="18"/>
      <c r="GG109" s="18"/>
      <c r="GH109" s="18"/>
      <c r="GI109" s="18"/>
      <c r="GJ109" s="18"/>
      <c r="GK109" s="18"/>
      <c r="GL109" s="18"/>
      <c r="GM109" s="18"/>
      <c r="GN109" s="18"/>
      <c r="GO109" s="18"/>
      <c r="GP109" s="18"/>
      <c r="GQ109" s="18"/>
      <c r="GR109" s="18"/>
      <c r="GS109" s="18"/>
      <c r="GT109" s="18"/>
      <c r="GU109" s="18"/>
      <c r="GV109" s="18"/>
      <c r="GW109" s="18"/>
      <c r="GX109" s="18"/>
      <c r="GY109" s="18"/>
      <c r="GZ109" s="18"/>
      <c r="HA109" s="18"/>
      <c r="HB109" s="18"/>
      <c r="HC109" s="18"/>
      <c r="HD109" s="18"/>
      <c r="HE109" s="18"/>
      <c r="HF109" s="18"/>
      <c r="HG109" s="18"/>
      <c r="HH109" s="18"/>
      <c r="HI109" s="18"/>
      <c r="HJ109" s="18"/>
      <c r="HK109" s="18"/>
      <c r="HL109" s="18"/>
      <c r="HM109" s="18"/>
      <c r="HN109" s="18"/>
      <c r="HO109" s="18"/>
      <c r="HP109" s="18"/>
      <c r="HQ109" s="18"/>
      <c r="HR109" s="18"/>
      <c r="HS109" s="18"/>
      <c r="HT109" s="18"/>
      <c r="HU109" s="18"/>
      <c r="HV109" s="18"/>
      <c r="HW109" s="18"/>
      <c r="HX109" s="18"/>
      <c r="HY109" s="18"/>
      <c r="HZ109" s="18"/>
      <c r="IA109" s="18"/>
      <c r="IB109" s="18"/>
      <c r="IC109" s="18"/>
      <c r="ID109" s="18"/>
      <c r="IE109" s="18"/>
      <c r="IF109" s="18"/>
      <c r="IG109" s="18"/>
      <c r="IH109" s="18"/>
      <c r="II109" s="18"/>
      <c r="IJ109" s="18"/>
      <c r="IK109" s="18"/>
      <c r="IL109" s="18"/>
      <c r="IM109" s="18"/>
      <c r="IN109" s="18"/>
      <c r="IO109" s="18"/>
      <c r="IP109" s="18"/>
      <c r="IQ109" s="18"/>
      <c r="IR109" s="18"/>
      <c r="IS109" s="18"/>
      <c r="IT109" s="18"/>
      <c r="IU109" s="18"/>
      <c r="IV109" s="18"/>
      <c r="IW109" s="18"/>
      <c r="IX109" s="18"/>
      <c r="IY109" s="18"/>
      <c r="IZ109" s="18"/>
      <c r="JA109" s="18"/>
      <c r="JB109" s="18"/>
      <c r="JC109" s="18"/>
      <c r="JD109" s="18"/>
      <c r="JE109" s="18"/>
      <c r="JF109" s="18"/>
      <c r="JG109" s="18"/>
      <c r="JH109" s="18"/>
      <c r="JI109" s="18"/>
      <c r="JJ109" s="18"/>
      <c r="JK109" s="18"/>
      <c r="JL109" s="18"/>
      <c r="JM109" s="18"/>
      <c r="JN109" s="18"/>
      <c r="JO109" s="18"/>
      <c r="JP109" s="18"/>
      <c r="JQ109" s="18"/>
      <c r="JR109" s="18"/>
      <c r="JS109" s="18"/>
      <c r="JT109" s="18"/>
      <c r="JU109" s="18"/>
      <c r="JV109" s="18"/>
      <c r="JW109" s="18"/>
      <c r="JX109" s="18"/>
      <c r="JY109" s="18"/>
      <c r="JZ109" s="18"/>
      <c r="KA109" s="18"/>
      <c r="KB109" s="18"/>
      <c r="KC109" s="18"/>
      <c r="KD109" s="18"/>
      <c r="KE109" s="18"/>
      <c r="KF109" s="18"/>
      <c r="KG109" s="18"/>
      <c r="KH109" s="18"/>
      <c r="KI109" s="18"/>
      <c r="KJ109" s="18"/>
      <c r="KK109" s="18"/>
      <c r="KL109" s="18"/>
      <c r="KM109" s="18"/>
      <c r="KN109" s="18"/>
      <c r="KO109" s="18"/>
      <c r="KP109" s="18"/>
      <c r="KQ109" s="18"/>
      <c r="KR109" s="18"/>
      <c r="KS109" s="18"/>
      <c r="KT109" s="18"/>
      <c r="KU109" s="18"/>
      <c r="KV109" s="18"/>
      <c r="KW109" s="18"/>
      <c r="KX109" s="18"/>
      <c r="KY109" s="18"/>
      <c r="KZ109" s="18"/>
      <c r="LA109" s="18"/>
      <c r="LB109" s="18"/>
      <c r="LC109" s="18"/>
      <c r="LD109" s="18"/>
      <c r="LE109" s="18"/>
      <c r="LF109" s="18"/>
      <c r="LG109" s="18"/>
      <c r="LH109" s="18"/>
      <c r="LI109" s="18"/>
      <c r="LJ109" s="18"/>
      <c r="LK109" s="18"/>
      <c r="LL109" s="18"/>
      <c r="LM109" s="18"/>
      <c r="LN109" s="18"/>
      <c r="LO109" s="18"/>
      <c r="LP109" s="18"/>
      <c r="LQ109" s="18"/>
      <c r="LR109" s="18"/>
      <c r="LS109" s="18"/>
      <c r="LT109" s="18"/>
      <c r="LU109" s="18"/>
      <c r="LV109" s="18"/>
      <c r="LW109" s="18"/>
      <c r="LX109" s="18"/>
      <c r="LY109" s="18"/>
      <c r="LZ109" s="18"/>
      <c r="MA109" s="18"/>
      <c r="MB109" s="18"/>
      <c r="MC109" s="18"/>
      <c r="MD109" s="18"/>
      <c r="ME109" s="18"/>
      <c r="MF109" s="18"/>
      <c r="MG109" s="18"/>
      <c r="MH109" s="18"/>
      <c r="MI109" s="18"/>
      <c r="MJ109" s="18"/>
      <c r="MK109" s="18"/>
      <c r="ML109" s="18"/>
      <c r="MM109" s="18"/>
      <c r="MN109" s="18"/>
      <c r="MO109" s="18"/>
      <c r="MP109" s="18"/>
      <c r="MQ109" s="18"/>
      <c r="MR109" s="18"/>
      <c r="MS109" s="18"/>
      <c r="MT109" s="18"/>
      <c r="MU109" s="18"/>
      <c r="MV109" s="18"/>
      <c r="MW109" s="18"/>
      <c r="MX109" s="18"/>
      <c r="MY109" s="18"/>
      <c r="MZ109" s="18"/>
      <c r="NA109" s="18"/>
      <c r="NB109" s="18"/>
      <c r="NC109" s="18"/>
      <c r="ND109" s="18"/>
      <c r="NE109" s="18"/>
      <c r="NF109" s="18"/>
      <c r="NG109" s="18"/>
      <c r="NH109" s="18"/>
      <c r="NI109" s="18"/>
      <c r="NJ109" s="18"/>
      <c r="NK109" s="18"/>
      <c r="NL109" s="18"/>
      <c r="NM109" s="18"/>
      <c r="NN109" s="18"/>
      <c r="NO109" s="18"/>
      <c r="NP109" s="18"/>
      <c r="NQ109" s="18"/>
      <c r="NR109" s="18"/>
      <c r="NS109" s="18"/>
      <c r="NT109" s="18"/>
      <c r="NU109" s="18"/>
      <c r="NV109" s="18"/>
      <c r="NW109" s="18"/>
      <c r="NX109" s="18"/>
      <c r="NY109" s="18"/>
      <c r="NZ109" s="18"/>
      <c r="OA109" s="18"/>
      <c r="OB109" s="18"/>
      <c r="OC109" s="18"/>
      <c r="OD109" s="18"/>
      <c r="OE109" s="18"/>
      <c r="OF109" s="18"/>
      <c r="OG109" s="18"/>
      <c r="OH109" s="18"/>
      <c r="OI109" s="18"/>
      <c r="OJ109" s="18"/>
      <c r="OK109" s="18"/>
      <c r="OL109" s="18"/>
      <c r="OM109" s="18"/>
      <c r="ON109" s="18"/>
      <c r="OO109" s="18"/>
      <c r="OP109" s="18"/>
      <c r="OQ109" s="18"/>
      <c r="OR109" s="18"/>
      <c r="OS109" s="18"/>
      <c r="OT109" s="18"/>
      <c r="OU109" s="18"/>
      <c r="OV109" s="18"/>
      <c r="OW109" s="18"/>
      <c r="OX109" s="18"/>
      <c r="OY109" s="18"/>
      <c r="OZ109" s="18"/>
      <c r="PA109" s="18"/>
      <c r="PB109" s="18"/>
      <c r="PC109" s="18"/>
      <c r="PD109" s="18"/>
      <c r="PE109" s="18"/>
      <c r="PF109" s="18"/>
      <c r="PG109" s="18"/>
      <c r="PH109" s="18"/>
      <c r="PI109" s="18"/>
      <c r="PJ109" s="18"/>
      <c r="PK109" s="18"/>
      <c r="PL109" s="18"/>
      <c r="PM109" s="18"/>
      <c r="PN109" s="18"/>
      <c r="PO109" s="18"/>
      <c r="PP109" s="18"/>
      <c r="PQ109" s="18"/>
      <c r="PR109" s="18"/>
      <c r="PS109" s="18"/>
      <c r="PT109" s="18"/>
      <c r="PU109" s="18"/>
      <c r="PV109" s="18"/>
      <c r="PW109" s="18"/>
      <c r="PX109" s="18"/>
      <c r="PY109" s="18"/>
      <c r="PZ109" s="18"/>
      <c r="QA109" s="18"/>
      <c r="QB109" s="18"/>
      <c r="QC109" s="18"/>
      <c r="QD109" s="18"/>
      <c r="QE109" s="18"/>
      <c r="QF109" s="18"/>
      <c r="QG109" s="18"/>
      <c r="QH109" s="18"/>
      <c r="QI109" s="18"/>
      <c r="QJ109" s="18"/>
      <c r="QK109" s="18"/>
      <c r="QL109" s="18"/>
      <c r="QM109" s="18"/>
      <c r="QN109" s="18"/>
      <c r="QO109" s="18"/>
      <c r="QP109" s="18"/>
      <c r="QQ109" s="18"/>
      <c r="QR109" s="18"/>
      <c r="QS109" s="18"/>
      <c r="QT109" s="18"/>
      <c r="QU109" s="18"/>
      <c r="QV109" s="18"/>
      <c r="QW109" s="18"/>
      <c r="QX109" s="18"/>
      <c r="QY109" s="18"/>
      <c r="QZ109" s="18"/>
      <c r="RA109" s="18"/>
      <c r="RB109" s="18"/>
      <c r="RC109" s="18"/>
      <c r="RD109" s="18"/>
      <c r="RE109" s="18"/>
      <c r="RF109" s="18"/>
      <c r="RG109" s="18"/>
      <c r="RH109" s="18"/>
      <c r="RI109" s="18"/>
      <c r="RJ109" s="18"/>
      <c r="RK109" s="18"/>
      <c r="RL109" s="18"/>
      <c r="RM109" s="18"/>
      <c r="RN109" s="18"/>
      <c r="RO109" s="18"/>
      <c r="RP109" s="18"/>
      <c r="RQ109" s="18"/>
      <c r="RR109" s="18"/>
      <c r="RS109" s="18"/>
      <c r="RT109" s="18"/>
      <c r="RU109" s="18"/>
      <c r="RV109" s="18"/>
      <c r="RW109" s="18"/>
      <c r="RX109" s="18"/>
      <c r="RY109" s="18"/>
      <c r="RZ109" s="18"/>
      <c r="SA109" s="18"/>
      <c r="SB109" s="18"/>
      <c r="SC109" s="18"/>
      <c r="SD109" s="18"/>
      <c r="SE109" s="18"/>
      <c r="SF109" s="18"/>
      <c r="SG109" s="18"/>
      <c r="SH109" s="18"/>
      <c r="SI109" s="18"/>
      <c r="SJ109" s="18"/>
      <c r="SK109" s="18"/>
      <c r="SL109" s="18"/>
      <c r="SM109" s="18"/>
      <c r="SN109" s="18"/>
      <c r="SO109" s="18"/>
      <c r="SP109" s="18"/>
      <c r="SQ109" s="18"/>
      <c r="SR109" s="18"/>
      <c r="SS109" s="18"/>
      <c r="ST109" s="18"/>
      <c r="SU109" s="18"/>
      <c r="SV109" s="18"/>
      <c r="SW109" s="18"/>
      <c r="SX109" s="18"/>
      <c r="SY109" s="18"/>
      <c r="SZ109" s="18"/>
      <c r="TA109" s="18"/>
      <c r="TB109" s="18"/>
      <c r="TC109" s="18"/>
      <c r="TD109" s="18"/>
      <c r="TE109" s="18"/>
      <c r="TF109" s="18"/>
      <c r="TG109" s="18"/>
      <c r="TH109" s="18"/>
      <c r="TI109" s="18"/>
      <c r="TJ109" s="18"/>
      <c r="TK109" s="18"/>
      <c r="TL109" s="18"/>
      <c r="TM109" s="18"/>
      <c r="TN109" s="18"/>
      <c r="TO109" s="18"/>
      <c r="TP109" s="18"/>
      <c r="TQ109" s="18"/>
      <c r="TR109" s="18"/>
      <c r="TS109" s="18"/>
      <c r="TT109" s="18"/>
      <c r="TU109" s="18"/>
      <c r="TV109" s="18"/>
      <c r="TW109" s="18"/>
      <c r="TX109" s="18"/>
      <c r="TY109" s="18"/>
      <c r="TZ109" s="18"/>
      <c r="UA109" s="18"/>
      <c r="UB109" s="18"/>
      <c r="UC109" s="18"/>
      <c r="UD109" s="18"/>
      <c r="UE109" s="18"/>
      <c r="UF109" s="18"/>
      <c r="UG109" s="18"/>
      <c r="UH109" s="18"/>
      <c r="UI109" s="18"/>
      <c r="UJ109" s="18"/>
      <c r="UK109" s="18"/>
      <c r="UL109" s="18"/>
      <c r="UM109" s="18"/>
      <c r="UN109" s="18"/>
      <c r="UO109" s="18"/>
      <c r="UP109" s="18"/>
      <c r="UQ109" s="18"/>
      <c r="UR109" s="18"/>
      <c r="US109" s="18"/>
      <c r="UT109" s="18"/>
      <c r="UU109" s="18"/>
      <c r="UV109" s="18"/>
      <c r="UW109" s="18"/>
      <c r="UX109" s="18"/>
      <c r="UY109" s="18"/>
      <c r="UZ109" s="18"/>
      <c r="VA109" s="18"/>
      <c r="VB109" s="18"/>
      <c r="VC109" s="18"/>
      <c r="VD109" s="18"/>
      <c r="VE109" s="18"/>
      <c r="VF109" s="18"/>
      <c r="VG109" s="18"/>
      <c r="VH109" s="18"/>
      <c r="VI109" s="18"/>
      <c r="VJ109" s="18"/>
      <c r="VK109" s="18"/>
      <c r="VL109" s="18"/>
      <c r="VM109" s="18"/>
      <c r="VN109" s="18"/>
      <c r="VO109" s="18"/>
      <c r="VP109" s="18"/>
      <c r="VQ109" s="18"/>
      <c r="VR109" s="18"/>
      <c r="VS109" s="18"/>
      <c r="VT109" s="18"/>
      <c r="VU109" s="18"/>
      <c r="VV109" s="18"/>
      <c r="VW109" s="18"/>
      <c r="VX109" s="18"/>
      <c r="VY109" s="18"/>
      <c r="VZ109" s="18"/>
      <c r="WA109" s="18"/>
      <c r="WB109" s="18"/>
      <c r="WC109" s="18"/>
      <c r="WD109" s="18"/>
      <c r="WE109" s="18"/>
      <c r="WF109" s="18"/>
      <c r="WG109" s="18"/>
      <c r="WH109" s="18"/>
      <c r="WI109" s="18"/>
      <c r="WJ109" s="18"/>
      <c r="WK109" s="18"/>
      <c r="WL109" s="18"/>
      <c r="WM109" s="18"/>
      <c r="WN109" s="18"/>
      <c r="WO109" s="18"/>
      <c r="WP109" s="18"/>
      <c r="WQ109" s="18"/>
      <c r="WR109" s="18"/>
      <c r="WS109" s="18"/>
      <c r="WT109" s="18"/>
      <c r="WU109" s="18"/>
      <c r="WV109" s="18"/>
      <c r="WW109" s="18"/>
      <c r="WX109" s="18"/>
      <c r="WY109" s="18"/>
      <c r="WZ109" s="18"/>
      <c r="XA109" s="18"/>
      <c r="XB109" s="18"/>
      <c r="XC109" s="18"/>
      <c r="XD109" s="18"/>
      <c r="XE109" s="18"/>
      <c r="XF109" s="18"/>
      <c r="XG109" s="18"/>
      <c r="XH109" s="18"/>
      <c r="XI109" s="18"/>
      <c r="XJ109" s="18"/>
      <c r="XK109" s="18"/>
      <c r="XL109" s="18"/>
      <c r="XM109" s="18"/>
      <c r="XN109" s="18"/>
      <c r="XO109" s="18"/>
      <c r="XP109" s="18"/>
      <c r="XQ109" s="18"/>
      <c r="XR109" s="18"/>
      <c r="XS109" s="18"/>
      <c r="XT109" s="18"/>
      <c r="XU109" s="18"/>
      <c r="XV109" s="18"/>
      <c r="XW109" s="18"/>
      <c r="XX109" s="18"/>
      <c r="XY109" s="18"/>
      <c r="XZ109" s="18"/>
      <c r="YA109" s="18"/>
      <c r="YB109" s="18"/>
      <c r="YC109" s="18"/>
      <c r="YD109" s="18"/>
      <c r="YE109" s="18"/>
      <c r="YF109" s="18"/>
      <c r="YG109" s="18"/>
      <c r="YH109" s="18"/>
      <c r="YI109" s="18"/>
      <c r="YJ109" s="18"/>
      <c r="YK109" s="18"/>
      <c r="YL109" s="18"/>
      <c r="YM109" s="18"/>
      <c r="YN109" s="18"/>
      <c r="YO109" s="18"/>
      <c r="YP109" s="18"/>
      <c r="YQ109" s="18"/>
      <c r="YR109" s="18"/>
      <c r="YS109" s="18"/>
      <c r="YT109" s="18"/>
      <c r="YU109" s="18"/>
      <c r="YV109" s="18"/>
      <c r="YW109" s="18"/>
      <c r="YX109" s="18"/>
      <c r="YY109" s="18"/>
      <c r="YZ109" s="18"/>
      <c r="ZA109" s="18"/>
      <c r="ZB109" s="18"/>
      <c r="ZC109" s="18"/>
      <c r="ZD109" s="18"/>
      <c r="ZE109" s="18"/>
      <c r="ZF109" s="18"/>
      <c r="ZG109" s="18"/>
      <c r="ZH109" s="18"/>
      <c r="ZI109" s="18"/>
      <c r="ZJ109" s="18"/>
      <c r="ZK109" s="18"/>
      <c r="ZL109" s="18"/>
      <c r="ZM109" s="18"/>
      <c r="ZN109" s="18"/>
      <c r="ZO109" s="18"/>
      <c r="ZP109" s="18"/>
      <c r="ZQ109" s="18"/>
      <c r="ZR109" s="18"/>
      <c r="ZS109" s="18"/>
      <c r="ZT109" s="18"/>
      <c r="ZU109" s="18"/>
      <c r="ZV109" s="18"/>
      <c r="ZW109" s="18"/>
      <c r="ZX109" s="18"/>
      <c r="ZY109" s="18"/>
      <c r="ZZ109" s="18"/>
      <c r="AAA109" s="18"/>
      <c r="AAB109" s="18"/>
      <c r="AAC109" s="18"/>
      <c r="AAD109" s="18"/>
      <c r="AAE109" s="18"/>
      <c r="AAF109" s="18"/>
      <c r="AAG109" s="18"/>
      <c r="AAH109" s="18"/>
      <c r="AAI109" s="18"/>
      <c r="AAJ109" s="18"/>
      <c r="AAK109" s="18"/>
      <c r="AAL109" s="18"/>
      <c r="AAM109" s="18"/>
      <c r="AAN109" s="18"/>
      <c r="AAO109" s="18"/>
      <c r="AAP109" s="18"/>
      <c r="AAQ109" s="18"/>
      <c r="AAR109" s="18"/>
      <c r="AAS109" s="18"/>
      <c r="AAT109" s="18"/>
      <c r="AAU109" s="18"/>
      <c r="AAV109" s="18"/>
      <c r="AAW109" s="18"/>
      <c r="AAX109" s="18"/>
      <c r="AAY109" s="18"/>
      <c r="AAZ109" s="18"/>
      <c r="ABA109" s="18"/>
      <c r="ABB109" s="18"/>
      <c r="ABC109" s="18"/>
      <c r="ABD109" s="18"/>
      <c r="ABE109" s="18"/>
      <c r="ABF109" s="18"/>
      <c r="ABG109" s="18"/>
      <c r="ABH109" s="18"/>
      <c r="ABI109" s="18"/>
      <c r="ABJ109" s="18"/>
      <c r="ABK109" s="18"/>
      <c r="ABL109" s="18"/>
      <c r="ABM109" s="18"/>
      <c r="ABN109" s="18"/>
      <c r="ABO109" s="18"/>
      <c r="ABP109" s="18"/>
      <c r="ABQ109" s="18"/>
      <c r="ABR109" s="18"/>
      <c r="ABS109" s="18"/>
      <c r="ABT109" s="18"/>
      <c r="ABU109" s="18"/>
      <c r="ABV109" s="18"/>
      <c r="ABW109" s="18"/>
      <c r="ABX109" s="18"/>
      <c r="ABY109" s="18"/>
      <c r="ABZ109" s="18"/>
      <c r="ACA109" s="18"/>
      <c r="ACB109" s="18"/>
      <c r="ACC109" s="18"/>
      <c r="ACD109" s="18"/>
      <c r="ACE109" s="18"/>
      <c r="ACF109" s="18"/>
      <c r="ACG109" s="18"/>
      <c r="ACH109" s="18"/>
      <c r="ACI109" s="18"/>
      <c r="ACJ109" s="18"/>
      <c r="ACK109" s="18"/>
      <c r="ACL109" s="18"/>
      <c r="ACM109" s="18"/>
      <c r="ACN109" s="18"/>
      <c r="ACO109" s="18"/>
      <c r="ACP109" s="18"/>
      <c r="ACQ109" s="18"/>
      <c r="ACR109" s="18"/>
      <c r="ACS109" s="18"/>
      <c r="ACT109" s="18"/>
      <c r="ACU109" s="18"/>
      <c r="ACV109" s="18"/>
      <c r="ACW109" s="18"/>
      <c r="ACX109" s="18"/>
      <c r="ACY109" s="18"/>
      <c r="ACZ109" s="18"/>
      <c r="ADA109" s="18"/>
      <c r="ADB109" s="18"/>
      <c r="ADC109" s="18"/>
      <c r="ADD109" s="18"/>
      <c r="ADE109" s="18"/>
      <c r="ADF109" s="18"/>
      <c r="ADG109" s="18"/>
      <c r="ADH109" s="18"/>
      <c r="ADI109" s="18"/>
      <c r="ADJ109" s="18"/>
      <c r="ADK109" s="18"/>
      <c r="ADL109" s="18"/>
      <c r="ADM109" s="18"/>
      <c r="ADN109" s="18"/>
      <c r="ADO109" s="18"/>
      <c r="ADP109" s="18"/>
      <c r="ADQ109" s="18"/>
      <c r="ADR109" s="18"/>
      <c r="ADS109" s="18"/>
      <c r="ADT109" s="18"/>
      <c r="ADU109" s="18"/>
      <c r="ADV109" s="18"/>
      <c r="ADW109" s="18"/>
      <c r="ADX109" s="18"/>
      <c r="ADY109" s="18"/>
      <c r="ADZ109" s="18"/>
      <c r="AEA109" s="18"/>
      <c r="AEB109" s="18"/>
      <c r="AEC109" s="18"/>
      <c r="AED109" s="18"/>
      <c r="AEE109" s="18"/>
      <c r="AEF109" s="18"/>
      <c r="AEG109" s="18"/>
      <c r="AEH109" s="18"/>
      <c r="AEI109" s="18"/>
      <c r="AEJ109" s="18"/>
      <c r="AEK109" s="18"/>
      <c r="AEL109" s="18"/>
      <c r="AEM109" s="18"/>
      <c r="AEN109" s="18"/>
      <c r="AEO109" s="18"/>
      <c r="AEP109" s="18"/>
      <c r="AEQ109" s="18"/>
      <c r="AER109" s="18"/>
      <c r="AES109" s="18"/>
      <c r="AET109" s="18"/>
      <c r="AEU109" s="18"/>
      <c r="AEV109" s="18"/>
      <c r="AEW109" s="18"/>
      <c r="AEX109" s="18"/>
      <c r="AEY109" s="18"/>
      <c r="AEZ109" s="18"/>
      <c r="AFA109" s="18"/>
      <c r="AFB109" s="18"/>
      <c r="AFC109" s="18"/>
      <c r="AFD109" s="18"/>
      <c r="AFE109" s="18"/>
      <c r="AFF109" s="18"/>
      <c r="AFG109" s="18"/>
      <c r="AFH109" s="18"/>
      <c r="AFI109" s="18"/>
      <c r="AFJ109" s="18"/>
      <c r="AFK109" s="18"/>
      <c r="AFL109" s="18"/>
      <c r="AFM109" s="18"/>
      <c r="AFN109" s="18"/>
      <c r="AFO109" s="18"/>
      <c r="AFP109" s="18"/>
      <c r="AFQ109" s="18"/>
      <c r="AFR109" s="18"/>
      <c r="AFS109" s="18"/>
      <c r="AFT109" s="18"/>
      <c r="AFU109" s="18"/>
      <c r="AFV109" s="18"/>
      <c r="AFW109" s="18"/>
      <c r="AFX109" s="18"/>
      <c r="AFY109" s="18"/>
      <c r="AFZ109" s="18"/>
      <c r="AGA109" s="18"/>
      <c r="AGB109" s="18"/>
      <c r="AGC109" s="18"/>
      <c r="AGD109" s="18"/>
      <c r="AGE109" s="18"/>
      <c r="AGF109" s="18"/>
      <c r="AGG109" s="18"/>
      <c r="AGH109" s="18"/>
      <c r="AGI109" s="18"/>
      <c r="AGJ109" s="18"/>
      <c r="AGK109" s="18"/>
      <c r="AGL109" s="18"/>
      <c r="AGM109" s="18"/>
      <c r="AGN109" s="18"/>
      <c r="AGO109" s="18"/>
      <c r="AGP109" s="18"/>
      <c r="AGQ109" s="18"/>
      <c r="AGR109" s="18"/>
      <c r="AGS109" s="18"/>
      <c r="AGT109" s="18"/>
      <c r="AGU109" s="18"/>
      <c r="AGV109" s="18"/>
      <c r="AGW109" s="18"/>
      <c r="AGX109" s="18"/>
      <c r="AGY109" s="18"/>
      <c r="AGZ109" s="18"/>
      <c r="AHA109" s="18"/>
      <c r="AHB109" s="18"/>
      <c r="AHC109" s="18"/>
      <c r="AHD109" s="18"/>
      <c r="AHE109" s="18"/>
      <c r="AHF109" s="18"/>
      <c r="AHG109" s="18"/>
      <c r="AHH109" s="18"/>
      <c r="AHI109" s="18"/>
      <c r="AHJ109" s="18"/>
      <c r="AHK109" s="18"/>
      <c r="AHL109" s="18"/>
      <c r="AHM109" s="18"/>
      <c r="AHN109" s="18"/>
      <c r="AHO109" s="18"/>
      <c r="AHP109" s="18"/>
      <c r="AHQ109" s="18"/>
      <c r="AHR109" s="18"/>
      <c r="AHS109" s="18"/>
      <c r="AHT109" s="18"/>
      <c r="AHU109" s="18"/>
      <c r="AHV109" s="18"/>
      <c r="AHW109" s="18"/>
      <c r="AHX109" s="18"/>
      <c r="AHY109" s="18"/>
      <c r="AHZ109" s="18"/>
      <c r="AIA109" s="18"/>
      <c r="AIB109" s="18"/>
      <c r="AIC109" s="18"/>
      <c r="AID109" s="18"/>
      <c r="AIE109" s="18"/>
      <c r="AIF109" s="18"/>
      <c r="AIG109" s="18"/>
      <c r="AIH109" s="18"/>
      <c r="AII109" s="18"/>
      <c r="AIJ109" s="18"/>
      <c r="AIK109" s="18"/>
      <c r="AIL109" s="18"/>
      <c r="AIM109" s="18"/>
      <c r="AIN109" s="18"/>
      <c r="AIO109" s="18"/>
      <c r="AIP109" s="18"/>
      <c r="AIQ109" s="18"/>
      <c r="AIR109" s="18"/>
      <c r="AIS109" s="18"/>
      <c r="AIT109" s="18"/>
      <c r="AIU109" s="18"/>
      <c r="AIV109" s="18"/>
      <c r="AIW109" s="18"/>
      <c r="AIX109" s="18"/>
      <c r="AIY109" s="18"/>
      <c r="AIZ109" s="18"/>
      <c r="AJA109" s="18"/>
      <c r="AJB109" s="18"/>
      <c r="AJC109" s="18"/>
      <c r="AJD109" s="18"/>
      <c r="AJE109" s="18"/>
      <c r="AJF109" s="18"/>
      <c r="AJG109" s="18"/>
      <c r="AJH109" s="18"/>
      <c r="AJI109" s="18"/>
      <c r="AJJ109" s="18"/>
      <c r="AJK109" s="18"/>
      <c r="AJL109" s="18"/>
      <c r="AJM109" s="18"/>
      <c r="AJN109" s="18"/>
      <c r="AJO109" s="18"/>
      <c r="AJP109" s="18"/>
      <c r="AJQ109" s="18"/>
      <c r="AJR109" s="18"/>
      <c r="AJS109" s="18"/>
      <c r="AJT109" s="18"/>
      <c r="AJU109" s="18"/>
      <c r="AJV109" s="18"/>
      <c r="AJW109" s="18"/>
      <c r="AJX109" s="18"/>
      <c r="AJY109" s="18"/>
      <c r="AJZ109" s="18"/>
      <c r="AKA109" s="18"/>
      <c r="AKB109" s="18"/>
      <c r="AKC109" s="18"/>
      <c r="AKD109" s="18"/>
      <c r="AKE109" s="18"/>
      <c r="AKF109" s="18"/>
      <c r="AKG109" s="18"/>
      <c r="AKH109" s="18"/>
      <c r="AKI109" s="18"/>
      <c r="AKJ109" s="18"/>
      <c r="AKK109" s="18"/>
      <c r="AKL109" s="18"/>
      <c r="AKM109" s="18"/>
      <c r="AKN109" s="18"/>
      <c r="AKO109" s="18"/>
      <c r="AKP109" s="18"/>
      <c r="AKQ109" s="18"/>
      <c r="AKR109" s="18"/>
      <c r="AKS109" s="18"/>
      <c r="AKT109" s="18"/>
      <c r="AKU109" s="18"/>
      <c r="AKV109" s="18"/>
      <c r="AKW109" s="18"/>
      <c r="AKX109" s="18"/>
      <c r="AKY109" s="18"/>
      <c r="AKZ109" s="18"/>
      <c r="ALA109" s="18"/>
      <c r="ALB109" s="18"/>
      <c r="ALC109" s="18"/>
      <c r="ALD109" s="18"/>
      <c r="ALE109" s="18"/>
      <c r="ALF109" s="18"/>
      <c r="ALG109" s="18"/>
      <c r="ALH109" s="18"/>
      <c r="ALI109" s="18"/>
      <c r="ALJ109" s="18"/>
      <c r="ALK109" s="18"/>
      <c r="ALL109" s="18"/>
      <c r="ALM109" s="18"/>
      <c r="ALN109" s="18"/>
      <c r="ALO109" s="18"/>
      <c r="ALP109" s="18"/>
      <c r="ALQ109" s="18"/>
      <c r="ALR109" s="18"/>
      <c r="ALS109" s="18"/>
      <c r="ALT109" s="18"/>
      <c r="ALU109" s="18"/>
      <c r="ALV109" s="18"/>
      <c r="ALW109" s="18"/>
      <c r="ALX109" s="18"/>
      <c r="ALY109" s="18"/>
      <c r="ALZ109" s="18"/>
      <c r="AMA109" s="18"/>
      <c r="AMB109" s="18"/>
      <c r="AMC109" s="18"/>
      <c r="AMD109" s="18"/>
      <c r="AME109" s="18"/>
      <c r="AMF109" s="18"/>
      <c r="AMG109" s="18"/>
      <c r="AMH109" s="18"/>
    </row>
    <row r="110" spans="1:1022" s="23" customFormat="1" x14ac:dyDescent="0.3">
      <c r="A110" s="33">
        <v>206</v>
      </c>
      <c r="B110" s="19"/>
      <c r="C110" s="19"/>
      <c r="D110" s="34"/>
      <c r="E110" s="34"/>
      <c r="F110" s="19"/>
      <c r="G110" s="19"/>
      <c r="H110" s="18"/>
      <c r="I110" s="31"/>
      <c r="J110" s="31"/>
      <c r="K110" s="31"/>
      <c r="L110" s="31"/>
      <c r="M110" s="32"/>
      <c r="N110" s="32"/>
      <c r="O110" s="18"/>
      <c r="P110" s="36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18"/>
      <c r="BK110" s="18"/>
      <c r="BL110" s="18"/>
      <c r="BM110" s="18"/>
      <c r="BN110" s="18"/>
      <c r="BO110" s="18"/>
      <c r="BP110" s="18"/>
      <c r="BQ110" s="18"/>
      <c r="BR110" s="18"/>
      <c r="BS110" s="18"/>
      <c r="BT110" s="18"/>
      <c r="BU110" s="18"/>
      <c r="BV110" s="18"/>
      <c r="BW110" s="18"/>
      <c r="BX110" s="18"/>
      <c r="BY110" s="18"/>
      <c r="BZ110" s="18"/>
      <c r="CA110" s="18"/>
      <c r="CB110" s="18"/>
      <c r="CC110" s="18"/>
      <c r="CD110" s="18"/>
      <c r="CE110" s="18"/>
      <c r="CF110" s="18"/>
      <c r="CG110" s="18"/>
      <c r="CH110" s="18"/>
      <c r="CI110" s="18"/>
      <c r="CJ110" s="18"/>
      <c r="CK110" s="18"/>
      <c r="CL110" s="18"/>
      <c r="CM110" s="18"/>
      <c r="CN110" s="18"/>
      <c r="CO110" s="18"/>
      <c r="CP110" s="18"/>
      <c r="CQ110" s="18"/>
      <c r="CR110" s="18"/>
      <c r="CS110" s="18"/>
      <c r="CT110" s="18"/>
      <c r="CU110" s="18"/>
      <c r="CV110" s="18"/>
      <c r="CW110" s="18"/>
      <c r="CX110" s="18"/>
      <c r="CY110" s="18"/>
      <c r="CZ110" s="18"/>
      <c r="DA110" s="18"/>
      <c r="DB110" s="18"/>
      <c r="DC110" s="18"/>
      <c r="DD110" s="18"/>
      <c r="DE110" s="18"/>
      <c r="DF110" s="18"/>
      <c r="DG110" s="18"/>
      <c r="DH110" s="18"/>
      <c r="DI110" s="18"/>
      <c r="DJ110" s="18"/>
      <c r="DK110" s="18"/>
      <c r="DL110" s="18"/>
      <c r="DM110" s="18"/>
      <c r="DN110" s="18"/>
      <c r="DO110" s="18"/>
      <c r="DP110" s="18"/>
      <c r="DQ110" s="18"/>
      <c r="DR110" s="18"/>
      <c r="DS110" s="18"/>
      <c r="DT110" s="18"/>
      <c r="DU110" s="18"/>
      <c r="DV110" s="18"/>
      <c r="DW110" s="18"/>
      <c r="DX110" s="18"/>
      <c r="DY110" s="18"/>
      <c r="DZ110" s="18"/>
      <c r="EA110" s="18"/>
      <c r="EB110" s="18"/>
      <c r="EC110" s="18"/>
      <c r="ED110" s="18"/>
      <c r="EE110" s="18"/>
      <c r="EF110" s="18"/>
      <c r="EG110" s="18"/>
      <c r="EH110" s="18"/>
      <c r="EI110" s="18"/>
      <c r="EJ110" s="18"/>
      <c r="EK110" s="18"/>
      <c r="EL110" s="18"/>
      <c r="EM110" s="18"/>
      <c r="EN110" s="18"/>
      <c r="EO110" s="18"/>
      <c r="EP110" s="18"/>
      <c r="EQ110" s="18"/>
      <c r="ER110" s="18"/>
      <c r="ES110" s="18"/>
      <c r="ET110" s="18"/>
      <c r="EU110" s="18"/>
      <c r="EV110" s="18"/>
      <c r="EW110" s="18"/>
      <c r="EX110" s="18"/>
      <c r="EY110" s="18"/>
      <c r="EZ110" s="18"/>
      <c r="FA110" s="18"/>
      <c r="FB110" s="18"/>
      <c r="FC110" s="18"/>
      <c r="FD110" s="18"/>
      <c r="FE110" s="18"/>
      <c r="FF110" s="18"/>
      <c r="FG110" s="18"/>
      <c r="FH110" s="18"/>
      <c r="FI110" s="18"/>
      <c r="FJ110" s="18"/>
      <c r="FK110" s="18"/>
      <c r="FL110" s="18"/>
      <c r="FM110" s="18"/>
      <c r="FN110" s="18"/>
      <c r="FO110" s="18"/>
      <c r="FP110" s="18"/>
      <c r="FQ110" s="18"/>
      <c r="FR110" s="18"/>
      <c r="FS110" s="18"/>
      <c r="FT110" s="18"/>
      <c r="FU110" s="18"/>
      <c r="FV110" s="18"/>
      <c r="FW110" s="18"/>
      <c r="FX110" s="18"/>
      <c r="FY110" s="18"/>
      <c r="FZ110" s="18"/>
      <c r="GA110" s="18"/>
      <c r="GB110" s="18"/>
      <c r="GC110" s="18"/>
      <c r="GD110" s="18"/>
      <c r="GE110" s="18"/>
      <c r="GF110" s="18"/>
      <c r="GG110" s="18"/>
      <c r="GH110" s="18"/>
      <c r="GI110" s="18"/>
      <c r="GJ110" s="18"/>
      <c r="GK110" s="18"/>
      <c r="GL110" s="18"/>
      <c r="GM110" s="18"/>
      <c r="GN110" s="18"/>
      <c r="GO110" s="18"/>
      <c r="GP110" s="18"/>
      <c r="GQ110" s="18"/>
      <c r="GR110" s="18"/>
      <c r="GS110" s="18"/>
      <c r="GT110" s="18"/>
      <c r="GU110" s="18"/>
      <c r="GV110" s="18"/>
      <c r="GW110" s="18"/>
      <c r="GX110" s="18"/>
      <c r="GY110" s="18"/>
      <c r="GZ110" s="18"/>
      <c r="HA110" s="18"/>
      <c r="HB110" s="18"/>
      <c r="HC110" s="18"/>
      <c r="HD110" s="18"/>
      <c r="HE110" s="18"/>
      <c r="HF110" s="18"/>
      <c r="HG110" s="18"/>
      <c r="HH110" s="18"/>
      <c r="HI110" s="18"/>
      <c r="HJ110" s="18"/>
      <c r="HK110" s="18"/>
      <c r="HL110" s="18"/>
      <c r="HM110" s="18"/>
      <c r="HN110" s="18"/>
      <c r="HO110" s="18"/>
      <c r="HP110" s="18"/>
      <c r="HQ110" s="18"/>
      <c r="HR110" s="18"/>
      <c r="HS110" s="18"/>
      <c r="HT110" s="18"/>
      <c r="HU110" s="18"/>
      <c r="HV110" s="18"/>
      <c r="HW110" s="18"/>
      <c r="HX110" s="18"/>
      <c r="HY110" s="18"/>
      <c r="HZ110" s="18"/>
      <c r="IA110" s="18"/>
      <c r="IB110" s="18"/>
      <c r="IC110" s="18"/>
      <c r="ID110" s="18"/>
      <c r="IE110" s="18"/>
      <c r="IF110" s="18"/>
      <c r="IG110" s="18"/>
      <c r="IH110" s="18"/>
      <c r="II110" s="18"/>
      <c r="IJ110" s="18"/>
      <c r="IK110" s="18"/>
      <c r="IL110" s="18"/>
      <c r="IM110" s="18"/>
      <c r="IN110" s="18"/>
      <c r="IO110" s="18"/>
      <c r="IP110" s="18"/>
      <c r="IQ110" s="18"/>
      <c r="IR110" s="18"/>
      <c r="IS110" s="18"/>
      <c r="IT110" s="18"/>
      <c r="IU110" s="18"/>
      <c r="IV110" s="18"/>
      <c r="IW110" s="18"/>
      <c r="IX110" s="18"/>
      <c r="IY110" s="18"/>
      <c r="IZ110" s="18"/>
      <c r="JA110" s="18"/>
      <c r="JB110" s="18"/>
      <c r="JC110" s="18"/>
      <c r="JD110" s="18"/>
      <c r="JE110" s="18"/>
      <c r="JF110" s="18"/>
      <c r="JG110" s="18"/>
      <c r="JH110" s="18"/>
      <c r="JI110" s="18"/>
      <c r="JJ110" s="18"/>
      <c r="JK110" s="18"/>
      <c r="JL110" s="18"/>
      <c r="JM110" s="18"/>
      <c r="JN110" s="18"/>
      <c r="JO110" s="18"/>
      <c r="JP110" s="18"/>
      <c r="JQ110" s="18"/>
      <c r="JR110" s="18"/>
      <c r="JS110" s="18"/>
      <c r="JT110" s="18"/>
      <c r="JU110" s="18"/>
      <c r="JV110" s="18"/>
      <c r="JW110" s="18"/>
      <c r="JX110" s="18"/>
      <c r="JY110" s="18"/>
      <c r="JZ110" s="18"/>
      <c r="KA110" s="18"/>
      <c r="KB110" s="18"/>
      <c r="KC110" s="18"/>
      <c r="KD110" s="18"/>
      <c r="KE110" s="18"/>
      <c r="KF110" s="18"/>
      <c r="KG110" s="18"/>
      <c r="KH110" s="18"/>
      <c r="KI110" s="18"/>
      <c r="KJ110" s="18"/>
      <c r="KK110" s="18"/>
      <c r="KL110" s="18"/>
      <c r="KM110" s="18"/>
      <c r="KN110" s="18"/>
      <c r="KO110" s="18"/>
      <c r="KP110" s="18"/>
      <c r="KQ110" s="18"/>
      <c r="KR110" s="18"/>
      <c r="KS110" s="18"/>
      <c r="KT110" s="18"/>
      <c r="KU110" s="18"/>
      <c r="KV110" s="18"/>
      <c r="KW110" s="18"/>
      <c r="KX110" s="18"/>
      <c r="KY110" s="18"/>
      <c r="KZ110" s="18"/>
      <c r="LA110" s="18"/>
      <c r="LB110" s="18"/>
      <c r="LC110" s="18"/>
      <c r="LD110" s="18"/>
      <c r="LE110" s="18"/>
      <c r="LF110" s="18"/>
      <c r="LG110" s="18"/>
      <c r="LH110" s="18"/>
      <c r="LI110" s="18"/>
      <c r="LJ110" s="18"/>
      <c r="LK110" s="18"/>
      <c r="LL110" s="18"/>
      <c r="LM110" s="18"/>
      <c r="LN110" s="18"/>
      <c r="LO110" s="18"/>
      <c r="LP110" s="18"/>
      <c r="LQ110" s="18"/>
      <c r="LR110" s="18"/>
      <c r="LS110" s="18"/>
      <c r="LT110" s="18"/>
      <c r="LU110" s="18"/>
      <c r="LV110" s="18"/>
      <c r="LW110" s="18"/>
      <c r="LX110" s="18"/>
      <c r="LY110" s="18"/>
      <c r="LZ110" s="18"/>
      <c r="MA110" s="18"/>
      <c r="MB110" s="18"/>
      <c r="MC110" s="18"/>
      <c r="MD110" s="18"/>
      <c r="ME110" s="18"/>
      <c r="MF110" s="18"/>
      <c r="MG110" s="18"/>
      <c r="MH110" s="18"/>
      <c r="MI110" s="18"/>
      <c r="MJ110" s="18"/>
      <c r="MK110" s="18"/>
      <c r="ML110" s="18"/>
      <c r="MM110" s="18"/>
      <c r="MN110" s="18"/>
      <c r="MO110" s="18"/>
      <c r="MP110" s="18"/>
      <c r="MQ110" s="18"/>
      <c r="MR110" s="18"/>
      <c r="MS110" s="18"/>
      <c r="MT110" s="18"/>
      <c r="MU110" s="18"/>
      <c r="MV110" s="18"/>
      <c r="MW110" s="18"/>
      <c r="MX110" s="18"/>
      <c r="MY110" s="18"/>
      <c r="MZ110" s="18"/>
      <c r="NA110" s="18"/>
      <c r="NB110" s="18"/>
      <c r="NC110" s="18"/>
      <c r="ND110" s="18"/>
      <c r="NE110" s="18"/>
      <c r="NF110" s="18"/>
      <c r="NG110" s="18"/>
      <c r="NH110" s="18"/>
      <c r="NI110" s="18"/>
      <c r="NJ110" s="18"/>
      <c r="NK110" s="18"/>
      <c r="NL110" s="18"/>
      <c r="NM110" s="18"/>
      <c r="NN110" s="18"/>
      <c r="NO110" s="18"/>
      <c r="NP110" s="18"/>
      <c r="NQ110" s="18"/>
      <c r="NR110" s="18"/>
      <c r="NS110" s="18"/>
      <c r="NT110" s="18"/>
      <c r="NU110" s="18"/>
      <c r="NV110" s="18"/>
      <c r="NW110" s="18"/>
      <c r="NX110" s="18"/>
      <c r="NY110" s="18"/>
      <c r="NZ110" s="18"/>
      <c r="OA110" s="18"/>
      <c r="OB110" s="18"/>
      <c r="OC110" s="18"/>
      <c r="OD110" s="18"/>
      <c r="OE110" s="18"/>
      <c r="OF110" s="18"/>
      <c r="OG110" s="18"/>
      <c r="OH110" s="18"/>
      <c r="OI110" s="18"/>
      <c r="OJ110" s="18"/>
      <c r="OK110" s="18"/>
      <c r="OL110" s="18"/>
      <c r="OM110" s="18"/>
      <c r="ON110" s="18"/>
      <c r="OO110" s="18"/>
      <c r="OP110" s="18"/>
      <c r="OQ110" s="18"/>
      <c r="OR110" s="18"/>
      <c r="OS110" s="18"/>
      <c r="OT110" s="18"/>
      <c r="OU110" s="18"/>
      <c r="OV110" s="18"/>
      <c r="OW110" s="18"/>
      <c r="OX110" s="18"/>
      <c r="OY110" s="18"/>
      <c r="OZ110" s="18"/>
      <c r="PA110" s="18"/>
      <c r="PB110" s="18"/>
      <c r="PC110" s="18"/>
      <c r="PD110" s="18"/>
      <c r="PE110" s="18"/>
      <c r="PF110" s="18"/>
      <c r="PG110" s="18"/>
      <c r="PH110" s="18"/>
      <c r="PI110" s="18"/>
      <c r="PJ110" s="18"/>
      <c r="PK110" s="18"/>
      <c r="PL110" s="18"/>
      <c r="PM110" s="18"/>
      <c r="PN110" s="18"/>
      <c r="PO110" s="18"/>
      <c r="PP110" s="18"/>
      <c r="PQ110" s="18"/>
      <c r="PR110" s="18"/>
      <c r="PS110" s="18"/>
      <c r="PT110" s="18"/>
      <c r="PU110" s="18"/>
      <c r="PV110" s="18"/>
      <c r="PW110" s="18"/>
      <c r="PX110" s="18"/>
      <c r="PY110" s="18"/>
      <c r="PZ110" s="18"/>
      <c r="QA110" s="18"/>
      <c r="QB110" s="18"/>
      <c r="QC110" s="18"/>
      <c r="QD110" s="18"/>
      <c r="QE110" s="18"/>
      <c r="QF110" s="18"/>
      <c r="QG110" s="18"/>
      <c r="QH110" s="18"/>
      <c r="QI110" s="18"/>
      <c r="QJ110" s="18"/>
      <c r="QK110" s="18"/>
      <c r="QL110" s="18"/>
      <c r="QM110" s="18"/>
      <c r="QN110" s="18"/>
      <c r="QO110" s="18"/>
      <c r="QP110" s="18"/>
      <c r="QQ110" s="18"/>
      <c r="QR110" s="18"/>
      <c r="QS110" s="18"/>
      <c r="QT110" s="18"/>
      <c r="QU110" s="18"/>
      <c r="QV110" s="18"/>
      <c r="QW110" s="18"/>
      <c r="QX110" s="18"/>
      <c r="QY110" s="18"/>
      <c r="QZ110" s="18"/>
      <c r="RA110" s="18"/>
      <c r="RB110" s="18"/>
      <c r="RC110" s="18"/>
      <c r="RD110" s="18"/>
      <c r="RE110" s="18"/>
      <c r="RF110" s="18"/>
      <c r="RG110" s="18"/>
      <c r="RH110" s="18"/>
      <c r="RI110" s="18"/>
      <c r="RJ110" s="18"/>
      <c r="RK110" s="18"/>
      <c r="RL110" s="18"/>
      <c r="RM110" s="18"/>
      <c r="RN110" s="18"/>
      <c r="RO110" s="18"/>
      <c r="RP110" s="18"/>
      <c r="RQ110" s="18"/>
      <c r="RR110" s="18"/>
      <c r="RS110" s="18"/>
      <c r="RT110" s="18"/>
      <c r="RU110" s="18"/>
      <c r="RV110" s="18"/>
      <c r="RW110" s="18"/>
      <c r="RX110" s="18"/>
      <c r="RY110" s="18"/>
      <c r="RZ110" s="18"/>
      <c r="SA110" s="18"/>
      <c r="SB110" s="18"/>
      <c r="SC110" s="18"/>
      <c r="SD110" s="18"/>
      <c r="SE110" s="18"/>
      <c r="SF110" s="18"/>
      <c r="SG110" s="18"/>
      <c r="SH110" s="18"/>
      <c r="SI110" s="18"/>
      <c r="SJ110" s="18"/>
      <c r="SK110" s="18"/>
      <c r="SL110" s="18"/>
      <c r="SM110" s="18"/>
      <c r="SN110" s="18"/>
      <c r="SO110" s="18"/>
      <c r="SP110" s="18"/>
      <c r="SQ110" s="18"/>
      <c r="SR110" s="18"/>
      <c r="SS110" s="18"/>
      <c r="ST110" s="18"/>
      <c r="SU110" s="18"/>
      <c r="SV110" s="18"/>
      <c r="SW110" s="18"/>
      <c r="SX110" s="18"/>
      <c r="SY110" s="18"/>
      <c r="SZ110" s="18"/>
      <c r="TA110" s="18"/>
      <c r="TB110" s="18"/>
      <c r="TC110" s="18"/>
      <c r="TD110" s="18"/>
      <c r="TE110" s="18"/>
      <c r="TF110" s="18"/>
      <c r="TG110" s="18"/>
      <c r="TH110" s="18"/>
      <c r="TI110" s="18"/>
      <c r="TJ110" s="18"/>
      <c r="TK110" s="18"/>
      <c r="TL110" s="18"/>
      <c r="TM110" s="18"/>
      <c r="TN110" s="18"/>
      <c r="TO110" s="18"/>
      <c r="TP110" s="18"/>
      <c r="TQ110" s="18"/>
      <c r="TR110" s="18"/>
      <c r="TS110" s="18"/>
      <c r="TT110" s="18"/>
      <c r="TU110" s="18"/>
      <c r="TV110" s="18"/>
      <c r="TW110" s="18"/>
      <c r="TX110" s="18"/>
      <c r="TY110" s="18"/>
      <c r="TZ110" s="18"/>
      <c r="UA110" s="18"/>
      <c r="UB110" s="18"/>
      <c r="UC110" s="18"/>
      <c r="UD110" s="18"/>
      <c r="UE110" s="18"/>
      <c r="UF110" s="18"/>
      <c r="UG110" s="18"/>
      <c r="UH110" s="18"/>
      <c r="UI110" s="18"/>
      <c r="UJ110" s="18"/>
      <c r="UK110" s="18"/>
      <c r="UL110" s="18"/>
      <c r="UM110" s="18"/>
      <c r="UN110" s="18"/>
      <c r="UO110" s="18"/>
      <c r="UP110" s="18"/>
      <c r="UQ110" s="18"/>
      <c r="UR110" s="18"/>
      <c r="US110" s="18"/>
      <c r="UT110" s="18"/>
      <c r="UU110" s="18"/>
      <c r="UV110" s="18"/>
      <c r="UW110" s="18"/>
      <c r="UX110" s="18"/>
      <c r="UY110" s="18"/>
      <c r="UZ110" s="18"/>
      <c r="VA110" s="18"/>
      <c r="VB110" s="18"/>
      <c r="VC110" s="18"/>
      <c r="VD110" s="18"/>
      <c r="VE110" s="18"/>
      <c r="VF110" s="18"/>
      <c r="VG110" s="18"/>
      <c r="VH110" s="18"/>
      <c r="VI110" s="18"/>
      <c r="VJ110" s="18"/>
      <c r="VK110" s="18"/>
      <c r="VL110" s="18"/>
      <c r="VM110" s="18"/>
      <c r="VN110" s="18"/>
      <c r="VO110" s="18"/>
      <c r="VP110" s="18"/>
      <c r="VQ110" s="18"/>
      <c r="VR110" s="18"/>
      <c r="VS110" s="18"/>
      <c r="VT110" s="18"/>
      <c r="VU110" s="18"/>
      <c r="VV110" s="18"/>
      <c r="VW110" s="18"/>
      <c r="VX110" s="18"/>
      <c r="VY110" s="18"/>
      <c r="VZ110" s="18"/>
      <c r="WA110" s="18"/>
      <c r="WB110" s="18"/>
      <c r="WC110" s="18"/>
      <c r="WD110" s="18"/>
      <c r="WE110" s="18"/>
      <c r="WF110" s="18"/>
      <c r="WG110" s="18"/>
      <c r="WH110" s="18"/>
      <c r="WI110" s="18"/>
      <c r="WJ110" s="18"/>
      <c r="WK110" s="18"/>
      <c r="WL110" s="18"/>
      <c r="WM110" s="18"/>
      <c r="WN110" s="18"/>
      <c r="WO110" s="18"/>
      <c r="WP110" s="18"/>
      <c r="WQ110" s="18"/>
      <c r="WR110" s="18"/>
      <c r="WS110" s="18"/>
      <c r="WT110" s="18"/>
      <c r="WU110" s="18"/>
      <c r="WV110" s="18"/>
      <c r="WW110" s="18"/>
      <c r="WX110" s="18"/>
      <c r="WY110" s="18"/>
      <c r="WZ110" s="18"/>
      <c r="XA110" s="18"/>
      <c r="XB110" s="18"/>
      <c r="XC110" s="18"/>
      <c r="XD110" s="18"/>
      <c r="XE110" s="18"/>
      <c r="XF110" s="18"/>
      <c r="XG110" s="18"/>
      <c r="XH110" s="18"/>
      <c r="XI110" s="18"/>
      <c r="XJ110" s="18"/>
      <c r="XK110" s="18"/>
      <c r="XL110" s="18"/>
      <c r="XM110" s="18"/>
      <c r="XN110" s="18"/>
      <c r="XO110" s="18"/>
      <c r="XP110" s="18"/>
      <c r="XQ110" s="18"/>
      <c r="XR110" s="18"/>
      <c r="XS110" s="18"/>
      <c r="XT110" s="18"/>
      <c r="XU110" s="18"/>
      <c r="XV110" s="18"/>
      <c r="XW110" s="18"/>
      <c r="XX110" s="18"/>
      <c r="XY110" s="18"/>
      <c r="XZ110" s="18"/>
      <c r="YA110" s="18"/>
      <c r="YB110" s="18"/>
      <c r="YC110" s="18"/>
      <c r="YD110" s="18"/>
      <c r="YE110" s="18"/>
      <c r="YF110" s="18"/>
      <c r="YG110" s="18"/>
      <c r="YH110" s="18"/>
      <c r="YI110" s="18"/>
      <c r="YJ110" s="18"/>
      <c r="YK110" s="18"/>
      <c r="YL110" s="18"/>
      <c r="YM110" s="18"/>
      <c r="YN110" s="18"/>
      <c r="YO110" s="18"/>
      <c r="YP110" s="18"/>
      <c r="YQ110" s="18"/>
      <c r="YR110" s="18"/>
      <c r="YS110" s="18"/>
      <c r="YT110" s="18"/>
      <c r="YU110" s="18"/>
      <c r="YV110" s="18"/>
      <c r="YW110" s="18"/>
      <c r="YX110" s="18"/>
      <c r="YY110" s="18"/>
      <c r="YZ110" s="18"/>
      <c r="ZA110" s="18"/>
      <c r="ZB110" s="18"/>
      <c r="ZC110" s="18"/>
      <c r="ZD110" s="18"/>
      <c r="ZE110" s="18"/>
      <c r="ZF110" s="18"/>
      <c r="ZG110" s="18"/>
      <c r="ZH110" s="18"/>
      <c r="ZI110" s="18"/>
      <c r="ZJ110" s="18"/>
      <c r="ZK110" s="18"/>
      <c r="ZL110" s="18"/>
      <c r="ZM110" s="18"/>
      <c r="ZN110" s="18"/>
      <c r="ZO110" s="18"/>
      <c r="ZP110" s="18"/>
      <c r="ZQ110" s="18"/>
      <c r="ZR110" s="18"/>
      <c r="ZS110" s="18"/>
      <c r="ZT110" s="18"/>
      <c r="ZU110" s="18"/>
      <c r="ZV110" s="18"/>
      <c r="ZW110" s="18"/>
      <c r="ZX110" s="18"/>
      <c r="ZY110" s="18"/>
      <c r="ZZ110" s="18"/>
      <c r="AAA110" s="18"/>
      <c r="AAB110" s="18"/>
      <c r="AAC110" s="18"/>
      <c r="AAD110" s="18"/>
      <c r="AAE110" s="18"/>
      <c r="AAF110" s="18"/>
      <c r="AAG110" s="18"/>
      <c r="AAH110" s="18"/>
      <c r="AAI110" s="18"/>
      <c r="AAJ110" s="18"/>
      <c r="AAK110" s="18"/>
      <c r="AAL110" s="18"/>
      <c r="AAM110" s="18"/>
      <c r="AAN110" s="18"/>
      <c r="AAO110" s="18"/>
      <c r="AAP110" s="18"/>
      <c r="AAQ110" s="18"/>
      <c r="AAR110" s="18"/>
      <c r="AAS110" s="18"/>
      <c r="AAT110" s="18"/>
      <c r="AAU110" s="18"/>
      <c r="AAV110" s="18"/>
      <c r="AAW110" s="18"/>
      <c r="AAX110" s="18"/>
      <c r="AAY110" s="18"/>
      <c r="AAZ110" s="18"/>
      <c r="ABA110" s="18"/>
      <c r="ABB110" s="18"/>
      <c r="ABC110" s="18"/>
      <c r="ABD110" s="18"/>
      <c r="ABE110" s="18"/>
      <c r="ABF110" s="18"/>
      <c r="ABG110" s="18"/>
      <c r="ABH110" s="18"/>
      <c r="ABI110" s="18"/>
      <c r="ABJ110" s="18"/>
      <c r="ABK110" s="18"/>
      <c r="ABL110" s="18"/>
      <c r="ABM110" s="18"/>
      <c r="ABN110" s="18"/>
      <c r="ABO110" s="18"/>
      <c r="ABP110" s="18"/>
      <c r="ABQ110" s="18"/>
      <c r="ABR110" s="18"/>
      <c r="ABS110" s="18"/>
      <c r="ABT110" s="18"/>
      <c r="ABU110" s="18"/>
      <c r="ABV110" s="18"/>
      <c r="ABW110" s="18"/>
      <c r="ABX110" s="18"/>
      <c r="ABY110" s="18"/>
      <c r="ABZ110" s="18"/>
      <c r="ACA110" s="18"/>
      <c r="ACB110" s="18"/>
      <c r="ACC110" s="18"/>
      <c r="ACD110" s="18"/>
      <c r="ACE110" s="18"/>
      <c r="ACF110" s="18"/>
      <c r="ACG110" s="18"/>
      <c r="ACH110" s="18"/>
      <c r="ACI110" s="18"/>
      <c r="ACJ110" s="18"/>
      <c r="ACK110" s="18"/>
      <c r="ACL110" s="18"/>
      <c r="ACM110" s="18"/>
      <c r="ACN110" s="18"/>
      <c r="ACO110" s="18"/>
      <c r="ACP110" s="18"/>
      <c r="ACQ110" s="18"/>
      <c r="ACR110" s="18"/>
      <c r="ACS110" s="18"/>
      <c r="ACT110" s="18"/>
      <c r="ACU110" s="18"/>
      <c r="ACV110" s="18"/>
      <c r="ACW110" s="18"/>
      <c r="ACX110" s="18"/>
      <c r="ACY110" s="18"/>
      <c r="ACZ110" s="18"/>
      <c r="ADA110" s="18"/>
      <c r="ADB110" s="18"/>
      <c r="ADC110" s="18"/>
      <c r="ADD110" s="18"/>
      <c r="ADE110" s="18"/>
      <c r="ADF110" s="18"/>
      <c r="ADG110" s="18"/>
      <c r="ADH110" s="18"/>
      <c r="ADI110" s="18"/>
      <c r="ADJ110" s="18"/>
      <c r="ADK110" s="18"/>
      <c r="ADL110" s="18"/>
      <c r="ADM110" s="18"/>
      <c r="ADN110" s="18"/>
      <c r="ADO110" s="18"/>
      <c r="ADP110" s="18"/>
      <c r="ADQ110" s="18"/>
      <c r="ADR110" s="18"/>
      <c r="ADS110" s="18"/>
      <c r="ADT110" s="18"/>
      <c r="ADU110" s="18"/>
      <c r="ADV110" s="18"/>
      <c r="ADW110" s="18"/>
      <c r="ADX110" s="18"/>
      <c r="ADY110" s="18"/>
      <c r="ADZ110" s="18"/>
      <c r="AEA110" s="18"/>
      <c r="AEB110" s="18"/>
      <c r="AEC110" s="18"/>
      <c r="AED110" s="18"/>
      <c r="AEE110" s="18"/>
      <c r="AEF110" s="18"/>
      <c r="AEG110" s="18"/>
      <c r="AEH110" s="18"/>
      <c r="AEI110" s="18"/>
      <c r="AEJ110" s="18"/>
      <c r="AEK110" s="18"/>
      <c r="AEL110" s="18"/>
      <c r="AEM110" s="18"/>
      <c r="AEN110" s="18"/>
      <c r="AEO110" s="18"/>
      <c r="AEP110" s="18"/>
      <c r="AEQ110" s="18"/>
      <c r="AER110" s="18"/>
      <c r="AES110" s="18"/>
      <c r="AET110" s="18"/>
      <c r="AEU110" s="18"/>
      <c r="AEV110" s="18"/>
      <c r="AEW110" s="18"/>
      <c r="AEX110" s="18"/>
      <c r="AEY110" s="18"/>
      <c r="AEZ110" s="18"/>
      <c r="AFA110" s="18"/>
      <c r="AFB110" s="18"/>
      <c r="AFC110" s="18"/>
      <c r="AFD110" s="18"/>
      <c r="AFE110" s="18"/>
      <c r="AFF110" s="18"/>
      <c r="AFG110" s="18"/>
      <c r="AFH110" s="18"/>
      <c r="AFI110" s="18"/>
      <c r="AFJ110" s="18"/>
      <c r="AFK110" s="18"/>
      <c r="AFL110" s="18"/>
      <c r="AFM110" s="18"/>
      <c r="AFN110" s="18"/>
      <c r="AFO110" s="18"/>
      <c r="AFP110" s="18"/>
      <c r="AFQ110" s="18"/>
      <c r="AFR110" s="18"/>
      <c r="AFS110" s="18"/>
      <c r="AFT110" s="18"/>
      <c r="AFU110" s="18"/>
      <c r="AFV110" s="18"/>
      <c r="AFW110" s="18"/>
      <c r="AFX110" s="18"/>
      <c r="AFY110" s="18"/>
      <c r="AFZ110" s="18"/>
      <c r="AGA110" s="18"/>
      <c r="AGB110" s="18"/>
      <c r="AGC110" s="18"/>
      <c r="AGD110" s="18"/>
      <c r="AGE110" s="18"/>
      <c r="AGF110" s="18"/>
      <c r="AGG110" s="18"/>
      <c r="AGH110" s="18"/>
      <c r="AGI110" s="18"/>
      <c r="AGJ110" s="18"/>
      <c r="AGK110" s="18"/>
      <c r="AGL110" s="18"/>
      <c r="AGM110" s="18"/>
      <c r="AGN110" s="18"/>
      <c r="AGO110" s="18"/>
      <c r="AGP110" s="18"/>
      <c r="AGQ110" s="18"/>
      <c r="AGR110" s="18"/>
      <c r="AGS110" s="18"/>
      <c r="AGT110" s="18"/>
      <c r="AGU110" s="18"/>
      <c r="AGV110" s="18"/>
      <c r="AGW110" s="18"/>
      <c r="AGX110" s="18"/>
      <c r="AGY110" s="18"/>
      <c r="AGZ110" s="18"/>
      <c r="AHA110" s="18"/>
      <c r="AHB110" s="18"/>
      <c r="AHC110" s="18"/>
      <c r="AHD110" s="18"/>
      <c r="AHE110" s="18"/>
      <c r="AHF110" s="18"/>
      <c r="AHG110" s="18"/>
      <c r="AHH110" s="18"/>
      <c r="AHI110" s="18"/>
      <c r="AHJ110" s="18"/>
      <c r="AHK110" s="18"/>
      <c r="AHL110" s="18"/>
      <c r="AHM110" s="18"/>
      <c r="AHN110" s="18"/>
      <c r="AHO110" s="18"/>
      <c r="AHP110" s="18"/>
      <c r="AHQ110" s="18"/>
      <c r="AHR110" s="18"/>
      <c r="AHS110" s="18"/>
      <c r="AHT110" s="18"/>
      <c r="AHU110" s="18"/>
      <c r="AHV110" s="18"/>
      <c r="AHW110" s="18"/>
      <c r="AHX110" s="18"/>
      <c r="AHY110" s="18"/>
      <c r="AHZ110" s="18"/>
      <c r="AIA110" s="18"/>
      <c r="AIB110" s="18"/>
      <c r="AIC110" s="18"/>
      <c r="AID110" s="18"/>
      <c r="AIE110" s="18"/>
      <c r="AIF110" s="18"/>
      <c r="AIG110" s="18"/>
      <c r="AIH110" s="18"/>
      <c r="AII110" s="18"/>
      <c r="AIJ110" s="18"/>
      <c r="AIK110" s="18"/>
      <c r="AIL110" s="18"/>
      <c r="AIM110" s="18"/>
      <c r="AIN110" s="18"/>
      <c r="AIO110" s="18"/>
      <c r="AIP110" s="18"/>
      <c r="AIQ110" s="18"/>
      <c r="AIR110" s="18"/>
      <c r="AIS110" s="18"/>
      <c r="AIT110" s="18"/>
      <c r="AIU110" s="18"/>
      <c r="AIV110" s="18"/>
      <c r="AIW110" s="18"/>
      <c r="AIX110" s="18"/>
      <c r="AIY110" s="18"/>
      <c r="AIZ110" s="18"/>
      <c r="AJA110" s="18"/>
      <c r="AJB110" s="18"/>
      <c r="AJC110" s="18"/>
      <c r="AJD110" s="18"/>
      <c r="AJE110" s="18"/>
      <c r="AJF110" s="18"/>
      <c r="AJG110" s="18"/>
      <c r="AJH110" s="18"/>
      <c r="AJI110" s="18"/>
      <c r="AJJ110" s="18"/>
      <c r="AJK110" s="18"/>
      <c r="AJL110" s="18"/>
      <c r="AJM110" s="18"/>
      <c r="AJN110" s="18"/>
      <c r="AJO110" s="18"/>
      <c r="AJP110" s="18"/>
      <c r="AJQ110" s="18"/>
      <c r="AJR110" s="18"/>
      <c r="AJS110" s="18"/>
      <c r="AJT110" s="18"/>
      <c r="AJU110" s="18"/>
      <c r="AJV110" s="18"/>
      <c r="AJW110" s="18"/>
      <c r="AJX110" s="18"/>
      <c r="AJY110" s="18"/>
      <c r="AJZ110" s="18"/>
      <c r="AKA110" s="18"/>
      <c r="AKB110" s="18"/>
      <c r="AKC110" s="18"/>
      <c r="AKD110" s="18"/>
      <c r="AKE110" s="18"/>
      <c r="AKF110" s="18"/>
      <c r="AKG110" s="18"/>
      <c r="AKH110" s="18"/>
      <c r="AKI110" s="18"/>
      <c r="AKJ110" s="18"/>
      <c r="AKK110" s="18"/>
      <c r="AKL110" s="18"/>
      <c r="AKM110" s="18"/>
      <c r="AKN110" s="18"/>
      <c r="AKO110" s="18"/>
      <c r="AKP110" s="18"/>
      <c r="AKQ110" s="18"/>
      <c r="AKR110" s="18"/>
      <c r="AKS110" s="18"/>
      <c r="AKT110" s="18"/>
      <c r="AKU110" s="18"/>
      <c r="AKV110" s="18"/>
      <c r="AKW110" s="18"/>
      <c r="AKX110" s="18"/>
      <c r="AKY110" s="18"/>
      <c r="AKZ110" s="18"/>
      <c r="ALA110" s="18"/>
      <c r="ALB110" s="18"/>
      <c r="ALC110" s="18"/>
      <c r="ALD110" s="18"/>
      <c r="ALE110" s="18"/>
      <c r="ALF110" s="18"/>
      <c r="ALG110" s="18"/>
      <c r="ALH110" s="18"/>
      <c r="ALI110" s="18"/>
      <c r="ALJ110" s="18"/>
      <c r="ALK110" s="18"/>
      <c r="ALL110" s="18"/>
      <c r="ALM110" s="18"/>
      <c r="ALN110" s="18"/>
      <c r="ALO110" s="18"/>
      <c r="ALP110" s="18"/>
      <c r="ALQ110" s="18"/>
      <c r="ALR110" s="18"/>
      <c r="ALS110" s="18"/>
      <c r="ALT110" s="18"/>
      <c r="ALU110" s="18"/>
      <c r="ALV110" s="18"/>
      <c r="ALW110" s="18"/>
      <c r="ALX110" s="18"/>
      <c r="ALY110" s="18"/>
      <c r="ALZ110" s="18"/>
      <c r="AMA110" s="18"/>
      <c r="AMB110" s="18"/>
      <c r="AMC110" s="18"/>
      <c r="AMD110" s="18"/>
      <c r="AME110" s="18"/>
      <c r="AMF110" s="18"/>
      <c r="AMG110" s="18"/>
      <c r="AMH110" s="18"/>
    </row>
    <row r="111" spans="1:1022" s="23" customFormat="1" x14ac:dyDescent="0.3">
      <c r="A111" s="33">
        <v>207</v>
      </c>
      <c r="B111" s="19"/>
      <c r="C111" s="19"/>
      <c r="D111" s="34"/>
      <c r="E111" s="34"/>
      <c r="F111" s="19"/>
      <c r="G111" s="19"/>
      <c r="H111" s="18"/>
      <c r="I111" s="31"/>
      <c r="J111" s="31"/>
      <c r="K111" s="31"/>
      <c r="L111" s="31"/>
      <c r="M111" s="32"/>
      <c r="N111" s="32"/>
      <c r="O111" s="18"/>
      <c r="P111" s="36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18"/>
      <c r="BK111" s="18"/>
      <c r="BL111" s="18"/>
      <c r="BM111" s="18"/>
      <c r="BN111" s="18"/>
      <c r="BO111" s="18"/>
      <c r="BP111" s="18"/>
      <c r="BQ111" s="18"/>
      <c r="BR111" s="18"/>
      <c r="BS111" s="18"/>
      <c r="BT111" s="18"/>
      <c r="BU111" s="18"/>
      <c r="BV111" s="18"/>
      <c r="BW111" s="18"/>
      <c r="BX111" s="18"/>
      <c r="BY111" s="18"/>
      <c r="BZ111" s="18"/>
      <c r="CA111" s="18"/>
      <c r="CB111" s="18"/>
      <c r="CC111" s="18"/>
      <c r="CD111" s="18"/>
      <c r="CE111" s="18"/>
      <c r="CF111" s="18"/>
      <c r="CG111" s="18"/>
      <c r="CH111" s="18"/>
      <c r="CI111" s="18"/>
      <c r="CJ111" s="18"/>
      <c r="CK111" s="18"/>
      <c r="CL111" s="18"/>
      <c r="CM111" s="18"/>
      <c r="CN111" s="18"/>
      <c r="CO111" s="18"/>
      <c r="CP111" s="18"/>
      <c r="CQ111" s="18"/>
      <c r="CR111" s="18"/>
      <c r="CS111" s="18"/>
      <c r="CT111" s="18"/>
      <c r="CU111" s="18"/>
      <c r="CV111" s="18"/>
      <c r="CW111" s="18"/>
      <c r="CX111" s="18"/>
      <c r="CY111" s="18"/>
      <c r="CZ111" s="18"/>
      <c r="DA111" s="18"/>
      <c r="DB111" s="18"/>
      <c r="DC111" s="18"/>
      <c r="DD111" s="18"/>
      <c r="DE111" s="18"/>
      <c r="DF111" s="18"/>
      <c r="DG111" s="18"/>
      <c r="DH111" s="18"/>
      <c r="DI111" s="18"/>
      <c r="DJ111" s="18"/>
      <c r="DK111" s="18"/>
      <c r="DL111" s="18"/>
      <c r="DM111" s="18"/>
      <c r="DN111" s="18"/>
      <c r="DO111" s="18"/>
      <c r="DP111" s="18"/>
      <c r="DQ111" s="18"/>
      <c r="DR111" s="18"/>
      <c r="DS111" s="18"/>
      <c r="DT111" s="18"/>
      <c r="DU111" s="18"/>
      <c r="DV111" s="18"/>
      <c r="DW111" s="18"/>
      <c r="DX111" s="18"/>
      <c r="DY111" s="18"/>
      <c r="DZ111" s="18"/>
      <c r="EA111" s="18"/>
      <c r="EB111" s="18"/>
      <c r="EC111" s="18"/>
      <c r="ED111" s="18"/>
      <c r="EE111" s="18"/>
      <c r="EF111" s="18"/>
      <c r="EG111" s="18"/>
      <c r="EH111" s="18"/>
      <c r="EI111" s="18"/>
      <c r="EJ111" s="18"/>
      <c r="EK111" s="18"/>
      <c r="EL111" s="18"/>
      <c r="EM111" s="18"/>
      <c r="EN111" s="18"/>
      <c r="EO111" s="18"/>
      <c r="EP111" s="18"/>
      <c r="EQ111" s="18"/>
      <c r="ER111" s="18"/>
      <c r="ES111" s="18"/>
      <c r="ET111" s="18"/>
      <c r="EU111" s="18"/>
      <c r="EV111" s="18"/>
      <c r="EW111" s="18"/>
      <c r="EX111" s="18"/>
      <c r="EY111" s="18"/>
      <c r="EZ111" s="18"/>
      <c r="FA111" s="18"/>
      <c r="FB111" s="18"/>
      <c r="FC111" s="18"/>
      <c r="FD111" s="18"/>
      <c r="FE111" s="18"/>
      <c r="FF111" s="18"/>
      <c r="FG111" s="18"/>
      <c r="FH111" s="18"/>
      <c r="FI111" s="18"/>
      <c r="FJ111" s="18"/>
      <c r="FK111" s="18"/>
      <c r="FL111" s="18"/>
      <c r="FM111" s="18"/>
      <c r="FN111" s="18"/>
      <c r="FO111" s="18"/>
      <c r="FP111" s="18"/>
      <c r="FQ111" s="18"/>
      <c r="FR111" s="18"/>
      <c r="FS111" s="18"/>
      <c r="FT111" s="18"/>
      <c r="FU111" s="18"/>
      <c r="FV111" s="18"/>
      <c r="FW111" s="18"/>
      <c r="FX111" s="18"/>
      <c r="FY111" s="18"/>
      <c r="FZ111" s="18"/>
      <c r="GA111" s="18"/>
      <c r="GB111" s="18"/>
      <c r="GC111" s="18"/>
      <c r="GD111" s="18"/>
      <c r="GE111" s="18"/>
      <c r="GF111" s="18"/>
      <c r="GG111" s="18"/>
      <c r="GH111" s="18"/>
      <c r="GI111" s="18"/>
      <c r="GJ111" s="18"/>
      <c r="GK111" s="18"/>
      <c r="GL111" s="18"/>
      <c r="GM111" s="18"/>
      <c r="GN111" s="18"/>
      <c r="GO111" s="18"/>
      <c r="GP111" s="18"/>
      <c r="GQ111" s="18"/>
      <c r="GR111" s="18"/>
      <c r="GS111" s="18"/>
      <c r="GT111" s="18"/>
      <c r="GU111" s="18"/>
      <c r="GV111" s="18"/>
      <c r="GW111" s="18"/>
      <c r="GX111" s="18"/>
      <c r="GY111" s="18"/>
      <c r="GZ111" s="18"/>
      <c r="HA111" s="18"/>
      <c r="HB111" s="18"/>
      <c r="HC111" s="18"/>
      <c r="HD111" s="18"/>
      <c r="HE111" s="18"/>
      <c r="HF111" s="18"/>
      <c r="HG111" s="18"/>
      <c r="HH111" s="18"/>
      <c r="HI111" s="18"/>
      <c r="HJ111" s="18"/>
      <c r="HK111" s="18"/>
      <c r="HL111" s="18"/>
      <c r="HM111" s="18"/>
      <c r="HN111" s="18"/>
      <c r="HO111" s="18"/>
      <c r="HP111" s="18"/>
      <c r="HQ111" s="18"/>
      <c r="HR111" s="18"/>
      <c r="HS111" s="18"/>
      <c r="HT111" s="18"/>
      <c r="HU111" s="18"/>
      <c r="HV111" s="18"/>
      <c r="HW111" s="18"/>
      <c r="HX111" s="18"/>
      <c r="HY111" s="18"/>
      <c r="HZ111" s="18"/>
      <c r="IA111" s="18"/>
      <c r="IB111" s="18"/>
      <c r="IC111" s="18"/>
      <c r="ID111" s="18"/>
      <c r="IE111" s="18"/>
      <c r="IF111" s="18"/>
      <c r="IG111" s="18"/>
      <c r="IH111" s="18"/>
      <c r="II111" s="18"/>
      <c r="IJ111" s="18"/>
      <c r="IK111" s="18"/>
      <c r="IL111" s="18"/>
      <c r="IM111" s="18"/>
      <c r="IN111" s="18"/>
      <c r="IO111" s="18"/>
      <c r="IP111" s="18"/>
      <c r="IQ111" s="18"/>
      <c r="IR111" s="18"/>
      <c r="IS111" s="18"/>
      <c r="IT111" s="18"/>
      <c r="IU111" s="18"/>
      <c r="IV111" s="18"/>
      <c r="IW111" s="18"/>
      <c r="IX111" s="18"/>
      <c r="IY111" s="18"/>
      <c r="IZ111" s="18"/>
      <c r="JA111" s="18"/>
      <c r="JB111" s="18"/>
      <c r="JC111" s="18"/>
      <c r="JD111" s="18"/>
      <c r="JE111" s="18"/>
      <c r="JF111" s="18"/>
      <c r="JG111" s="18"/>
      <c r="JH111" s="18"/>
      <c r="JI111" s="18"/>
      <c r="JJ111" s="18"/>
      <c r="JK111" s="18"/>
      <c r="JL111" s="18"/>
      <c r="JM111" s="18"/>
      <c r="JN111" s="18"/>
      <c r="JO111" s="18"/>
      <c r="JP111" s="18"/>
      <c r="JQ111" s="18"/>
      <c r="JR111" s="18"/>
      <c r="JS111" s="18"/>
      <c r="JT111" s="18"/>
      <c r="JU111" s="18"/>
      <c r="JV111" s="18"/>
      <c r="JW111" s="18"/>
      <c r="JX111" s="18"/>
      <c r="JY111" s="18"/>
      <c r="JZ111" s="18"/>
      <c r="KA111" s="18"/>
      <c r="KB111" s="18"/>
      <c r="KC111" s="18"/>
      <c r="KD111" s="18"/>
      <c r="KE111" s="18"/>
      <c r="KF111" s="18"/>
      <c r="KG111" s="18"/>
      <c r="KH111" s="18"/>
      <c r="KI111" s="18"/>
      <c r="KJ111" s="18"/>
      <c r="KK111" s="18"/>
      <c r="KL111" s="18"/>
      <c r="KM111" s="18"/>
      <c r="KN111" s="18"/>
      <c r="KO111" s="18"/>
      <c r="KP111" s="18"/>
      <c r="KQ111" s="18"/>
      <c r="KR111" s="18"/>
      <c r="KS111" s="18"/>
      <c r="KT111" s="18"/>
      <c r="KU111" s="18"/>
      <c r="KV111" s="18"/>
      <c r="KW111" s="18"/>
      <c r="KX111" s="18"/>
      <c r="KY111" s="18"/>
      <c r="KZ111" s="18"/>
      <c r="LA111" s="18"/>
      <c r="LB111" s="18"/>
      <c r="LC111" s="18"/>
      <c r="LD111" s="18"/>
      <c r="LE111" s="18"/>
      <c r="LF111" s="18"/>
      <c r="LG111" s="18"/>
      <c r="LH111" s="18"/>
      <c r="LI111" s="18"/>
      <c r="LJ111" s="18"/>
      <c r="LK111" s="18"/>
      <c r="LL111" s="18"/>
      <c r="LM111" s="18"/>
      <c r="LN111" s="18"/>
      <c r="LO111" s="18"/>
      <c r="LP111" s="18"/>
      <c r="LQ111" s="18"/>
      <c r="LR111" s="18"/>
      <c r="LS111" s="18"/>
      <c r="LT111" s="18"/>
      <c r="LU111" s="18"/>
      <c r="LV111" s="18"/>
      <c r="LW111" s="18"/>
      <c r="LX111" s="18"/>
      <c r="LY111" s="18"/>
      <c r="LZ111" s="18"/>
      <c r="MA111" s="18"/>
      <c r="MB111" s="18"/>
      <c r="MC111" s="18"/>
      <c r="MD111" s="18"/>
      <c r="ME111" s="18"/>
      <c r="MF111" s="18"/>
      <c r="MG111" s="18"/>
      <c r="MH111" s="18"/>
      <c r="MI111" s="18"/>
      <c r="MJ111" s="18"/>
      <c r="MK111" s="18"/>
      <c r="ML111" s="18"/>
      <c r="MM111" s="18"/>
      <c r="MN111" s="18"/>
      <c r="MO111" s="18"/>
      <c r="MP111" s="18"/>
      <c r="MQ111" s="18"/>
      <c r="MR111" s="18"/>
      <c r="MS111" s="18"/>
      <c r="MT111" s="18"/>
      <c r="MU111" s="18"/>
      <c r="MV111" s="18"/>
      <c r="MW111" s="18"/>
      <c r="MX111" s="18"/>
      <c r="MY111" s="18"/>
      <c r="MZ111" s="18"/>
      <c r="NA111" s="18"/>
      <c r="NB111" s="18"/>
      <c r="NC111" s="18"/>
      <c r="ND111" s="18"/>
      <c r="NE111" s="18"/>
      <c r="NF111" s="18"/>
      <c r="NG111" s="18"/>
      <c r="NH111" s="18"/>
      <c r="NI111" s="18"/>
      <c r="NJ111" s="18"/>
      <c r="NK111" s="18"/>
      <c r="NL111" s="18"/>
      <c r="NM111" s="18"/>
      <c r="NN111" s="18"/>
      <c r="NO111" s="18"/>
      <c r="NP111" s="18"/>
      <c r="NQ111" s="18"/>
      <c r="NR111" s="18"/>
      <c r="NS111" s="18"/>
      <c r="NT111" s="18"/>
      <c r="NU111" s="18"/>
      <c r="NV111" s="18"/>
      <c r="NW111" s="18"/>
      <c r="NX111" s="18"/>
      <c r="NY111" s="18"/>
      <c r="NZ111" s="18"/>
      <c r="OA111" s="18"/>
      <c r="OB111" s="18"/>
      <c r="OC111" s="18"/>
      <c r="OD111" s="18"/>
      <c r="OE111" s="18"/>
      <c r="OF111" s="18"/>
      <c r="OG111" s="18"/>
      <c r="OH111" s="18"/>
      <c r="OI111" s="18"/>
      <c r="OJ111" s="18"/>
      <c r="OK111" s="18"/>
      <c r="OL111" s="18"/>
      <c r="OM111" s="18"/>
      <c r="ON111" s="18"/>
      <c r="OO111" s="18"/>
      <c r="OP111" s="18"/>
      <c r="OQ111" s="18"/>
      <c r="OR111" s="18"/>
      <c r="OS111" s="18"/>
      <c r="OT111" s="18"/>
      <c r="OU111" s="18"/>
      <c r="OV111" s="18"/>
      <c r="OW111" s="18"/>
      <c r="OX111" s="18"/>
      <c r="OY111" s="18"/>
      <c r="OZ111" s="18"/>
      <c r="PA111" s="18"/>
      <c r="PB111" s="18"/>
      <c r="PC111" s="18"/>
      <c r="PD111" s="18"/>
      <c r="PE111" s="18"/>
      <c r="PF111" s="18"/>
      <c r="PG111" s="18"/>
      <c r="PH111" s="18"/>
      <c r="PI111" s="18"/>
      <c r="PJ111" s="18"/>
      <c r="PK111" s="18"/>
      <c r="PL111" s="18"/>
      <c r="PM111" s="18"/>
      <c r="PN111" s="18"/>
      <c r="PO111" s="18"/>
      <c r="PP111" s="18"/>
      <c r="PQ111" s="18"/>
      <c r="PR111" s="18"/>
      <c r="PS111" s="18"/>
      <c r="PT111" s="18"/>
      <c r="PU111" s="18"/>
      <c r="PV111" s="18"/>
      <c r="PW111" s="18"/>
      <c r="PX111" s="18"/>
      <c r="PY111" s="18"/>
      <c r="PZ111" s="18"/>
      <c r="QA111" s="18"/>
      <c r="QB111" s="18"/>
      <c r="QC111" s="18"/>
      <c r="QD111" s="18"/>
      <c r="QE111" s="18"/>
      <c r="QF111" s="18"/>
      <c r="QG111" s="18"/>
      <c r="QH111" s="18"/>
      <c r="QI111" s="18"/>
      <c r="QJ111" s="18"/>
      <c r="QK111" s="18"/>
      <c r="QL111" s="18"/>
      <c r="QM111" s="18"/>
      <c r="QN111" s="18"/>
      <c r="QO111" s="18"/>
      <c r="QP111" s="18"/>
      <c r="QQ111" s="18"/>
      <c r="QR111" s="18"/>
      <c r="QS111" s="18"/>
      <c r="QT111" s="18"/>
      <c r="QU111" s="18"/>
      <c r="QV111" s="18"/>
      <c r="QW111" s="18"/>
      <c r="QX111" s="18"/>
      <c r="QY111" s="18"/>
      <c r="QZ111" s="18"/>
      <c r="RA111" s="18"/>
      <c r="RB111" s="18"/>
      <c r="RC111" s="18"/>
      <c r="RD111" s="18"/>
      <c r="RE111" s="18"/>
      <c r="RF111" s="18"/>
      <c r="RG111" s="18"/>
      <c r="RH111" s="18"/>
      <c r="RI111" s="18"/>
      <c r="RJ111" s="18"/>
      <c r="RK111" s="18"/>
      <c r="RL111" s="18"/>
      <c r="RM111" s="18"/>
      <c r="RN111" s="18"/>
      <c r="RO111" s="18"/>
      <c r="RP111" s="18"/>
      <c r="RQ111" s="18"/>
      <c r="RR111" s="18"/>
      <c r="RS111" s="18"/>
      <c r="RT111" s="18"/>
      <c r="RU111" s="18"/>
      <c r="RV111" s="18"/>
      <c r="RW111" s="18"/>
      <c r="RX111" s="18"/>
      <c r="RY111" s="18"/>
      <c r="RZ111" s="18"/>
      <c r="SA111" s="18"/>
      <c r="SB111" s="18"/>
      <c r="SC111" s="18"/>
      <c r="SD111" s="18"/>
      <c r="SE111" s="18"/>
      <c r="SF111" s="18"/>
      <c r="SG111" s="18"/>
      <c r="SH111" s="18"/>
      <c r="SI111" s="18"/>
      <c r="SJ111" s="18"/>
      <c r="SK111" s="18"/>
      <c r="SL111" s="18"/>
      <c r="SM111" s="18"/>
      <c r="SN111" s="18"/>
      <c r="SO111" s="18"/>
      <c r="SP111" s="18"/>
      <c r="SQ111" s="18"/>
      <c r="SR111" s="18"/>
      <c r="SS111" s="18"/>
      <c r="ST111" s="18"/>
      <c r="SU111" s="18"/>
      <c r="SV111" s="18"/>
      <c r="SW111" s="18"/>
      <c r="SX111" s="18"/>
      <c r="SY111" s="18"/>
      <c r="SZ111" s="18"/>
      <c r="TA111" s="18"/>
      <c r="TB111" s="18"/>
      <c r="TC111" s="18"/>
      <c r="TD111" s="18"/>
      <c r="TE111" s="18"/>
      <c r="TF111" s="18"/>
      <c r="TG111" s="18"/>
      <c r="TH111" s="18"/>
      <c r="TI111" s="18"/>
      <c r="TJ111" s="18"/>
      <c r="TK111" s="18"/>
      <c r="TL111" s="18"/>
      <c r="TM111" s="18"/>
      <c r="TN111" s="18"/>
      <c r="TO111" s="18"/>
      <c r="TP111" s="18"/>
      <c r="TQ111" s="18"/>
      <c r="TR111" s="18"/>
      <c r="TS111" s="18"/>
      <c r="TT111" s="18"/>
      <c r="TU111" s="18"/>
      <c r="TV111" s="18"/>
      <c r="TW111" s="18"/>
      <c r="TX111" s="18"/>
      <c r="TY111" s="18"/>
      <c r="TZ111" s="18"/>
      <c r="UA111" s="18"/>
      <c r="UB111" s="18"/>
      <c r="UC111" s="18"/>
      <c r="UD111" s="18"/>
      <c r="UE111" s="18"/>
      <c r="UF111" s="18"/>
      <c r="UG111" s="18"/>
      <c r="UH111" s="18"/>
      <c r="UI111" s="18"/>
      <c r="UJ111" s="18"/>
      <c r="UK111" s="18"/>
      <c r="UL111" s="18"/>
      <c r="UM111" s="18"/>
      <c r="UN111" s="18"/>
      <c r="UO111" s="18"/>
      <c r="UP111" s="18"/>
      <c r="UQ111" s="18"/>
      <c r="UR111" s="18"/>
      <c r="US111" s="18"/>
      <c r="UT111" s="18"/>
      <c r="UU111" s="18"/>
      <c r="UV111" s="18"/>
      <c r="UW111" s="18"/>
      <c r="UX111" s="18"/>
      <c r="UY111" s="18"/>
      <c r="UZ111" s="18"/>
      <c r="VA111" s="18"/>
      <c r="VB111" s="18"/>
      <c r="VC111" s="18"/>
      <c r="VD111" s="18"/>
      <c r="VE111" s="18"/>
      <c r="VF111" s="18"/>
      <c r="VG111" s="18"/>
      <c r="VH111" s="18"/>
      <c r="VI111" s="18"/>
      <c r="VJ111" s="18"/>
      <c r="VK111" s="18"/>
      <c r="VL111" s="18"/>
      <c r="VM111" s="18"/>
      <c r="VN111" s="18"/>
      <c r="VO111" s="18"/>
      <c r="VP111" s="18"/>
      <c r="VQ111" s="18"/>
      <c r="VR111" s="18"/>
      <c r="VS111" s="18"/>
      <c r="VT111" s="18"/>
      <c r="VU111" s="18"/>
      <c r="VV111" s="18"/>
      <c r="VW111" s="18"/>
      <c r="VX111" s="18"/>
      <c r="VY111" s="18"/>
      <c r="VZ111" s="18"/>
      <c r="WA111" s="18"/>
      <c r="WB111" s="18"/>
      <c r="WC111" s="18"/>
      <c r="WD111" s="18"/>
      <c r="WE111" s="18"/>
      <c r="WF111" s="18"/>
      <c r="WG111" s="18"/>
      <c r="WH111" s="18"/>
      <c r="WI111" s="18"/>
      <c r="WJ111" s="18"/>
      <c r="WK111" s="18"/>
      <c r="WL111" s="18"/>
      <c r="WM111" s="18"/>
      <c r="WN111" s="18"/>
      <c r="WO111" s="18"/>
      <c r="WP111" s="18"/>
      <c r="WQ111" s="18"/>
      <c r="WR111" s="18"/>
      <c r="WS111" s="18"/>
      <c r="WT111" s="18"/>
      <c r="WU111" s="18"/>
      <c r="WV111" s="18"/>
      <c r="WW111" s="18"/>
      <c r="WX111" s="18"/>
      <c r="WY111" s="18"/>
      <c r="WZ111" s="18"/>
      <c r="XA111" s="18"/>
      <c r="XB111" s="18"/>
      <c r="XC111" s="18"/>
      <c r="XD111" s="18"/>
      <c r="XE111" s="18"/>
      <c r="XF111" s="18"/>
      <c r="XG111" s="18"/>
      <c r="XH111" s="18"/>
      <c r="XI111" s="18"/>
      <c r="XJ111" s="18"/>
      <c r="XK111" s="18"/>
      <c r="XL111" s="18"/>
      <c r="XM111" s="18"/>
      <c r="XN111" s="18"/>
      <c r="XO111" s="18"/>
      <c r="XP111" s="18"/>
      <c r="XQ111" s="18"/>
      <c r="XR111" s="18"/>
      <c r="XS111" s="18"/>
      <c r="XT111" s="18"/>
      <c r="XU111" s="18"/>
      <c r="XV111" s="18"/>
      <c r="XW111" s="18"/>
      <c r="XX111" s="18"/>
      <c r="XY111" s="18"/>
      <c r="XZ111" s="18"/>
      <c r="YA111" s="18"/>
      <c r="YB111" s="18"/>
      <c r="YC111" s="18"/>
      <c r="YD111" s="18"/>
      <c r="YE111" s="18"/>
      <c r="YF111" s="18"/>
      <c r="YG111" s="18"/>
      <c r="YH111" s="18"/>
      <c r="YI111" s="18"/>
      <c r="YJ111" s="18"/>
      <c r="YK111" s="18"/>
      <c r="YL111" s="18"/>
      <c r="YM111" s="18"/>
      <c r="YN111" s="18"/>
      <c r="YO111" s="18"/>
      <c r="YP111" s="18"/>
      <c r="YQ111" s="18"/>
      <c r="YR111" s="18"/>
      <c r="YS111" s="18"/>
      <c r="YT111" s="18"/>
      <c r="YU111" s="18"/>
      <c r="YV111" s="18"/>
      <c r="YW111" s="18"/>
      <c r="YX111" s="18"/>
      <c r="YY111" s="18"/>
      <c r="YZ111" s="18"/>
      <c r="ZA111" s="18"/>
      <c r="ZB111" s="18"/>
      <c r="ZC111" s="18"/>
      <c r="ZD111" s="18"/>
      <c r="ZE111" s="18"/>
      <c r="ZF111" s="18"/>
      <c r="ZG111" s="18"/>
      <c r="ZH111" s="18"/>
      <c r="ZI111" s="18"/>
      <c r="ZJ111" s="18"/>
      <c r="ZK111" s="18"/>
      <c r="ZL111" s="18"/>
      <c r="ZM111" s="18"/>
      <c r="ZN111" s="18"/>
      <c r="ZO111" s="18"/>
      <c r="ZP111" s="18"/>
      <c r="ZQ111" s="18"/>
      <c r="ZR111" s="18"/>
      <c r="ZS111" s="18"/>
      <c r="ZT111" s="18"/>
      <c r="ZU111" s="18"/>
      <c r="ZV111" s="18"/>
      <c r="ZW111" s="18"/>
      <c r="ZX111" s="18"/>
      <c r="ZY111" s="18"/>
      <c r="ZZ111" s="18"/>
      <c r="AAA111" s="18"/>
      <c r="AAB111" s="18"/>
      <c r="AAC111" s="18"/>
      <c r="AAD111" s="18"/>
      <c r="AAE111" s="18"/>
      <c r="AAF111" s="18"/>
      <c r="AAG111" s="18"/>
      <c r="AAH111" s="18"/>
      <c r="AAI111" s="18"/>
      <c r="AAJ111" s="18"/>
      <c r="AAK111" s="18"/>
      <c r="AAL111" s="18"/>
      <c r="AAM111" s="18"/>
      <c r="AAN111" s="18"/>
      <c r="AAO111" s="18"/>
      <c r="AAP111" s="18"/>
      <c r="AAQ111" s="18"/>
      <c r="AAR111" s="18"/>
      <c r="AAS111" s="18"/>
      <c r="AAT111" s="18"/>
      <c r="AAU111" s="18"/>
      <c r="AAV111" s="18"/>
      <c r="AAW111" s="18"/>
      <c r="AAX111" s="18"/>
      <c r="AAY111" s="18"/>
      <c r="AAZ111" s="18"/>
      <c r="ABA111" s="18"/>
      <c r="ABB111" s="18"/>
      <c r="ABC111" s="18"/>
      <c r="ABD111" s="18"/>
      <c r="ABE111" s="18"/>
      <c r="ABF111" s="18"/>
      <c r="ABG111" s="18"/>
      <c r="ABH111" s="18"/>
      <c r="ABI111" s="18"/>
      <c r="ABJ111" s="18"/>
      <c r="ABK111" s="18"/>
      <c r="ABL111" s="18"/>
      <c r="ABM111" s="18"/>
      <c r="ABN111" s="18"/>
      <c r="ABO111" s="18"/>
      <c r="ABP111" s="18"/>
      <c r="ABQ111" s="18"/>
      <c r="ABR111" s="18"/>
      <c r="ABS111" s="18"/>
      <c r="ABT111" s="18"/>
      <c r="ABU111" s="18"/>
      <c r="ABV111" s="18"/>
      <c r="ABW111" s="18"/>
      <c r="ABX111" s="18"/>
      <c r="ABY111" s="18"/>
      <c r="ABZ111" s="18"/>
      <c r="ACA111" s="18"/>
      <c r="ACB111" s="18"/>
      <c r="ACC111" s="18"/>
      <c r="ACD111" s="18"/>
      <c r="ACE111" s="18"/>
      <c r="ACF111" s="18"/>
      <c r="ACG111" s="18"/>
      <c r="ACH111" s="18"/>
      <c r="ACI111" s="18"/>
      <c r="ACJ111" s="18"/>
      <c r="ACK111" s="18"/>
      <c r="ACL111" s="18"/>
      <c r="ACM111" s="18"/>
      <c r="ACN111" s="18"/>
      <c r="ACO111" s="18"/>
      <c r="ACP111" s="18"/>
      <c r="ACQ111" s="18"/>
      <c r="ACR111" s="18"/>
      <c r="ACS111" s="18"/>
      <c r="ACT111" s="18"/>
      <c r="ACU111" s="18"/>
      <c r="ACV111" s="18"/>
      <c r="ACW111" s="18"/>
      <c r="ACX111" s="18"/>
      <c r="ACY111" s="18"/>
      <c r="ACZ111" s="18"/>
      <c r="ADA111" s="18"/>
      <c r="ADB111" s="18"/>
      <c r="ADC111" s="18"/>
      <c r="ADD111" s="18"/>
      <c r="ADE111" s="18"/>
      <c r="ADF111" s="18"/>
      <c r="ADG111" s="18"/>
      <c r="ADH111" s="18"/>
      <c r="ADI111" s="18"/>
      <c r="ADJ111" s="18"/>
      <c r="ADK111" s="18"/>
      <c r="ADL111" s="18"/>
      <c r="ADM111" s="18"/>
      <c r="ADN111" s="18"/>
      <c r="ADO111" s="18"/>
      <c r="ADP111" s="18"/>
      <c r="ADQ111" s="18"/>
      <c r="ADR111" s="18"/>
      <c r="ADS111" s="18"/>
      <c r="ADT111" s="18"/>
      <c r="ADU111" s="18"/>
      <c r="ADV111" s="18"/>
      <c r="ADW111" s="18"/>
      <c r="ADX111" s="18"/>
      <c r="ADY111" s="18"/>
      <c r="ADZ111" s="18"/>
      <c r="AEA111" s="18"/>
      <c r="AEB111" s="18"/>
      <c r="AEC111" s="18"/>
      <c r="AED111" s="18"/>
      <c r="AEE111" s="18"/>
      <c r="AEF111" s="18"/>
      <c r="AEG111" s="18"/>
      <c r="AEH111" s="18"/>
      <c r="AEI111" s="18"/>
      <c r="AEJ111" s="18"/>
      <c r="AEK111" s="18"/>
      <c r="AEL111" s="18"/>
      <c r="AEM111" s="18"/>
      <c r="AEN111" s="18"/>
      <c r="AEO111" s="18"/>
      <c r="AEP111" s="18"/>
      <c r="AEQ111" s="18"/>
      <c r="AER111" s="18"/>
      <c r="AES111" s="18"/>
      <c r="AET111" s="18"/>
      <c r="AEU111" s="18"/>
      <c r="AEV111" s="18"/>
      <c r="AEW111" s="18"/>
      <c r="AEX111" s="18"/>
      <c r="AEY111" s="18"/>
      <c r="AEZ111" s="18"/>
      <c r="AFA111" s="18"/>
      <c r="AFB111" s="18"/>
      <c r="AFC111" s="18"/>
      <c r="AFD111" s="18"/>
      <c r="AFE111" s="18"/>
      <c r="AFF111" s="18"/>
      <c r="AFG111" s="18"/>
      <c r="AFH111" s="18"/>
      <c r="AFI111" s="18"/>
      <c r="AFJ111" s="18"/>
      <c r="AFK111" s="18"/>
      <c r="AFL111" s="18"/>
      <c r="AFM111" s="18"/>
      <c r="AFN111" s="18"/>
      <c r="AFO111" s="18"/>
      <c r="AFP111" s="18"/>
      <c r="AFQ111" s="18"/>
      <c r="AFR111" s="18"/>
      <c r="AFS111" s="18"/>
      <c r="AFT111" s="18"/>
      <c r="AFU111" s="18"/>
      <c r="AFV111" s="18"/>
      <c r="AFW111" s="18"/>
      <c r="AFX111" s="18"/>
      <c r="AFY111" s="18"/>
      <c r="AFZ111" s="18"/>
      <c r="AGA111" s="18"/>
      <c r="AGB111" s="18"/>
      <c r="AGC111" s="18"/>
      <c r="AGD111" s="18"/>
      <c r="AGE111" s="18"/>
      <c r="AGF111" s="18"/>
      <c r="AGG111" s="18"/>
      <c r="AGH111" s="18"/>
      <c r="AGI111" s="18"/>
      <c r="AGJ111" s="18"/>
      <c r="AGK111" s="18"/>
      <c r="AGL111" s="18"/>
      <c r="AGM111" s="18"/>
      <c r="AGN111" s="18"/>
      <c r="AGO111" s="18"/>
      <c r="AGP111" s="18"/>
      <c r="AGQ111" s="18"/>
      <c r="AGR111" s="18"/>
      <c r="AGS111" s="18"/>
      <c r="AGT111" s="18"/>
      <c r="AGU111" s="18"/>
      <c r="AGV111" s="18"/>
      <c r="AGW111" s="18"/>
      <c r="AGX111" s="18"/>
      <c r="AGY111" s="18"/>
      <c r="AGZ111" s="18"/>
      <c r="AHA111" s="18"/>
      <c r="AHB111" s="18"/>
      <c r="AHC111" s="18"/>
      <c r="AHD111" s="18"/>
      <c r="AHE111" s="18"/>
      <c r="AHF111" s="18"/>
      <c r="AHG111" s="18"/>
      <c r="AHH111" s="18"/>
      <c r="AHI111" s="18"/>
      <c r="AHJ111" s="18"/>
      <c r="AHK111" s="18"/>
      <c r="AHL111" s="18"/>
      <c r="AHM111" s="18"/>
      <c r="AHN111" s="18"/>
      <c r="AHO111" s="18"/>
      <c r="AHP111" s="18"/>
      <c r="AHQ111" s="18"/>
      <c r="AHR111" s="18"/>
      <c r="AHS111" s="18"/>
      <c r="AHT111" s="18"/>
      <c r="AHU111" s="18"/>
      <c r="AHV111" s="18"/>
      <c r="AHW111" s="18"/>
      <c r="AHX111" s="18"/>
      <c r="AHY111" s="18"/>
      <c r="AHZ111" s="18"/>
      <c r="AIA111" s="18"/>
      <c r="AIB111" s="18"/>
      <c r="AIC111" s="18"/>
      <c r="AID111" s="18"/>
      <c r="AIE111" s="18"/>
      <c r="AIF111" s="18"/>
      <c r="AIG111" s="18"/>
      <c r="AIH111" s="18"/>
      <c r="AII111" s="18"/>
      <c r="AIJ111" s="18"/>
      <c r="AIK111" s="18"/>
      <c r="AIL111" s="18"/>
      <c r="AIM111" s="18"/>
      <c r="AIN111" s="18"/>
      <c r="AIO111" s="18"/>
      <c r="AIP111" s="18"/>
      <c r="AIQ111" s="18"/>
      <c r="AIR111" s="18"/>
      <c r="AIS111" s="18"/>
      <c r="AIT111" s="18"/>
      <c r="AIU111" s="18"/>
      <c r="AIV111" s="18"/>
      <c r="AIW111" s="18"/>
      <c r="AIX111" s="18"/>
      <c r="AIY111" s="18"/>
      <c r="AIZ111" s="18"/>
      <c r="AJA111" s="18"/>
      <c r="AJB111" s="18"/>
      <c r="AJC111" s="18"/>
      <c r="AJD111" s="18"/>
      <c r="AJE111" s="18"/>
      <c r="AJF111" s="18"/>
      <c r="AJG111" s="18"/>
      <c r="AJH111" s="18"/>
      <c r="AJI111" s="18"/>
      <c r="AJJ111" s="18"/>
      <c r="AJK111" s="18"/>
      <c r="AJL111" s="18"/>
      <c r="AJM111" s="18"/>
      <c r="AJN111" s="18"/>
      <c r="AJO111" s="18"/>
      <c r="AJP111" s="18"/>
      <c r="AJQ111" s="18"/>
      <c r="AJR111" s="18"/>
      <c r="AJS111" s="18"/>
      <c r="AJT111" s="18"/>
      <c r="AJU111" s="18"/>
      <c r="AJV111" s="18"/>
      <c r="AJW111" s="18"/>
      <c r="AJX111" s="18"/>
      <c r="AJY111" s="18"/>
      <c r="AJZ111" s="18"/>
      <c r="AKA111" s="18"/>
      <c r="AKB111" s="18"/>
      <c r="AKC111" s="18"/>
      <c r="AKD111" s="18"/>
      <c r="AKE111" s="18"/>
      <c r="AKF111" s="18"/>
      <c r="AKG111" s="18"/>
      <c r="AKH111" s="18"/>
      <c r="AKI111" s="18"/>
      <c r="AKJ111" s="18"/>
      <c r="AKK111" s="18"/>
      <c r="AKL111" s="18"/>
      <c r="AKM111" s="18"/>
      <c r="AKN111" s="18"/>
      <c r="AKO111" s="18"/>
      <c r="AKP111" s="18"/>
      <c r="AKQ111" s="18"/>
      <c r="AKR111" s="18"/>
      <c r="AKS111" s="18"/>
      <c r="AKT111" s="18"/>
      <c r="AKU111" s="18"/>
      <c r="AKV111" s="18"/>
      <c r="AKW111" s="18"/>
      <c r="AKX111" s="18"/>
      <c r="AKY111" s="18"/>
      <c r="AKZ111" s="18"/>
      <c r="ALA111" s="18"/>
      <c r="ALB111" s="18"/>
      <c r="ALC111" s="18"/>
      <c r="ALD111" s="18"/>
      <c r="ALE111" s="18"/>
      <c r="ALF111" s="18"/>
      <c r="ALG111" s="18"/>
      <c r="ALH111" s="18"/>
      <c r="ALI111" s="18"/>
      <c r="ALJ111" s="18"/>
      <c r="ALK111" s="18"/>
      <c r="ALL111" s="18"/>
      <c r="ALM111" s="18"/>
      <c r="ALN111" s="18"/>
      <c r="ALO111" s="18"/>
      <c r="ALP111" s="18"/>
      <c r="ALQ111" s="18"/>
      <c r="ALR111" s="18"/>
      <c r="ALS111" s="18"/>
      <c r="ALT111" s="18"/>
      <c r="ALU111" s="18"/>
      <c r="ALV111" s="18"/>
      <c r="ALW111" s="18"/>
      <c r="ALX111" s="18"/>
      <c r="ALY111" s="18"/>
      <c r="ALZ111" s="18"/>
      <c r="AMA111" s="18"/>
      <c r="AMB111" s="18"/>
      <c r="AMC111" s="18"/>
      <c r="AMD111" s="18"/>
      <c r="AME111" s="18"/>
      <c r="AMF111" s="18"/>
      <c r="AMG111" s="18"/>
      <c r="AMH111" s="18"/>
    </row>
    <row r="112" spans="1:1022" s="23" customFormat="1" x14ac:dyDescent="0.3">
      <c r="A112" s="33">
        <v>208</v>
      </c>
      <c r="B112" s="19"/>
      <c r="C112" s="19"/>
      <c r="D112" s="34"/>
      <c r="E112" s="34"/>
      <c r="F112" s="19"/>
      <c r="G112" s="19"/>
      <c r="H112" s="18"/>
      <c r="I112" s="31"/>
      <c r="J112" s="31"/>
      <c r="K112" s="31"/>
      <c r="L112" s="31"/>
      <c r="M112" s="32"/>
      <c r="N112" s="32"/>
      <c r="O112" s="18"/>
      <c r="P112" s="36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18"/>
      <c r="AX112" s="18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18"/>
      <c r="BK112" s="18"/>
      <c r="BL112" s="18"/>
      <c r="BM112" s="18"/>
      <c r="BN112" s="18"/>
      <c r="BO112" s="18"/>
      <c r="BP112" s="18"/>
      <c r="BQ112" s="18"/>
      <c r="BR112" s="18"/>
      <c r="BS112" s="18"/>
      <c r="BT112" s="18"/>
      <c r="BU112" s="18"/>
      <c r="BV112" s="18"/>
      <c r="BW112" s="18"/>
      <c r="BX112" s="18"/>
      <c r="BY112" s="18"/>
      <c r="BZ112" s="18"/>
      <c r="CA112" s="18"/>
      <c r="CB112" s="18"/>
      <c r="CC112" s="18"/>
      <c r="CD112" s="18"/>
      <c r="CE112" s="18"/>
      <c r="CF112" s="18"/>
      <c r="CG112" s="18"/>
      <c r="CH112" s="18"/>
      <c r="CI112" s="18"/>
      <c r="CJ112" s="18"/>
      <c r="CK112" s="18"/>
      <c r="CL112" s="18"/>
      <c r="CM112" s="18"/>
      <c r="CN112" s="18"/>
      <c r="CO112" s="18"/>
      <c r="CP112" s="18"/>
      <c r="CQ112" s="18"/>
      <c r="CR112" s="18"/>
      <c r="CS112" s="18"/>
      <c r="CT112" s="18"/>
      <c r="CU112" s="18"/>
      <c r="CV112" s="18"/>
      <c r="CW112" s="18"/>
      <c r="CX112" s="18"/>
      <c r="CY112" s="18"/>
      <c r="CZ112" s="18"/>
      <c r="DA112" s="18"/>
      <c r="DB112" s="18"/>
      <c r="DC112" s="18"/>
      <c r="DD112" s="18"/>
      <c r="DE112" s="18"/>
      <c r="DF112" s="18"/>
      <c r="DG112" s="18"/>
      <c r="DH112" s="18"/>
      <c r="DI112" s="18"/>
      <c r="DJ112" s="18"/>
      <c r="DK112" s="18"/>
      <c r="DL112" s="18"/>
      <c r="DM112" s="18"/>
      <c r="DN112" s="18"/>
      <c r="DO112" s="18"/>
      <c r="DP112" s="18"/>
      <c r="DQ112" s="18"/>
      <c r="DR112" s="18"/>
      <c r="DS112" s="18"/>
      <c r="DT112" s="18"/>
      <c r="DU112" s="18"/>
      <c r="DV112" s="18"/>
      <c r="DW112" s="18"/>
      <c r="DX112" s="18"/>
      <c r="DY112" s="18"/>
      <c r="DZ112" s="18"/>
      <c r="EA112" s="18"/>
      <c r="EB112" s="18"/>
      <c r="EC112" s="18"/>
      <c r="ED112" s="18"/>
      <c r="EE112" s="18"/>
      <c r="EF112" s="18"/>
      <c r="EG112" s="18"/>
      <c r="EH112" s="18"/>
      <c r="EI112" s="18"/>
      <c r="EJ112" s="18"/>
      <c r="EK112" s="18"/>
      <c r="EL112" s="18"/>
      <c r="EM112" s="18"/>
      <c r="EN112" s="18"/>
      <c r="EO112" s="18"/>
      <c r="EP112" s="18"/>
      <c r="EQ112" s="18"/>
      <c r="ER112" s="18"/>
      <c r="ES112" s="18"/>
      <c r="ET112" s="18"/>
      <c r="EU112" s="18"/>
      <c r="EV112" s="18"/>
      <c r="EW112" s="18"/>
      <c r="EX112" s="18"/>
      <c r="EY112" s="18"/>
      <c r="EZ112" s="18"/>
      <c r="FA112" s="18"/>
      <c r="FB112" s="18"/>
      <c r="FC112" s="18"/>
      <c r="FD112" s="18"/>
      <c r="FE112" s="18"/>
      <c r="FF112" s="18"/>
      <c r="FG112" s="18"/>
      <c r="FH112" s="18"/>
      <c r="FI112" s="18"/>
      <c r="FJ112" s="18"/>
      <c r="FK112" s="18"/>
      <c r="FL112" s="18"/>
      <c r="FM112" s="18"/>
      <c r="FN112" s="18"/>
      <c r="FO112" s="18"/>
      <c r="FP112" s="18"/>
      <c r="FQ112" s="18"/>
      <c r="FR112" s="18"/>
      <c r="FS112" s="18"/>
      <c r="FT112" s="18"/>
      <c r="FU112" s="18"/>
      <c r="FV112" s="18"/>
      <c r="FW112" s="18"/>
      <c r="FX112" s="18"/>
      <c r="FY112" s="18"/>
      <c r="FZ112" s="18"/>
      <c r="GA112" s="18"/>
      <c r="GB112" s="18"/>
      <c r="GC112" s="18"/>
      <c r="GD112" s="18"/>
      <c r="GE112" s="18"/>
      <c r="GF112" s="18"/>
      <c r="GG112" s="18"/>
      <c r="GH112" s="18"/>
      <c r="GI112" s="18"/>
      <c r="GJ112" s="18"/>
      <c r="GK112" s="18"/>
      <c r="GL112" s="18"/>
      <c r="GM112" s="18"/>
      <c r="GN112" s="18"/>
      <c r="GO112" s="18"/>
      <c r="GP112" s="18"/>
      <c r="GQ112" s="18"/>
      <c r="GR112" s="18"/>
      <c r="GS112" s="18"/>
      <c r="GT112" s="18"/>
      <c r="GU112" s="18"/>
      <c r="GV112" s="18"/>
      <c r="GW112" s="18"/>
      <c r="GX112" s="18"/>
      <c r="GY112" s="18"/>
      <c r="GZ112" s="18"/>
      <c r="HA112" s="18"/>
      <c r="HB112" s="18"/>
      <c r="HC112" s="18"/>
      <c r="HD112" s="18"/>
      <c r="HE112" s="18"/>
      <c r="HF112" s="18"/>
      <c r="HG112" s="18"/>
      <c r="HH112" s="18"/>
      <c r="HI112" s="18"/>
      <c r="HJ112" s="18"/>
      <c r="HK112" s="18"/>
      <c r="HL112" s="18"/>
      <c r="HM112" s="18"/>
      <c r="HN112" s="18"/>
      <c r="HO112" s="18"/>
      <c r="HP112" s="18"/>
      <c r="HQ112" s="18"/>
      <c r="HR112" s="18"/>
      <c r="HS112" s="18"/>
      <c r="HT112" s="18"/>
      <c r="HU112" s="18"/>
      <c r="HV112" s="18"/>
      <c r="HW112" s="18"/>
      <c r="HX112" s="18"/>
      <c r="HY112" s="18"/>
      <c r="HZ112" s="18"/>
      <c r="IA112" s="18"/>
      <c r="IB112" s="18"/>
      <c r="IC112" s="18"/>
      <c r="ID112" s="18"/>
      <c r="IE112" s="18"/>
      <c r="IF112" s="18"/>
      <c r="IG112" s="18"/>
      <c r="IH112" s="18"/>
      <c r="II112" s="18"/>
      <c r="IJ112" s="18"/>
      <c r="IK112" s="18"/>
      <c r="IL112" s="18"/>
      <c r="IM112" s="18"/>
      <c r="IN112" s="18"/>
      <c r="IO112" s="18"/>
      <c r="IP112" s="18"/>
      <c r="IQ112" s="18"/>
      <c r="IR112" s="18"/>
      <c r="IS112" s="18"/>
      <c r="IT112" s="18"/>
      <c r="IU112" s="18"/>
      <c r="IV112" s="18"/>
      <c r="IW112" s="18"/>
      <c r="IX112" s="18"/>
      <c r="IY112" s="18"/>
      <c r="IZ112" s="18"/>
      <c r="JA112" s="18"/>
      <c r="JB112" s="18"/>
      <c r="JC112" s="18"/>
      <c r="JD112" s="18"/>
      <c r="JE112" s="18"/>
      <c r="JF112" s="18"/>
      <c r="JG112" s="18"/>
      <c r="JH112" s="18"/>
      <c r="JI112" s="18"/>
      <c r="JJ112" s="18"/>
      <c r="JK112" s="18"/>
      <c r="JL112" s="18"/>
      <c r="JM112" s="18"/>
      <c r="JN112" s="18"/>
      <c r="JO112" s="18"/>
      <c r="JP112" s="18"/>
      <c r="JQ112" s="18"/>
      <c r="JR112" s="18"/>
      <c r="JS112" s="18"/>
      <c r="JT112" s="18"/>
      <c r="JU112" s="18"/>
      <c r="JV112" s="18"/>
      <c r="JW112" s="18"/>
      <c r="JX112" s="18"/>
      <c r="JY112" s="18"/>
      <c r="JZ112" s="18"/>
      <c r="KA112" s="18"/>
      <c r="KB112" s="18"/>
      <c r="KC112" s="18"/>
      <c r="KD112" s="18"/>
      <c r="KE112" s="18"/>
      <c r="KF112" s="18"/>
      <c r="KG112" s="18"/>
      <c r="KH112" s="18"/>
      <c r="KI112" s="18"/>
      <c r="KJ112" s="18"/>
      <c r="KK112" s="18"/>
      <c r="KL112" s="18"/>
      <c r="KM112" s="18"/>
      <c r="KN112" s="18"/>
      <c r="KO112" s="18"/>
      <c r="KP112" s="18"/>
      <c r="KQ112" s="18"/>
      <c r="KR112" s="18"/>
      <c r="KS112" s="18"/>
      <c r="KT112" s="18"/>
      <c r="KU112" s="18"/>
      <c r="KV112" s="18"/>
      <c r="KW112" s="18"/>
      <c r="KX112" s="18"/>
      <c r="KY112" s="18"/>
      <c r="KZ112" s="18"/>
      <c r="LA112" s="18"/>
      <c r="LB112" s="18"/>
      <c r="LC112" s="18"/>
      <c r="LD112" s="18"/>
      <c r="LE112" s="18"/>
      <c r="LF112" s="18"/>
      <c r="LG112" s="18"/>
      <c r="LH112" s="18"/>
      <c r="LI112" s="18"/>
      <c r="LJ112" s="18"/>
      <c r="LK112" s="18"/>
      <c r="LL112" s="18"/>
      <c r="LM112" s="18"/>
      <c r="LN112" s="18"/>
      <c r="LO112" s="18"/>
      <c r="LP112" s="18"/>
      <c r="LQ112" s="18"/>
      <c r="LR112" s="18"/>
      <c r="LS112" s="18"/>
      <c r="LT112" s="18"/>
      <c r="LU112" s="18"/>
      <c r="LV112" s="18"/>
      <c r="LW112" s="18"/>
      <c r="LX112" s="18"/>
      <c r="LY112" s="18"/>
      <c r="LZ112" s="18"/>
      <c r="MA112" s="18"/>
      <c r="MB112" s="18"/>
      <c r="MC112" s="18"/>
      <c r="MD112" s="18"/>
      <c r="ME112" s="18"/>
      <c r="MF112" s="18"/>
      <c r="MG112" s="18"/>
      <c r="MH112" s="18"/>
      <c r="MI112" s="18"/>
      <c r="MJ112" s="18"/>
      <c r="MK112" s="18"/>
      <c r="ML112" s="18"/>
      <c r="MM112" s="18"/>
      <c r="MN112" s="18"/>
      <c r="MO112" s="18"/>
      <c r="MP112" s="18"/>
      <c r="MQ112" s="18"/>
      <c r="MR112" s="18"/>
      <c r="MS112" s="18"/>
      <c r="MT112" s="18"/>
      <c r="MU112" s="18"/>
      <c r="MV112" s="18"/>
      <c r="MW112" s="18"/>
      <c r="MX112" s="18"/>
      <c r="MY112" s="18"/>
      <c r="MZ112" s="18"/>
      <c r="NA112" s="18"/>
      <c r="NB112" s="18"/>
      <c r="NC112" s="18"/>
      <c r="ND112" s="18"/>
      <c r="NE112" s="18"/>
      <c r="NF112" s="18"/>
      <c r="NG112" s="18"/>
      <c r="NH112" s="18"/>
      <c r="NI112" s="18"/>
      <c r="NJ112" s="18"/>
      <c r="NK112" s="18"/>
      <c r="NL112" s="18"/>
      <c r="NM112" s="18"/>
      <c r="NN112" s="18"/>
      <c r="NO112" s="18"/>
      <c r="NP112" s="18"/>
      <c r="NQ112" s="18"/>
      <c r="NR112" s="18"/>
      <c r="NS112" s="18"/>
      <c r="NT112" s="18"/>
      <c r="NU112" s="18"/>
      <c r="NV112" s="18"/>
      <c r="NW112" s="18"/>
      <c r="NX112" s="18"/>
      <c r="NY112" s="18"/>
      <c r="NZ112" s="18"/>
      <c r="OA112" s="18"/>
      <c r="OB112" s="18"/>
      <c r="OC112" s="18"/>
      <c r="OD112" s="18"/>
      <c r="OE112" s="18"/>
      <c r="OF112" s="18"/>
      <c r="OG112" s="18"/>
      <c r="OH112" s="18"/>
      <c r="OI112" s="18"/>
      <c r="OJ112" s="18"/>
      <c r="OK112" s="18"/>
      <c r="OL112" s="18"/>
      <c r="OM112" s="18"/>
      <c r="ON112" s="18"/>
      <c r="OO112" s="18"/>
      <c r="OP112" s="18"/>
      <c r="OQ112" s="18"/>
      <c r="OR112" s="18"/>
      <c r="OS112" s="18"/>
      <c r="OT112" s="18"/>
      <c r="OU112" s="18"/>
      <c r="OV112" s="18"/>
      <c r="OW112" s="18"/>
      <c r="OX112" s="18"/>
      <c r="OY112" s="18"/>
      <c r="OZ112" s="18"/>
      <c r="PA112" s="18"/>
      <c r="PB112" s="18"/>
      <c r="PC112" s="18"/>
      <c r="PD112" s="18"/>
      <c r="PE112" s="18"/>
      <c r="PF112" s="18"/>
      <c r="PG112" s="18"/>
      <c r="PH112" s="18"/>
      <c r="PI112" s="18"/>
      <c r="PJ112" s="18"/>
      <c r="PK112" s="18"/>
      <c r="PL112" s="18"/>
      <c r="PM112" s="18"/>
      <c r="PN112" s="18"/>
      <c r="PO112" s="18"/>
      <c r="PP112" s="18"/>
      <c r="PQ112" s="18"/>
      <c r="PR112" s="18"/>
      <c r="PS112" s="18"/>
      <c r="PT112" s="18"/>
      <c r="PU112" s="18"/>
      <c r="PV112" s="18"/>
      <c r="PW112" s="18"/>
      <c r="PX112" s="18"/>
      <c r="PY112" s="18"/>
      <c r="PZ112" s="18"/>
      <c r="QA112" s="18"/>
      <c r="QB112" s="18"/>
      <c r="QC112" s="18"/>
      <c r="QD112" s="18"/>
      <c r="QE112" s="18"/>
      <c r="QF112" s="18"/>
      <c r="QG112" s="18"/>
      <c r="QH112" s="18"/>
      <c r="QI112" s="18"/>
      <c r="QJ112" s="18"/>
      <c r="QK112" s="18"/>
      <c r="QL112" s="18"/>
      <c r="QM112" s="18"/>
      <c r="QN112" s="18"/>
      <c r="QO112" s="18"/>
      <c r="QP112" s="18"/>
      <c r="QQ112" s="18"/>
      <c r="QR112" s="18"/>
      <c r="QS112" s="18"/>
      <c r="QT112" s="18"/>
      <c r="QU112" s="18"/>
      <c r="QV112" s="18"/>
      <c r="QW112" s="18"/>
      <c r="QX112" s="18"/>
      <c r="QY112" s="18"/>
      <c r="QZ112" s="18"/>
      <c r="RA112" s="18"/>
      <c r="RB112" s="18"/>
      <c r="RC112" s="18"/>
      <c r="RD112" s="18"/>
      <c r="RE112" s="18"/>
      <c r="RF112" s="18"/>
      <c r="RG112" s="18"/>
      <c r="RH112" s="18"/>
      <c r="RI112" s="18"/>
      <c r="RJ112" s="18"/>
      <c r="RK112" s="18"/>
      <c r="RL112" s="18"/>
      <c r="RM112" s="18"/>
      <c r="RN112" s="18"/>
      <c r="RO112" s="18"/>
      <c r="RP112" s="18"/>
      <c r="RQ112" s="18"/>
      <c r="RR112" s="18"/>
      <c r="RS112" s="18"/>
      <c r="RT112" s="18"/>
      <c r="RU112" s="18"/>
      <c r="RV112" s="18"/>
      <c r="RW112" s="18"/>
      <c r="RX112" s="18"/>
      <c r="RY112" s="18"/>
      <c r="RZ112" s="18"/>
      <c r="SA112" s="18"/>
      <c r="SB112" s="18"/>
      <c r="SC112" s="18"/>
      <c r="SD112" s="18"/>
      <c r="SE112" s="18"/>
      <c r="SF112" s="18"/>
      <c r="SG112" s="18"/>
      <c r="SH112" s="18"/>
      <c r="SI112" s="18"/>
      <c r="SJ112" s="18"/>
      <c r="SK112" s="18"/>
      <c r="SL112" s="18"/>
      <c r="SM112" s="18"/>
      <c r="SN112" s="18"/>
      <c r="SO112" s="18"/>
      <c r="SP112" s="18"/>
      <c r="SQ112" s="18"/>
      <c r="SR112" s="18"/>
      <c r="SS112" s="18"/>
      <c r="ST112" s="18"/>
      <c r="SU112" s="18"/>
      <c r="SV112" s="18"/>
      <c r="SW112" s="18"/>
      <c r="SX112" s="18"/>
      <c r="SY112" s="18"/>
      <c r="SZ112" s="18"/>
      <c r="TA112" s="18"/>
      <c r="TB112" s="18"/>
      <c r="TC112" s="18"/>
      <c r="TD112" s="18"/>
      <c r="TE112" s="18"/>
      <c r="TF112" s="18"/>
      <c r="TG112" s="18"/>
      <c r="TH112" s="18"/>
      <c r="TI112" s="18"/>
      <c r="TJ112" s="18"/>
      <c r="TK112" s="18"/>
      <c r="TL112" s="18"/>
      <c r="TM112" s="18"/>
      <c r="TN112" s="18"/>
      <c r="TO112" s="18"/>
      <c r="TP112" s="18"/>
      <c r="TQ112" s="18"/>
      <c r="TR112" s="18"/>
      <c r="TS112" s="18"/>
      <c r="TT112" s="18"/>
      <c r="TU112" s="18"/>
      <c r="TV112" s="18"/>
      <c r="TW112" s="18"/>
      <c r="TX112" s="18"/>
      <c r="TY112" s="18"/>
      <c r="TZ112" s="18"/>
      <c r="UA112" s="18"/>
      <c r="UB112" s="18"/>
      <c r="UC112" s="18"/>
      <c r="UD112" s="18"/>
      <c r="UE112" s="18"/>
      <c r="UF112" s="18"/>
      <c r="UG112" s="18"/>
      <c r="UH112" s="18"/>
      <c r="UI112" s="18"/>
      <c r="UJ112" s="18"/>
      <c r="UK112" s="18"/>
      <c r="UL112" s="18"/>
      <c r="UM112" s="18"/>
      <c r="UN112" s="18"/>
      <c r="UO112" s="18"/>
      <c r="UP112" s="18"/>
      <c r="UQ112" s="18"/>
      <c r="UR112" s="18"/>
      <c r="US112" s="18"/>
      <c r="UT112" s="18"/>
      <c r="UU112" s="18"/>
      <c r="UV112" s="18"/>
      <c r="UW112" s="18"/>
      <c r="UX112" s="18"/>
      <c r="UY112" s="18"/>
      <c r="UZ112" s="18"/>
      <c r="VA112" s="18"/>
      <c r="VB112" s="18"/>
      <c r="VC112" s="18"/>
      <c r="VD112" s="18"/>
      <c r="VE112" s="18"/>
      <c r="VF112" s="18"/>
      <c r="VG112" s="18"/>
      <c r="VH112" s="18"/>
      <c r="VI112" s="18"/>
      <c r="VJ112" s="18"/>
      <c r="VK112" s="18"/>
      <c r="VL112" s="18"/>
      <c r="VM112" s="18"/>
      <c r="VN112" s="18"/>
      <c r="VO112" s="18"/>
      <c r="VP112" s="18"/>
      <c r="VQ112" s="18"/>
      <c r="VR112" s="18"/>
      <c r="VS112" s="18"/>
      <c r="VT112" s="18"/>
      <c r="VU112" s="18"/>
      <c r="VV112" s="18"/>
      <c r="VW112" s="18"/>
      <c r="VX112" s="18"/>
      <c r="VY112" s="18"/>
      <c r="VZ112" s="18"/>
      <c r="WA112" s="18"/>
      <c r="WB112" s="18"/>
      <c r="WC112" s="18"/>
      <c r="WD112" s="18"/>
      <c r="WE112" s="18"/>
      <c r="WF112" s="18"/>
      <c r="WG112" s="18"/>
      <c r="WH112" s="18"/>
      <c r="WI112" s="18"/>
      <c r="WJ112" s="18"/>
      <c r="WK112" s="18"/>
      <c r="WL112" s="18"/>
      <c r="WM112" s="18"/>
      <c r="WN112" s="18"/>
      <c r="WO112" s="18"/>
      <c r="WP112" s="18"/>
      <c r="WQ112" s="18"/>
      <c r="WR112" s="18"/>
      <c r="WS112" s="18"/>
      <c r="WT112" s="18"/>
      <c r="WU112" s="18"/>
      <c r="WV112" s="18"/>
      <c r="WW112" s="18"/>
      <c r="WX112" s="18"/>
      <c r="WY112" s="18"/>
      <c r="WZ112" s="18"/>
      <c r="XA112" s="18"/>
      <c r="XB112" s="18"/>
      <c r="XC112" s="18"/>
      <c r="XD112" s="18"/>
      <c r="XE112" s="18"/>
      <c r="XF112" s="18"/>
      <c r="XG112" s="18"/>
      <c r="XH112" s="18"/>
      <c r="XI112" s="18"/>
      <c r="XJ112" s="18"/>
      <c r="XK112" s="18"/>
      <c r="XL112" s="18"/>
      <c r="XM112" s="18"/>
      <c r="XN112" s="18"/>
      <c r="XO112" s="18"/>
      <c r="XP112" s="18"/>
      <c r="XQ112" s="18"/>
      <c r="XR112" s="18"/>
      <c r="XS112" s="18"/>
      <c r="XT112" s="18"/>
      <c r="XU112" s="18"/>
      <c r="XV112" s="18"/>
      <c r="XW112" s="18"/>
      <c r="XX112" s="18"/>
      <c r="XY112" s="18"/>
      <c r="XZ112" s="18"/>
      <c r="YA112" s="18"/>
      <c r="YB112" s="18"/>
      <c r="YC112" s="18"/>
      <c r="YD112" s="18"/>
      <c r="YE112" s="18"/>
      <c r="YF112" s="18"/>
      <c r="YG112" s="18"/>
      <c r="YH112" s="18"/>
      <c r="YI112" s="18"/>
      <c r="YJ112" s="18"/>
      <c r="YK112" s="18"/>
      <c r="YL112" s="18"/>
      <c r="YM112" s="18"/>
      <c r="YN112" s="18"/>
      <c r="YO112" s="18"/>
      <c r="YP112" s="18"/>
      <c r="YQ112" s="18"/>
      <c r="YR112" s="18"/>
      <c r="YS112" s="18"/>
      <c r="YT112" s="18"/>
      <c r="YU112" s="18"/>
      <c r="YV112" s="18"/>
      <c r="YW112" s="18"/>
      <c r="YX112" s="18"/>
      <c r="YY112" s="18"/>
      <c r="YZ112" s="18"/>
      <c r="ZA112" s="18"/>
      <c r="ZB112" s="18"/>
      <c r="ZC112" s="18"/>
      <c r="ZD112" s="18"/>
      <c r="ZE112" s="18"/>
      <c r="ZF112" s="18"/>
      <c r="ZG112" s="18"/>
      <c r="ZH112" s="18"/>
      <c r="ZI112" s="18"/>
      <c r="ZJ112" s="18"/>
      <c r="ZK112" s="18"/>
      <c r="ZL112" s="18"/>
      <c r="ZM112" s="18"/>
      <c r="ZN112" s="18"/>
      <c r="ZO112" s="18"/>
      <c r="ZP112" s="18"/>
      <c r="ZQ112" s="18"/>
      <c r="ZR112" s="18"/>
      <c r="ZS112" s="18"/>
      <c r="ZT112" s="18"/>
      <c r="ZU112" s="18"/>
      <c r="ZV112" s="18"/>
      <c r="ZW112" s="18"/>
      <c r="ZX112" s="18"/>
      <c r="ZY112" s="18"/>
      <c r="ZZ112" s="18"/>
      <c r="AAA112" s="18"/>
      <c r="AAB112" s="18"/>
      <c r="AAC112" s="18"/>
      <c r="AAD112" s="18"/>
      <c r="AAE112" s="18"/>
      <c r="AAF112" s="18"/>
      <c r="AAG112" s="18"/>
      <c r="AAH112" s="18"/>
      <c r="AAI112" s="18"/>
      <c r="AAJ112" s="18"/>
      <c r="AAK112" s="18"/>
      <c r="AAL112" s="18"/>
      <c r="AAM112" s="18"/>
      <c r="AAN112" s="18"/>
      <c r="AAO112" s="18"/>
      <c r="AAP112" s="18"/>
      <c r="AAQ112" s="18"/>
      <c r="AAR112" s="18"/>
      <c r="AAS112" s="18"/>
      <c r="AAT112" s="18"/>
      <c r="AAU112" s="18"/>
      <c r="AAV112" s="18"/>
      <c r="AAW112" s="18"/>
      <c r="AAX112" s="18"/>
      <c r="AAY112" s="18"/>
      <c r="AAZ112" s="18"/>
      <c r="ABA112" s="18"/>
      <c r="ABB112" s="18"/>
      <c r="ABC112" s="18"/>
      <c r="ABD112" s="18"/>
      <c r="ABE112" s="18"/>
      <c r="ABF112" s="18"/>
      <c r="ABG112" s="18"/>
      <c r="ABH112" s="18"/>
      <c r="ABI112" s="18"/>
      <c r="ABJ112" s="18"/>
      <c r="ABK112" s="18"/>
      <c r="ABL112" s="18"/>
      <c r="ABM112" s="18"/>
      <c r="ABN112" s="18"/>
      <c r="ABO112" s="18"/>
      <c r="ABP112" s="18"/>
      <c r="ABQ112" s="18"/>
      <c r="ABR112" s="18"/>
      <c r="ABS112" s="18"/>
      <c r="ABT112" s="18"/>
      <c r="ABU112" s="18"/>
      <c r="ABV112" s="18"/>
      <c r="ABW112" s="18"/>
      <c r="ABX112" s="18"/>
      <c r="ABY112" s="18"/>
      <c r="ABZ112" s="18"/>
      <c r="ACA112" s="18"/>
      <c r="ACB112" s="18"/>
      <c r="ACC112" s="18"/>
      <c r="ACD112" s="18"/>
      <c r="ACE112" s="18"/>
      <c r="ACF112" s="18"/>
      <c r="ACG112" s="18"/>
      <c r="ACH112" s="18"/>
      <c r="ACI112" s="18"/>
      <c r="ACJ112" s="18"/>
      <c r="ACK112" s="18"/>
      <c r="ACL112" s="18"/>
      <c r="ACM112" s="18"/>
      <c r="ACN112" s="18"/>
      <c r="ACO112" s="18"/>
      <c r="ACP112" s="18"/>
      <c r="ACQ112" s="18"/>
      <c r="ACR112" s="18"/>
      <c r="ACS112" s="18"/>
      <c r="ACT112" s="18"/>
      <c r="ACU112" s="18"/>
      <c r="ACV112" s="18"/>
      <c r="ACW112" s="18"/>
      <c r="ACX112" s="18"/>
      <c r="ACY112" s="18"/>
      <c r="ACZ112" s="18"/>
      <c r="ADA112" s="18"/>
      <c r="ADB112" s="18"/>
      <c r="ADC112" s="18"/>
      <c r="ADD112" s="18"/>
      <c r="ADE112" s="18"/>
      <c r="ADF112" s="18"/>
      <c r="ADG112" s="18"/>
      <c r="ADH112" s="18"/>
      <c r="ADI112" s="18"/>
      <c r="ADJ112" s="18"/>
      <c r="ADK112" s="18"/>
      <c r="ADL112" s="18"/>
      <c r="ADM112" s="18"/>
      <c r="ADN112" s="18"/>
      <c r="ADO112" s="18"/>
      <c r="ADP112" s="18"/>
      <c r="ADQ112" s="18"/>
      <c r="ADR112" s="18"/>
      <c r="ADS112" s="18"/>
      <c r="ADT112" s="18"/>
      <c r="ADU112" s="18"/>
      <c r="ADV112" s="18"/>
      <c r="ADW112" s="18"/>
      <c r="ADX112" s="18"/>
      <c r="ADY112" s="18"/>
      <c r="ADZ112" s="18"/>
      <c r="AEA112" s="18"/>
      <c r="AEB112" s="18"/>
      <c r="AEC112" s="18"/>
      <c r="AED112" s="18"/>
      <c r="AEE112" s="18"/>
      <c r="AEF112" s="18"/>
      <c r="AEG112" s="18"/>
      <c r="AEH112" s="18"/>
      <c r="AEI112" s="18"/>
      <c r="AEJ112" s="18"/>
      <c r="AEK112" s="18"/>
      <c r="AEL112" s="18"/>
      <c r="AEM112" s="18"/>
      <c r="AEN112" s="18"/>
      <c r="AEO112" s="18"/>
      <c r="AEP112" s="18"/>
      <c r="AEQ112" s="18"/>
      <c r="AER112" s="18"/>
      <c r="AES112" s="18"/>
      <c r="AET112" s="18"/>
      <c r="AEU112" s="18"/>
      <c r="AEV112" s="18"/>
      <c r="AEW112" s="18"/>
      <c r="AEX112" s="18"/>
      <c r="AEY112" s="18"/>
      <c r="AEZ112" s="18"/>
      <c r="AFA112" s="18"/>
      <c r="AFB112" s="18"/>
      <c r="AFC112" s="18"/>
      <c r="AFD112" s="18"/>
      <c r="AFE112" s="18"/>
      <c r="AFF112" s="18"/>
      <c r="AFG112" s="18"/>
      <c r="AFH112" s="18"/>
      <c r="AFI112" s="18"/>
      <c r="AFJ112" s="18"/>
      <c r="AFK112" s="18"/>
      <c r="AFL112" s="18"/>
      <c r="AFM112" s="18"/>
      <c r="AFN112" s="18"/>
      <c r="AFO112" s="18"/>
      <c r="AFP112" s="18"/>
      <c r="AFQ112" s="18"/>
      <c r="AFR112" s="18"/>
      <c r="AFS112" s="18"/>
      <c r="AFT112" s="18"/>
      <c r="AFU112" s="18"/>
      <c r="AFV112" s="18"/>
      <c r="AFW112" s="18"/>
      <c r="AFX112" s="18"/>
      <c r="AFY112" s="18"/>
      <c r="AFZ112" s="18"/>
      <c r="AGA112" s="18"/>
      <c r="AGB112" s="18"/>
      <c r="AGC112" s="18"/>
      <c r="AGD112" s="18"/>
      <c r="AGE112" s="18"/>
      <c r="AGF112" s="18"/>
      <c r="AGG112" s="18"/>
      <c r="AGH112" s="18"/>
      <c r="AGI112" s="18"/>
      <c r="AGJ112" s="18"/>
      <c r="AGK112" s="18"/>
      <c r="AGL112" s="18"/>
      <c r="AGM112" s="18"/>
      <c r="AGN112" s="18"/>
      <c r="AGO112" s="18"/>
      <c r="AGP112" s="18"/>
      <c r="AGQ112" s="18"/>
      <c r="AGR112" s="18"/>
      <c r="AGS112" s="18"/>
      <c r="AGT112" s="18"/>
      <c r="AGU112" s="18"/>
      <c r="AGV112" s="18"/>
      <c r="AGW112" s="18"/>
      <c r="AGX112" s="18"/>
      <c r="AGY112" s="18"/>
      <c r="AGZ112" s="18"/>
      <c r="AHA112" s="18"/>
      <c r="AHB112" s="18"/>
      <c r="AHC112" s="18"/>
      <c r="AHD112" s="18"/>
      <c r="AHE112" s="18"/>
      <c r="AHF112" s="18"/>
      <c r="AHG112" s="18"/>
      <c r="AHH112" s="18"/>
      <c r="AHI112" s="18"/>
      <c r="AHJ112" s="18"/>
      <c r="AHK112" s="18"/>
      <c r="AHL112" s="18"/>
      <c r="AHM112" s="18"/>
      <c r="AHN112" s="18"/>
      <c r="AHO112" s="18"/>
      <c r="AHP112" s="18"/>
      <c r="AHQ112" s="18"/>
      <c r="AHR112" s="18"/>
      <c r="AHS112" s="18"/>
      <c r="AHT112" s="18"/>
      <c r="AHU112" s="18"/>
      <c r="AHV112" s="18"/>
      <c r="AHW112" s="18"/>
      <c r="AHX112" s="18"/>
      <c r="AHY112" s="18"/>
      <c r="AHZ112" s="18"/>
      <c r="AIA112" s="18"/>
      <c r="AIB112" s="18"/>
      <c r="AIC112" s="18"/>
      <c r="AID112" s="18"/>
      <c r="AIE112" s="18"/>
      <c r="AIF112" s="18"/>
      <c r="AIG112" s="18"/>
      <c r="AIH112" s="18"/>
      <c r="AII112" s="18"/>
      <c r="AIJ112" s="18"/>
      <c r="AIK112" s="18"/>
      <c r="AIL112" s="18"/>
      <c r="AIM112" s="18"/>
      <c r="AIN112" s="18"/>
      <c r="AIO112" s="18"/>
      <c r="AIP112" s="18"/>
      <c r="AIQ112" s="18"/>
      <c r="AIR112" s="18"/>
      <c r="AIS112" s="18"/>
      <c r="AIT112" s="18"/>
      <c r="AIU112" s="18"/>
      <c r="AIV112" s="18"/>
      <c r="AIW112" s="18"/>
      <c r="AIX112" s="18"/>
      <c r="AIY112" s="18"/>
      <c r="AIZ112" s="18"/>
      <c r="AJA112" s="18"/>
      <c r="AJB112" s="18"/>
      <c r="AJC112" s="18"/>
      <c r="AJD112" s="18"/>
      <c r="AJE112" s="18"/>
      <c r="AJF112" s="18"/>
      <c r="AJG112" s="18"/>
      <c r="AJH112" s="18"/>
      <c r="AJI112" s="18"/>
      <c r="AJJ112" s="18"/>
      <c r="AJK112" s="18"/>
      <c r="AJL112" s="18"/>
      <c r="AJM112" s="18"/>
      <c r="AJN112" s="18"/>
      <c r="AJO112" s="18"/>
      <c r="AJP112" s="18"/>
      <c r="AJQ112" s="18"/>
      <c r="AJR112" s="18"/>
      <c r="AJS112" s="18"/>
      <c r="AJT112" s="18"/>
      <c r="AJU112" s="18"/>
      <c r="AJV112" s="18"/>
      <c r="AJW112" s="18"/>
      <c r="AJX112" s="18"/>
      <c r="AJY112" s="18"/>
      <c r="AJZ112" s="18"/>
      <c r="AKA112" s="18"/>
      <c r="AKB112" s="18"/>
      <c r="AKC112" s="18"/>
      <c r="AKD112" s="18"/>
      <c r="AKE112" s="18"/>
      <c r="AKF112" s="18"/>
      <c r="AKG112" s="18"/>
      <c r="AKH112" s="18"/>
      <c r="AKI112" s="18"/>
      <c r="AKJ112" s="18"/>
      <c r="AKK112" s="18"/>
      <c r="AKL112" s="18"/>
      <c r="AKM112" s="18"/>
      <c r="AKN112" s="18"/>
      <c r="AKO112" s="18"/>
      <c r="AKP112" s="18"/>
      <c r="AKQ112" s="18"/>
      <c r="AKR112" s="18"/>
      <c r="AKS112" s="18"/>
      <c r="AKT112" s="18"/>
      <c r="AKU112" s="18"/>
      <c r="AKV112" s="18"/>
      <c r="AKW112" s="18"/>
      <c r="AKX112" s="18"/>
      <c r="AKY112" s="18"/>
      <c r="AKZ112" s="18"/>
      <c r="ALA112" s="18"/>
      <c r="ALB112" s="18"/>
      <c r="ALC112" s="18"/>
      <c r="ALD112" s="18"/>
      <c r="ALE112" s="18"/>
      <c r="ALF112" s="18"/>
      <c r="ALG112" s="18"/>
      <c r="ALH112" s="18"/>
      <c r="ALI112" s="18"/>
      <c r="ALJ112" s="18"/>
      <c r="ALK112" s="18"/>
      <c r="ALL112" s="18"/>
      <c r="ALM112" s="18"/>
      <c r="ALN112" s="18"/>
      <c r="ALO112" s="18"/>
      <c r="ALP112" s="18"/>
      <c r="ALQ112" s="18"/>
      <c r="ALR112" s="18"/>
      <c r="ALS112" s="18"/>
      <c r="ALT112" s="18"/>
      <c r="ALU112" s="18"/>
      <c r="ALV112" s="18"/>
      <c r="ALW112" s="18"/>
      <c r="ALX112" s="18"/>
      <c r="ALY112" s="18"/>
      <c r="ALZ112" s="18"/>
      <c r="AMA112" s="18"/>
      <c r="AMB112" s="18"/>
      <c r="AMC112" s="18"/>
      <c r="AMD112" s="18"/>
      <c r="AME112" s="18"/>
      <c r="AMF112" s="18"/>
      <c r="AMG112" s="18"/>
      <c r="AMH112" s="18"/>
    </row>
    <row r="113" spans="1:1022" s="23" customFormat="1" x14ac:dyDescent="0.3">
      <c r="A113" s="33">
        <v>209</v>
      </c>
      <c r="B113" s="19"/>
      <c r="C113" s="19"/>
      <c r="D113" s="34"/>
      <c r="E113" s="34"/>
      <c r="F113" s="19"/>
      <c r="G113" s="19"/>
      <c r="H113" s="18"/>
      <c r="I113" s="31"/>
      <c r="J113" s="31"/>
      <c r="K113" s="31"/>
      <c r="L113" s="31"/>
      <c r="M113" s="32"/>
      <c r="N113" s="32"/>
      <c r="O113" s="18"/>
      <c r="P113" s="36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18"/>
      <c r="BK113" s="18"/>
      <c r="BL113" s="18"/>
      <c r="BM113" s="18"/>
      <c r="BN113" s="18"/>
      <c r="BO113" s="18"/>
      <c r="BP113" s="18"/>
      <c r="BQ113" s="18"/>
      <c r="BR113" s="18"/>
      <c r="BS113" s="18"/>
      <c r="BT113" s="18"/>
      <c r="BU113" s="18"/>
      <c r="BV113" s="18"/>
      <c r="BW113" s="18"/>
      <c r="BX113" s="18"/>
      <c r="BY113" s="18"/>
      <c r="BZ113" s="18"/>
      <c r="CA113" s="18"/>
      <c r="CB113" s="18"/>
      <c r="CC113" s="18"/>
      <c r="CD113" s="18"/>
      <c r="CE113" s="18"/>
      <c r="CF113" s="18"/>
      <c r="CG113" s="18"/>
      <c r="CH113" s="18"/>
      <c r="CI113" s="18"/>
      <c r="CJ113" s="18"/>
      <c r="CK113" s="18"/>
      <c r="CL113" s="18"/>
      <c r="CM113" s="18"/>
      <c r="CN113" s="18"/>
      <c r="CO113" s="18"/>
      <c r="CP113" s="18"/>
      <c r="CQ113" s="18"/>
      <c r="CR113" s="18"/>
      <c r="CS113" s="18"/>
      <c r="CT113" s="18"/>
      <c r="CU113" s="18"/>
      <c r="CV113" s="18"/>
      <c r="CW113" s="18"/>
      <c r="CX113" s="18"/>
      <c r="CY113" s="18"/>
      <c r="CZ113" s="18"/>
      <c r="DA113" s="18"/>
      <c r="DB113" s="18"/>
      <c r="DC113" s="18"/>
      <c r="DD113" s="18"/>
      <c r="DE113" s="18"/>
      <c r="DF113" s="18"/>
      <c r="DG113" s="18"/>
      <c r="DH113" s="18"/>
      <c r="DI113" s="18"/>
      <c r="DJ113" s="18"/>
      <c r="DK113" s="18"/>
      <c r="DL113" s="18"/>
      <c r="DM113" s="18"/>
      <c r="DN113" s="18"/>
      <c r="DO113" s="18"/>
      <c r="DP113" s="18"/>
      <c r="DQ113" s="18"/>
      <c r="DR113" s="18"/>
      <c r="DS113" s="18"/>
      <c r="DT113" s="18"/>
      <c r="DU113" s="18"/>
      <c r="DV113" s="18"/>
      <c r="DW113" s="18"/>
      <c r="DX113" s="18"/>
      <c r="DY113" s="18"/>
      <c r="DZ113" s="18"/>
      <c r="EA113" s="18"/>
      <c r="EB113" s="18"/>
      <c r="EC113" s="18"/>
      <c r="ED113" s="18"/>
      <c r="EE113" s="18"/>
      <c r="EF113" s="18"/>
      <c r="EG113" s="18"/>
      <c r="EH113" s="18"/>
      <c r="EI113" s="18"/>
      <c r="EJ113" s="18"/>
      <c r="EK113" s="18"/>
      <c r="EL113" s="18"/>
      <c r="EM113" s="18"/>
      <c r="EN113" s="18"/>
      <c r="EO113" s="18"/>
      <c r="EP113" s="18"/>
      <c r="EQ113" s="18"/>
      <c r="ER113" s="18"/>
      <c r="ES113" s="18"/>
      <c r="ET113" s="18"/>
      <c r="EU113" s="18"/>
      <c r="EV113" s="18"/>
      <c r="EW113" s="18"/>
      <c r="EX113" s="18"/>
      <c r="EY113" s="18"/>
      <c r="EZ113" s="18"/>
      <c r="FA113" s="18"/>
      <c r="FB113" s="18"/>
      <c r="FC113" s="18"/>
      <c r="FD113" s="18"/>
      <c r="FE113" s="18"/>
      <c r="FF113" s="18"/>
      <c r="FG113" s="18"/>
      <c r="FH113" s="18"/>
      <c r="FI113" s="18"/>
      <c r="FJ113" s="18"/>
      <c r="FK113" s="18"/>
      <c r="FL113" s="18"/>
      <c r="FM113" s="18"/>
      <c r="FN113" s="18"/>
      <c r="FO113" s="18"/>
      <c r="FP113" s="18"/>
      <c r="FQ113" s="18"/>
      <c r="FR113" s="18"/>
      <c r="FS113" s="18"/>
      <c r="FT113" s="18"/>
      <c r="FU113" s="18"/>
      <c r="FV113" s="18"/>
      <c r="FW113" s="18"/>
      <c r="FX113" s="18"/>
      <c r="FY113" s="18"/>
      <c r="FZ113" s="18"/>
      <c r="GA113" s="18"/>
      <c r="GB113" s="18"/>
      <c r="GC113" s="18"/>
      <c r="GD113" s="18"/>
      <c r="GE113" s="18"/>
      <c r="GF113" s="18"/>
      <c r="GG113" s="18"/>
      <c r="GH113" s="18"/>
      <c r="GI113" s="18"/>
      <c r="GJ113" s="18"/>
      <c r="GK113" s="18"/>
      <c r="GL113" s="18"/>
      <c r="GM113" s="18"/>
      <c r="GN113" s="18"/>
      <c r="GO113" s="18"/>
      <c r="GP113" s="18"/>
      <c r="GQ113" s="18"/>
      <c r="GR113" s="18"/>
      <c r="GS113" s="18"/>
      <c r="GT113" s="18"/>
      <c r="GU113" s="18"/>
      <c r="GV113" s="18"/>
      <c r="GW113" s="18"/>
      <c r="GX113" s="18"/>
      <c r="GY113" s="18"/>
      <c r="GZ113" s="18"/>
      <c r="HA113" s="18"/>
      <c r="HB113" s="18"/>
      <c r="HC113" s="18"/>
      <c r="HD113" s="18"/>
      <c r="HE113" s="18"/>
      <c r="HF113" s="18"/>
      <c r="HG113" s="18"/>
      <c r="HH113" s="18"/>
      <c r="HI113" s="18"/>
      <c r="HJ113" s="18"/>
      <c r="HK113" s="18"/>
      <c r="HL113" s="18"/>
      <c r="HM113" s="18"/>
      <c r="HN113" s="18"/>
      <c r="HO113" s="18"/>
      <c r="HP113" s="18"/>
      <c r="HQ113" s="18"/>
      <c r="HR113" s="18"/>
      <c r="HS113" s="18"/>
      <c r="HT113" s="18"/>
      <c r="HU113" s="18"/>
      <c r="HV113" s="18"/>
      <c r="HW113" s="18"/>
      <c r="HX113" s="18"/>
      <c r="HY113" s="18"/>
      <c r="HZ113" s="18"/>
      <c r="IA113" s="18"/>
      <c r="IB113" s="18"/>
      <c r="IC113" s="18"/>
      <c r="ID113" s="18"/>
      <c r="IE113" s="18"/>
      <c r="IF113" s="18"/>
      <c r="IG113" s="18"/>
      <c r="IH113" s="18"/>
      <c r="II113" s="18"/>
      <c r="IJ113" s="18"/>
      <c r="IK113" s="18"/>
      <c r="IL113" s="18"/>
      <c r="IM113" s="18"/>
      <c r="IN113" s="18"/>
      <c r="IO113" s="18"/>
      <c r="IP113" s="18"/>
      <c r="IQ113" s="18"/>
      <c r="IR113" s="18"/>
      <c r="IS113" s="18"/>
      <c r="IT113" s="18"/>
      <c r="IU113" s="18"/>
      <c r="IV113" s="18"/>
      <c r="IW113" s="18"/>
      <c r="IX113" s="18"/>
      <c r="IY113" s="18"/>
      <c r="IZ113" s="18"/>
      <c r="JA113" s="18"/>
      <c r="JB113" s="18"/>
      <c r="JC113" s="18"/>
      <c r="JD113" s="18"/>
      <c r="JE113" s="18"/>
      <c r="JF113" s="18"/>
      <c r="JG113" s="18"/>
      <c r="JH113" s="18"/>
      <c r="JI113" s="18"/>
      <c r="JJ113" s="18"/>
      <c r="JK113" s="18"/>
      <c r="JL113" s="18"/>
      <c r="JM113" s="18"/>
      <c r="JN113" s="18"/>
      <c r="JO113" s="18"/>
      <c r="JP113" s="18"/>
      <c r="JQ113" s="18"/>
      <c r="JR113" s="18"/>
      <c r="JS113" s="18"/>
      <c r="JT113" s="18"/>
      <c r="JU113" s="18"/>
      <c r="JV113" s="18"/>
      <c r="JW113" s="18"/>
      <c r="JX113" s="18"/>
      <c r="JY113" s="18"/>
      <c r="JZ113" s="18"/>
      <c r="KA113" s="18"/>
      <c r="KB113" s="18"/>
      <c r="KC113" s="18"/>
      <c r="KD113" s="18"/>
      <c r="KE113" s="18"/>
      <c r="KF113" s="18"/>
      <c r="KG113" s="18"/>
      <c r="KH113" s="18"/>
      <c r="KI113" s="18"/>
      <c r="KJ113" s="18"/>
      <c r="KK113" s="18"/>
      <c r="KL113" s="18"/>
      <c r="KM113" s="18"/>
      <c r="KN113" s="18"/>
      <c r="KO113" s="18"/>
      <c r="KP113" s="18"/>
      <c r="KQ113" s="18"/>
      <c r="KR113" s="18"/>
      <c r="KS113" s="18"/>
      <c r="KT113" s="18"/>
      <c r="KU113" s="18"/>
      <c r="KV113" s="18"/>
      <c r="KW113" s="18"/>
      <c r="KX113" s="18"/>
      <c r="KY113" s="18"/>
      <c r="KZ113" s="18"/>
      <c r="LA113" s="18"/>
      <c r="LB113" s="18"/>
      <c r="LC113" s="18"/>
      <c r="LD113" s="18"/>
      <c r="LE113" s="18"/>
      <c r="LF113" s="18"/>
      <c r="LG113" s="18"/>
      <c r="LH113" s="18"/>
      <c r="LI113" s="18"/>
      <c r="LJ113" s="18"/>
      <c r="LK113" s="18"/>
      <c r="LL113" s="18"/>
      <c r="LM113" s="18"/>
      <c r="LN113" s="18"/>
      <c r="LO113" s="18"/>
      <c r="LP113" s="18"/>
      <c r="LQ113" s="18"/>
      <c r="LR113" s="18"/>
      <c r="LS113" s="18"/>
      <c r="LT113" s="18"/>
      <c r="LU113" s="18"/>
      <c r="LV113" s="18"/>
      <c r="LW113" s="18"/>
      <c r="LX113" s="18"/>
      <c r="LY113" s="18"/>
      <c r="LZ113" s="18"/>
      <c r="MA113" s="18"/>
      <c r="MB113" s="18"/>
      <c r="MC113" s="18"/>
      <c r="MD113" s="18"/>
      <c r="ME113" s="18"/>
      <c r="MF113" s="18"/>
      <c r="MG113" s="18"/>
      <c r="MH113" s="18"/>
      <c r="MI113" s="18"/>
      <c r="MJ113" s="18"/>
      <c r="MK113" s="18"/>
      <c r="ML113" s="18"/>
      <c r="MM113" s="18"/>
      <c r="MN113" s="18"/>
      <c r="MO113" s="18"/>
      <c r="MP113" s="18"/>
      <c r="MQ113" s="18"/>
      <c r="MR113" s="18"/>
      <c r="MS113" s="18"/>
      <c r="MT113" s="18"/>
      <c r="MU113" s="18"/>
      <c r="MV113" s="18"/>
      <c r="MW113" s="18"/>
      <c r="MX113" s="18"/>
      <c r="MY113" s="18"/>
      <c r="MZ113" s="18"/>
      <c r="NA113" s="18"/>
      <c r="NB113" s="18"/>
      <c r="NC113" s="18"/>
      <c r="ND113" s="18"/>
      <c r="NE113" s="18"/>
      <c r="NF113" s="18"/>
      <c r="NG113" s="18"/>
      <c r="NH113" s="18"/>
      <c r="NI113" s="18"/>
      <c r="NJ113" s="18"/>
      <c r="NK113" s="18"/>
      <c r="NL113" s="18"/>
      <c r="NM113" s="18"/>
      <c r="NN113" s="18"/>
      <c r="NO113" s="18"/>
      <c r="NP113" s="18"/>
      <c r="NQ113" s="18"/>
      <c r="NR113" s="18"/>
      <c r="NS113" s="18"/>
      <c r="NT113" s="18"/>
      <c r="NU113" s="18"/>
      <c r="NV113" s="18"/>
      <c r="NW113" s="18"/>
      <c r="NX113" s="18"/>
      <c r="NY113" s="18"/>
      <c r="NZ113" s="18"/>
      <c r="OA113" s="18"/>
      <c r="OB113" s="18"/>
      <c r="OC113" s="18"/>
      <c r="OD113" s="18"/>
      <c r="OE113" s="18"/>
      <c r="OF113" s="18"/>
      <c r="OG113" s="18"/>
      <c r="OH113" s="18"/>
      <c r="OI113" s="18"/>
      <c r="OJ113" s="18"/>
      <c r="OK113" s="18"/>
      <c r="OL113" s="18"/>
      <c r="OM113" s="18"/>
      <c r="ON113" s="18"/>
      <c r="OO113" s="18"/>
      <c r="OP113" s="18"/>
      <c r="OQ113" s="18"/>
      <c r="OR113" s="18"/>
      <c r="OS113" s="18"/>
      <c r="OT113" s="18"/>
      <c r="OU113" s="18"/>
      <c r="OV113" s="18"/>
      <c r="OW113" s="18"/>
      <c r="OX113" s="18"/>
      <c r="OY113" s="18"/>
      <c r="OZ113" s="18"/>
      <c r="PA113" s="18"/>
      <c r="PB113" s="18"/>
      <c r="PC113" s="18"/>
      <c r="PD113" s="18"/>
      <c r="PE113" s="18"/>
      <c r="PF113" s="18"/>
      <c r="PG113" s="18"/>
      <c r="PH113" s="18"/>
      <c r="PI113" s="18"/>
      <c r="PJ113" s="18"/>
      <c r="PK113" s="18"/>
      <c r="PL113" s="18"/>
      <c r="PM113" s="18"/>
      <c r="PN113" s="18"/>
      <c r="PO113" s="18"/>
      <c r="PP113" s="18"/>
      <c r="PQ113" s="18"/>
      <c r="PR113" s="18"/>
      <c r="PS113" s="18"/>
      <c r="PT113" s="18"/>
      <c r="PU113" s="18"/>
      <c r="PV113" s="18"/>
      <c r="PW113" s="18"/>
      <c r="PX113" s="18"/>
      <c r="PY113" s="18"/>
      <c r="PZ113" s="18"/>
      <c r="QA113" s="18"/>
      <c r="QB113" s="18"/>
      <c r="QC113" s="18"/>
      <c r="QD113" s="18"/>
      <c r="QE113" s="18"/>
      <c r="QF113" s="18"/>
      <c r="QG113" s="18"/>
      <c r="QH113" s="18"/>
      <c r="QI113" s="18"/>
      <c r="QJ113" s="18"/>
      <c r="QK113" s="18"/>
      <c r="QL113" s="18"/>
      <c r="QM113" s="18"/>
      <c r="QN113" s="18"/>
      <c r="QO113" s="18"/>
      <c r="QP113" s="18"/>
      <c r="QQ113" s="18"/>
      <c r="QR113" s="18"/>
      <c r="QS113" s="18"/>
      <c r="QT113" s="18"/>
      <c r="QU113" s="18"/>
      <c r="QV113" s="18"/>
      <c r="QW113" s="18"/>
      <c r="QX113" s="18"/>
      <c r="QY113" s="18"/>
      <c r="QZ113" s="18"/>
      <c r="RA113" s="18"/>
      <c r="RB113" s="18"/>
      <c r="RC113" s="18"/>
      <c r="RD113" s="18"/>
      <c r="RE113" s="18"/>
      <c r="RF113" s="18"/>
      <c r="RG113" s="18"/>
      <c r="RH113" s="18"/>
      <c r="RI113" s="18"/>
      <c r="RJ113" s="18"/>
      <c r="RK113" s="18"/>
      <c r="RL113" s="18"/>
      <c r="RM113" s="18"/>
      <c r="RN113" s="18"/>
      <c r="RO113" s="18"/>
      <c r="RP113" s="18"/>
      <c r="RQ113" s="18"/>
      <c r="RR113" s="18"/>
      <c r="RS113" s="18"/>
      <c r="RT113" s="18"/>
      <c r="RU113" s="18"/>
      <c r="RV113" s="18"/>
      <c r="RW113" s="18"/>
      <c r="RX113" s="18"/>
      <c r="RY113" s="18"/>
      <c r="RZ113" s="18"/>
      <c r="SA113" s="18"/>
      <c r="SB113" s="18"/>
      <c r="SC113" s="18"/>
      <c r="SD113" s="18"/>
      <c r="SE113" s="18"/>
      <c r="SF113" s="18"/>
      <c r="SG113" s="18"/>
      <c r="SH113" s="18"/>
      <c r="SI113" s="18"/>
      <c r="SJ113" s="18"/>
      <c r="SK113" s="18"/>
      <c r="SL113" s="18"/>
      <c r="SM113" s="18"/>
      <c r="SN113" s="18"/>
      <c r="SO113" s="18"/>
      <c r="SP113" s="18"/>
      <c r="SQ113" s="18"/>
      <c r="SR113" s="18"/>
      <c r="SS113" s="18"/>
      <c r="ST113" s="18"/>
      <c r="SU113" s="18"/>
      <c r="SV113" s="18"/>
      <c r="SW113" s="18"/>
      <c r="SX113" s="18"/>
      <c r="SY113" s="18"/>
      <c r="SZ113" s="18"/>
      <c r="TA113" s="18"/>
      <c r="TB113" s="18"/>
      <c r="TC113" s="18"/>
      <c r="TD113" s="18"/>
      <c r="TE113" s="18"/>
      <c r="TF113" s="18"/>
      <c r="TG113" s="18"/>
      <c r="TH113" s="18"/>
      <c r="TI113" s="18"/>
      <c r="TJ113" s="18"/>
      <c r="TK113" s="18"/>
      <c r="TL113" s="18"/>
      <c r="TM113" s="18"/>
      <c r="TN113" s="18"/>
      <c r="TO113" s="18"/>
      <c r="TP113" s="18"/>
      <c r="TQ113" s="18"/>
      <c r="TR113" s="18"/>
      <c r="TS113" s="18"/>
      <c r="TT113" s="18"/>
      <c r="TU113" s="18"/>
      <c r="TV113" s="18"/>
      <c r="TW113" s="18"/>
      <c r="TX113" s="18"/>
      <c r="TY113" s="18"/>
      <c r="TZ113" s="18"/>
      <c r="UA113" s="18"/>
      <c r="UB113" s="18"/>
      <c r="UC113" s="18"/>
      <c r="UD113" s="18"/>
      <c r="UE113" s="18"/>
      <c r="UF113" s="18"/>
      <c r="UG113" s="18"/>
      <c r="UH113" s="18"/>
      <c r="UI113" s="18"/>
      <c r="UJ113" s="18"/>
      <c r="UK113" s="18"/>
      <c r="UL113" s="18"/>
      <c r="UM113" s="18"/>
      <c r="UN113" s="18"/>
      <c r="UO113" s="18"/>
      <c r="UP113" s="18"/>
      <c r="UQ113" s="18"/>
      <c r="UR113" s="18"/>
      <c r="US113" s="18"/>
      <c r="UT113" s="18"/>
      <c r="UU113" s="18"/>
      <c r="UV113" s="18"/>
      <c r="UW113" s="18"/>
      <c r="UX113" s="18"/>
      <c r="UY113" s="18"/>
      <c r="UZ113" s="18"/>
      <c r="VA113" s="18"/>
      <c r="VB113" s="18"/>
      <c r="VC113" s="18"/>
      <c r="VD113" s="18"/>
      <c r="VE113" s="18"/>
      <c r="VF113" s="18"/>
      <c r="VG113" s="18"/>
      <c r="VH113" s="18"/>
      <c r="VI113" s="18"/>
      <c r="VJ113" s="18"/>
      <c r="VK113" s="18"/>
      <c r="VL113" s="18"/>
      <c r="VM113" s="18"/>
      <c r="VN113" s="18"/>
      <c r="VO113" s="18"/>
      <c r="VP113" s="18"/>
      <c r="VQ113" s="18"/>
      <c r="VR113" s="18"/>
      <c r="VS113" s="18"/>
      <c r="VT113" s="18"/>
      <c r="VU113" s="18"/>
      <c r="VV113" s="18"/>
      <c r="VW113" s="18"/>
      <c r="VX113" s="18"/>
      <c r="VY113" s="18"/>
      <c r="VZ113" s="18"/>
      <c r="WA113" s="18"/>
      <c r="WB113" s="18"/>
      <c r="WC113" s="18"/>
      <c r="WD113" s="18"/>
      <c r="WE113" s="18"/>
      <c r="WF113" s="18"/>
      <c r="WG113" s="18"/>
      <c r="WH113" s="18"/>
      <c r="WI113" s="18"/>
      <c r="WJ113" s="18"/>
      <c r="WK113" s="18"/>
      <c r="WL113" s="18"/>
      <c r="WM113" s="18"/>
      <c r="WN113" s="18"/>
      <c r="WO113" s="18"/>
      <c r="WP113" s="18"/>
      <c r="WQ113" s="18"/>
      <c r="WR113" s="18"/>
      <c r="WS113" s="18"/>
      <c r="WT113" s="18"/>
      <c r="WU113" s="18"/>
      <c r="WV113" s="18"/>
      <c r="WW113" s="18"/>
      <c r="WX113" s="18"/>
      <c r="WY113" s="18"/>
      <c r="WZ113" s="18"/>
      <c r="XA113" s="18"/>
      <c r="XB113" s="18"/>
      <c r="XC113" s="18"/>
      <c r="XD113" s="18"/>
      <c r="XE113" s="18"/>
      <c r="XF113" s="18"/>
      <c r="XG113" s="18"/>
      <c r="XH113" s="18"/>
      <c r="XI113" s="18"/>
      <c r="XJ113" s="18"/>
      <c r="XK113" s="18"/>
      <c r="XL113" s="18"/>
      <c r="XM113" s="18"/>
      <c r="XN113" s="18"/>
      <c r="XO113" s="18"/>
      <c r="XP113" s="18"/>
      <c r="XQ113" s="18"/>
      <c r="XR113" s="18"/>
      <c r="XS113" s="18"/>
      <c r="XT113" s="18"/>
      <c r="XU113" s="18"/>
      <c r="XV113" s="18"/>
      <c r="XW113" s="18"/>
      <c r="XX113" s="18"/>
      <c r="XY113" s="18"/>
      <c r="XZ113" s="18"/>
      <c r="YA113" s="18"/>
      <c r="YB113" s="18"/>
      <c r="YC113" s="18"/>
      <c r="YD113" s="18"/>
      <c r="YE113" s="18"/>
      <c r="YF113" s="18"/>
      <c r="YG113" s="18"/>
      <c r="YH113" s="18"/>
      <c r="YI113" s="18"/>
      <c r="YJ113" s="18"/>
      <c r="YK113" s="18"/>
      <c r="YL113" s="18"/>
      <c r="YM113" s="18"/>
      <c r="YN113" s="18"/>
      <c r="YO113" s="18"/>
      <c r="YP113" s="18"/>
      <c r="YQ113" s="18"/>
      <c r="YR113" s="18"/>
      <c r="YS113" s="18"/>
      <c r="YT113" s="18"/>
      <c r="YU113" s="18"/>
      <c r="YV113" s="18"/>
      <c r="YW113" s="18"/>
      <c r="YX113" s="18"/>
      <c r="YY113" s="18"/>
      <c r="YZ113" s="18"/>
      <c r="ZA113" s="18"/>
      <c r="ZB113" s="18"/>
      <c r="ZC113" s="18"/>
      <c r="ZD113" s="18"/>
      <c r="ZE113" s="18"/>
      <c r="ZF113" s="18"/>
      <c r="ZG113" s="18"/>
      <c r="ZH113" s="18"/>
      <c r="ZI113" s="18"/>
      <c r="ZJ113" s="18"/>
      <c r="ZK113" s="18"/>
      <c r="ZL113" s="18"/>
      <c r="ZM113" s="18"/>
      <c r="ZN113" s="18"/>
      <c r="ZO113" s="18"/>
      <c r="ZP113" s="18"/>
      <c r="ZQ113" s="18"/>
      <c r="ZR113" s="18"/>
      <c r="ZS113" s="18"/>
      <c r="ZT113" s="18"/>
      <c r="ZU113" s="18"/>
      <c r="ZV113" s="18"/>
      <c r="ZW113" s="18"/>
      <c r="ZX113" s="18"/>
      <c r="ZY113" s="18"/>
      <c r="ZZ113" s="18"/>
      <c r="AAA113" s="18"/>
      <c r="AAB113" s="18"/>
      <c r="AAC113" s="18"/>
      <c r="AAD113" s="18"/>
      <c r="AAE113" s="18"/>
      <c r="AAF113" s="18"/>
      <c r="AAG113" s="18"/>
      <c r="AAH113" s="18"/>
      <c r="AAI113" s="18"/>
      <c r="AAJ113" s="18"/>
      <c r="AAK113" s="18"/>
      <c r="AAL113" s="18"/>
      <c r="AAM113" s="18"/>
      <c r="AAN113" s="18"/>
      <c r="AAO113" s="18"/>
      <c r="AAP113" s="18"/>
      <c r="AAQ113" s="18"/>
      <c r="AAR113" s="18"/>
      <c r="AAS113" s="18"/>
      <c r="AAT113" s="18"/>
      <c r="AAU113" s="18"/>
      <c r="AAV113" s="18"/>
      <c r="AAW113" s="18"/>
      <c r="AAX113" s="18"/>
      <c r="AAY113" s="18"/>
      <c r="AAZ113" s="18"/>
      <c r="ABA113" s="18"/>
      <c r="ABB113" s="18"/>
      <c r="ABC113" s="18"/>
      <c r="ABD113" s="18"/>
      <c r="ABE113" s="18"/>
      <c r="ABF113" s="18"/>
      <c r="ABG113" s="18"/>
      <c r="ABH113" s="18"/>
      <c r="ABI113" s="18"/>
      <c r="ABJ113" s="18"/>
      <c r="ABK113" s="18"/>
      <c r="ABL113" s="18"/>
      <c r="ABM113" s="18"/>
      <c r="ABN113" s="18"/>
      <c r="ABO113" s="18"/>
      <c r="ABP113" s="18"/>
      <c r="ABQ113" s="18"/>
      <c r="ABR113" s="18"/>
      <c r="ABS113" s="18"/>
      <c r="ABT113" s="18"/>
      <c r="ABU113" s="18"/>
      <c r="ABV113" s="18"/>
      <c r="ABW113" s="18"/>
      <c r="ABX113" s="18"/>
      <c r="ABY113" s="18"/>
      <c r="ABZ113" s="18"/>
      <c r="ACA113" s="18"/>
      <c r="ACB113" s="18"/>
      <c r="ACC113" s="18"/>
      <c r="ACD113" s="18"/>
      <c r="ACE113" s="18"/>
      <c r="ACF113" s="18"/>
      <c r="ACG113" s="18"/>
      <c r="ACH113" s="18"/>
      <c r="ACI113" s="18"/>
      <c r="ACJ113" s="18"/>
      <c r="ACK113" s="18"/>
      <c r="ACL113" s="18"/>
      <c r="ACM113" s="18"/>
      <c r="ACN113" s="18"/>
      <c r="ACO113" s="18"/>
      <c r="ACP113" s="18"/>
      <c r="ACQ113" s="18"/>
      <c r="ACR113" s="18"/>
      <c r="ACS113" s="18"/>
      <c r="ACT113" s="18"/>
      <c r="ACU113" s="18"/>
      <c r="ACV113" s="18"/>
      <c r="ACW113" s="18"/>
      <c r="ACX113" s="18"/>
      <c r="ACY113" s="18"/>
      <c r="ACZ113" s="18"/>
      <c r="ADA113" s="18"/>
      <c r="ADB113" s="18"/>
      <c r="ADC113" s="18"/>
      <c r="ADD113" s="18"/>
      <c r="ADE113" s="18"/>
      <c r="ADF113" s="18"/>
      <c r="ADG113" s="18"/>
      <c r="ADH113" s="18"/>
      <c r="ADI113" s="18"/>
      <c r="ADJ113" s="18"/>
      <c r="ADK113" s="18"/>
      <c r="ADL113" s="18"/>
      <c r="ADM113" s="18"/>
      <c r="ADN113" s="18"/>
      <c r="ADO113" s="18"/>
      <c r="ADP113" s="18"/>
      <c r="ADQ113" s="18"/>
      <c r="ADR113" s="18"/>
      <c r="ADS113" s="18"/>
      <c r="ADT113" s="18"/>
      <c r="ADU113" s="18"/>
      <c r="ADV113" s="18"/>
      <c r="ADW113" s="18"/>
      <c r="ADX113" s="18"/>
      <c r="ADY113" s="18"/>
      <c r="ADZ113" s="18"/>
      <c r="AEA113" s="18"/>
      <c r="AEB113" s="18"/>
      <c r="AEC113" s="18"/>
      <c r="AED113" s="18"/>
      <c r="AEE113" s="18"/>
      <c r="AEF113" s="18"/>
      <c r="AEG113" s="18"/>
      <c r="AEH113" s="18"/>
      <c r="AEI113" s="18"/>
      <c r="AEJ113" s="18"/>
      <c r="AEK113" s="18"/>
      <c r="AEL113" s="18"/>
      <c r="AEM113" s="18"/>
      <c r="AEN113" s="18"/>
      <c r="AEO113" s="18"/>
      <c r="AEP113" s="18"/>
      <c r="AEQ113" s="18"/>
      <c r="AER113" s="18"/>
      <c r="AES113" s="18"/>
      <c r="AET113" s="18"/>
      <c r="AEU113" s="18"/>
      <c r="AEV113" s="18"/>
      <c r="AEW113" s="18"/>
      <c r="AEX113" s="18"/>
      <c r="AEY113" s="18"/>
      <c r="AEZ113" s="18"/>
      <c r="AFA113" s="18"/>
      <c r="AFB113" s="18"/>
      <c r="AFC113" s="18"/>
      <c r="AFD113" s="18"/>
      <c r="AFE113" s="18"/>
      <c r="AFF113" s="18"/>
      <c r="AFG113" s="18"/>
      <c r="AFH113" s="18"/>
      <c r="AFI113" s="18"/>
      <c r="AFJ113" s="18"/>
      <c r="AFK113" s="18"/>
      <c r="AFL113" s="18"/>
      <c r="AFM113" s="18"/>
      <c r="AFN113" s="18"/>
      <c r="AFO113" s="18"/>
      <c r="AFP113" s="18"/>
      <c r="AFQ113" s="18"/>
      <c r="AFR113" s="18"/>
      <c r="AFS113" s="18"/>
      <c r="AFT113" s="18"/>
      <c r="AFU113" s="18"/>
      <c r="AFV113" s="18"/>
      <c r="AFW113" s="18"/>
      <c r="AFX113" s="18"/>
      <c r="AFY113" s="18"/>
      <c r="AFZ113" s="18"/>
      <c r="AGA113" s="18"/>
      <c r="AGB113" s="18"/>
      <c r="AGC113" s="18"/>
      <c r="AGD113" s="18"/>
      <c r="AGE113" s="18"/>
      <c r="AGF113" s="18"/>
      <c r="AGG113" s="18"/>
      <c r="AGH113" s="18"/>
      <c r="AGI113" s="18"/>
      <c r="AGJ113" s="18"/>
      <c r="AGK113" s="18"/>
      <c r="AGL113" s="18"/>
      <c r="AGM113" s="18"/>
      <c r="AGN113" s="18"/>
      <c r="AGO113" s="18"/>
      <c r="AGP113" s="18"/>
      <c r="AGQ113" s="18"/>
      <c r="AGR113" s="18"/>
      <c r="AGS113" s="18"/>
      <c r="AGT113" s="18"/>
      <c r="AGU113" s="18"/>
      <c r="AGV113" s="18"/>
      <c r="AGW113" s="18"/>
      <c r="AGX113" s="18"/>
      <c r="AGY113" s="18"/>
      <c r="AGZ113" s="18"/>
      <c r="AHA113" s="18"/>
      <c r="AHB113" s="18"/>
      <c r="AHC113" s="18"/>
      <c r="AHD113" s="18"/>
      <c r="AHE113" s="18"/>
      <c r="AHF113" s="18"/>
      <c r="AHG113" s="18"/>
      <c r="AHH113" s="18"/>
      <c r="AHI113" s="18"/>
      <c r="AHJ113" s="18"/>
      <c r="AHK113" s="18"/>
      <c r="AHL113" s="18"/>
      <c r="AHM113" s="18"/>
      <c r="AHN113" s="18"/>
      <c r="AHO113" s="18"/>
      <c r="AHP113" s="18"/>
      <c r="AHQ113" s="18"/>
      <c r="AHR113" s="18"/>
      <c r="AHS113" s="18"/>
      <c r="AHT113" s="18"/>
      <c r="AHU113" s="18"/>
      <c r="AHV113" s="18"/>
      <c r="AHW113" s="18"/>
      <c r="AHX113" s="18"/>
      <c r="AHY113" s="18"/>
      <c r="AHZ113" s="18"/>
      <c r="AIA113" s="18"/>
      <c r="AIB113" s="18"/>
      <c r="AIC113" s="18"/>
      <c r="AID113" s="18"/>
      <c r="AIE113" s="18"/>
      <c r="AIF113" s="18"/>
      <c r="AIG113" s="18"/>
      <c r="AIH113" s="18"/>
      <c r="AII113" s="18"/>
      <c r="AIJ113" s="18"/>
      <c r="AIK113" s="18"/>
      <c r="AIL113" s="18"/>
      <c r="AIM113" s="18"/>
      <c r="AIN113" s="18"/>
      <c r="AIO113" s="18"/>
      <c r="AIP113" s="18"/>
      <c r="AIQ113" s="18"/>
      <c r="AIR113" s="18"/>
      <c r="AIS113" s="18"/>
      <c r="AIT113" s="18"/>
      <c r="AIU113" s="18"/>
      <c r="AIV113" s="18"/>
      <c r="AIW113" s="18"/>
      <c r="AIX113" s="18"/>
      <c r="AIY113" s="18"/>
      <c r="AIZ113" s="18"/>
      <c r="AJA113" s="18"/>
      <c r="AJB113" s="18"/>
      <c r="AJC113" s="18"/>
      <c r="AJD113" s="18"/>
      <c r="AJE113" s="18"/>
      <c r="AJF113" s="18"/>
      <c r="AJG113" s="18"/>
      <c r="AJH113" s="18"/>
      <c r="AJI113" s="18"/>
      <c r="AJJ113" s="18"/>
      <c r="AJK113" s="18"/>
      <c r="AJL113" s="18"/>
      <c r="AJM113" s="18"/>
      <c r="AJN113" s="18"/>
      <c r="AJO113" s="18"/>
      <c r="AJP113" s="18"/>
      <c r="AJQ113" s="18"/>
      <c r="AJR113" s="18"/>
      <c r="AJS113" s="18"/>
      <c r="AJT113" s="18"/>
      <c r="AJU113" s="18"/>
      <c r="AJV113" s="18"/>
      <c r="AJW113" s="18"/>
      <c r="AJX113" s="18"/>
      <c r="AJY113" s="18"/>
      <c r="AJZ113" s="18"/>
      <c r="AKA113" s="18"/>
      <c r="AKB113" s="18"/>
      <c r="AKC113" s="18"/>
      <c r="AKD113" s="18"/>
      <c r="AKE113" s="18"/>
      <c r="AKF113" s="18"/>
      <c r="AKG113" s="18"/>
      <c r="AKH113" s="18"/>
      <c r="AKI113" s="18"/>
      <c r="AKJ113" s="18"/>
      <c r="AKK113" s="18"/>
      <c r="AKL113" s="18"/>
      <c r="AKM113" s="18"/>
      <c r="AKN113" s="18"/>
      <c r="AKO113" s="18"/>
      <c r="AKP113" s="18"/>
      <c r="AKQ113" s="18"/>
      <c r="AKR113" s="18"/>
      <c r="AKS113" s="18"/>
      <c r="AKT113" s="18"/>
      <c r="AKU113" s="18"/>
      <c r="AKV113" s="18"/>
      <c r="AKW113" s="18"/>
      <c r="AKX113" s="18"/>
      <c r="AKY113" s="18"/>
      <c r="AKZ113" s="18"/>
      <c r="ALA113" s="18"/>
      <c r="ALB113" s="18"/>
      <c r="ALC113" s="18"/>
      <c r="ALD113" s="18"/>
      <c r="ALE113" s="18"/>
      <c r="ALF113" s="18"/>
      <c r="ALG113" s="18"/>
      <c r="ALH113" s="18"/>
      <c r="ALI113" s="18"/>
      <c r="ALJ113" s="18"/>
      <c r="ALK113" s="18"/>
      <c r="ALL113" s="18"/>
      <c r="ALM113" s="18"/>
      <c r="ALN113" s="18"/>
      <c r="ALO113" s="18"/>
      <c r="ALP113" s="18"/>
      <c r="ALQ113" s="18"/>
      <c r="ALR113" s="18"/>
      <c r="ALS113" s="18"/>
      <c r="ALT113" s="18"/>
      <c r="ALU113" s="18"/>
      <c r="ALV113" s="18"/>
      <c r="ALW113" s="18"/>
      <c r="ALX113" s="18"/>
      <c r="ALY113" s="18"/>
      <c r="ALZ113" s="18"/>
      <c r="AMA113" s="18"/>
      <c r="AMB113" s="18"/>
      <c r="AMC113" s="18"/>
      <c r="AMD113" s="18"/>
      <c r="AME113" s="18"/>
      <c r="AMF113" s="18"/>
      <c r="AMG113" s="18"/>
      <c r="AMH113" s="18"/>
    </row>
    <row r="114" spans="1:1022" s="23" customFormat="1" x14ac:dyDescent="0.3">
      <c r="A114" s="33">
        <v>210</v>
      </c>
      <c r="B114" s="19"/>
      <c r="C114" s="19"/>
      <c r="D114" s="34"/>
      <c r="E114" s="34"/>
      <c r="F114" s="19"/>
      <c r="G114" s="19"/>
      <c r="H114" s="18"/>
      <c r="I114" s="31"/>
      <c r="J114" s="31"/>
      <c r="K114" s="31"/>
      <c r="L114" s="31"/>
      <c r="M114" s="32"/>
      <c r="N114" s="32"/>
      <c r="O114" s="18"/>
      <c r="P114" s="36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  <c r="BI114" s="18"/>
      <c r="BJ114" s="18"/>
      <c r="BK114" s="18"/>
      <c r="BL114" s="18"/>
      <c r="BM114" s="18"/>
      <c r="BN114" s="18"/>
      <c r="BO114" s="18"/>
      <c r="BP114" s="18"/>
      <c r="BQ114" s="18"/>
      <c r="BR114" s="18"/>
      <c r="BS114" s="18"/>
      <c r="BT114" s="18"/>
      <c r="BU114" s="18"/>
      <c r="BV114" s="18"/>
      <c r="BW114" s="18"/>
      <c r="BX114" s="18"/>
      <c r="BY114" s="18"/>
      <c r="BZ114" s="18"/>
      <c r="CA114" s="18"/>
      <c r="CB114" s="18"/>
      <c r="CC114" s="18"/>
      <c r="CD114" s="18"/>
      <c r="CE114" s="18"/>
      <c r="CF114" s="18"/>
      <c r="CG114" s="18"/>
      <c r="CH114" s="18"/>
      <c r="CI114" s="18"/>
      <c r="CJ114" s="18"/>
      <c r="CK114" s="18"/>
      <c r="CL114" s="18"/>
      <c r="CM114" s="18"/>
      <c r="CN114" s="18"/>
      <c r="CO114" s="18"/>
      <c r="CP114" s="18"/>
      <c r="CQ114" s="18"/>
      <c r="CR114" s="18"/>
      <c r="CS114" s="18"/>
      <c r="CT114" s="18"/>
      <c r="CU114" s="18"/>
      <c r="CV114" s="18"/>
      <c r="CW114" s="18"/>
      <c r="CX114" s="18"/>
      <c r="CY114" s="18"/>
      <c r="CZ114" s="18"/>
      <c r="DA114" s="18"/>
      <c r="DB114" s="18"/>
      <c r="DC114" s="18"/>
      <c r="DD114" s="18"/>
      <c r="DE114" s="18"/>
      <c r="DF114" s="18"/>
      <c r="DG114" s="18"/>
      <c r="DH114" s="18"/>
      <c r="DI114" s="18"/>
      <c r="DJ114" s="18"/>
      <c r="DK114" s="18"/>
      <c r="DL114" s="18"/>
      <c r="DM114" s="18"/>
      <c r="DN114" s="18"/>
      <c r="DO114" s="18"/>
      <c r="DP114" s="18"/>
      <c r="DQ114" s="18"/>
      <c r="DR114" s="18"/>
      <c r="DS114" s="18"/>
      <c r="DT114" s="18"/>
      <c r="DU114" s="18"/>
      <c r="DV114" s="18"/>
      <c r="DW114" s="18"/>
      <c r="DX114" s="18"/>
      <c r="DY114" s="18"/>
      <c r="DZ114" s="18"/>
      <c r="EA114" s="18"/>
      <c r="EB114" s="18"/>
      <c r="EC114" s="18"/>
      <c r="ED114" s="18"/>
      <c r="EE114" s="18"/>
      <c r="EF114" s="18"/>
      <c r="EG114" s="18"/>
      <c r="EH114" s="18"/>
      <c r="EI114" s="18"/>
      <c r="EJ114" s="18"/>
      <c r="EK114" s="18"/>
      <c r="EL114" s="18"/>
      <c r="EM114" s="18"/>
      <c r="EN114" s="18"/>
      <c r="EO114" s="18"/>
      <c r="EP114" s="18"/>
      <c r="EQ114" s="18"/>
      <c r="ER114" s="18"/>
      <c r="ES114" s="18"/>
      <c r="ET114" s="18"/>
      <c r="EU114" s="18"/>
      <c r="EV114" s="18"/>
      <c r="EW114" s="18"/>
      <c r="EX114" s="18"/>
      <c r="EY114" s="18"/>
      <c r="EZ114" s="18"/>
      <c r="FA114" s="18"/>
      <c r="FB114" s="18"/>
      <c r="FC114" s="18"/>
      <c r="FD114" s="18"/>
      <c r="FE114" s="18"/>
      <c r="FF114" s="18"/>
      <c r="FG114" s="18"/>
      <c r="FH114" s="18"/>
      <c r="FI114" s="18"/>
      <c r="FJ114" s="18"/>
      <c r="FK114" s="18"/>
      <c r="FL114" s="18"/>
      <c r="FM114" s="18"/>
      <c r="FN114" s="18"/>
      <c r="FO114" s="18"/>
      <c r="FP114" s="18"/>
      <c r="FQ114" s="18"/>
      <c r="FR114" s="18"/>
      <c r="FS114" s="18"/>
      <c r="FT114" s="18"/>
      <c r="FU114" s="18"/>
      <c r="FV114" s="18"/>
      <c r="FW114" s="18"/>
      <c r="FX114" s="18"/>
      <c r="FY114" s="18"/>
      <c r="FZ114" s="18"/>
      <c r="GA114" s="18"/>
      <c r="GB114" s="18"/>
      <c r="GC114" s="18"/>
      <c r="GD114" s="18"/>
      <c r="GE114" s="18"/>
      <c r="GF114" s="18"/>
      <c r="GG114" s="18"/>
      <c r="GH114" s="18"/>
      <c r="GI114" s="18"/>
      <c r="GJ114" s="18"/>
      <c r="GK114" s="18"/>
      <c r="GL114" s="18"/>
      <c r="GM114" s="18"/>
      <c r="GN114" s="18"/>
      <c r="GO114" s="18"/>
      <c r="GP114" s="18"/>
      <c r="GQ114" s="18"/>
      <c r="GR114" s="18"/>
      <c r="GS114" s="18"/>
      <c r="GT114" s="18"/>
      <c r="GU114" s="18"/>
      <c r="GV114" s="18"/>
      <c r="GW114" s="18"/>
      <c r="GX114" s="18"/>
      <c r="GY114" s="18"/>
      <c r="GZ114" s="18"/>
      <c r="HA114" s="18"/>
      <c r="HB114" s="18"/>
      <c r="HC114" s="18"/>
      <c r="HD114" s="18"/>
      <c r="HE114" s="18"/>
      <c r="HF114" s="18"/>
      <c r="HG114" s="18"/>
      <c r="HH114" s="18"/>
      <c r="HI114" s="18"/>
      <c r="HJ114" s="18"/>
      <c r="HK114" s="18"/>
      <c r="HL114" s="18"/>
      <c r="HM114" s="18"/>
      <c r="HN114" s="18"/>
      <c r="HO114" s="18"/>
      <c r="HP114" s="18"/>
      <c r="HQ114" s="18"/>
      <c r="HR114" s="18"/>
      <c r="HS114" s="18"/>
      <c r="HT114" s="18"/>
      <c r="HU114" s="18"/>
      <c r="HV114" s="18"/>
      <c r="HW114" s="18"/>
      <c r="HX114" s="18"/>
      <c r="HY114" s="18"/>
      <c r="HZ114" s="18"/>
      <c r="IA114" s="18"/>
      <c r="IB114" s="18"/>
      <c r="IC114" s="18"/>
      <c r="ID114" s="18"/>
      <c r="IE114" s="18"/>
      <c r="IF114" s="18"/>
      <c r="IG114" s="18"/>
      <c r="IH114" s="18"/>
      <c r="II114" s="18"/>
      <c r="IJ114" s="18"/>
      <c r="IK114" s="18"/>
      <c r="IL114" s="18"/>
      <c r="IM114" s="18"/>
      <c r="IN114" s="18"/>
      <c r="IO114" s="18"/>
      <c r="IP114" s="18"/>
      <c r="IQ114" s="18"/>
      <c r="IR114" s="18"/>
      <c r="IS114" s="18"/>
      <c r="IT114" s="18"/>
      <c r="IU114" s="18"/>
      <c r="IV114" s="18"/>
      <c r="IW114" s="18"/>
      <c r="IX114" s="18"/>
      <c r="IY114" s="18"/>
      <c r="IZ114" s="18"/>
      <c r="JA114" s="18"/>
      <c r="JB114" s="18"/>
      <c r="JC114" s="18"/>
      <c r="JD114" s="18"/>
      <c r="JE114" s="18"/>
      <c r="JF114" s="18"/>
      <c r="JG114" s="18"/>
      <c r="JH114" s="18"/>
      <c r="JI114" s="18"/>
      <c r="JJ114" s="18"/>
      <c r="JK114" s="18"/>
      <c r="JL114" s="18"/>
      <c r="JM114" s="18"/>
      <c r="JN114" s="18"/>
      <c r="JO114" s="18"/>
      <c r="JP114" s="18"/>
      <c r="JQ114" s="18"/>
      <c r="JR114" s="18"/>
      <c r="JS114" s="18"/>
      <c r="JT114" s="18"/>
      <c r="JU114" s="18"/>
      <c r="JV114" s="18"/>
      <c r="JW114" s="18"/>
      <c r="JX114" s="18"/>
      <c r="JY114" s="18"/>
      <c r="JZ114" s="18"/>
      <c r="KA114" s="18"/>
      <c r="KB114" s="18"/>
      <c r="KC114" s="18"/>
      <c r="KD114" s="18"/>
      <c r="KE114" s="18"/>
      <c r="KF114" s="18"/>
      <c r="KG114" s="18"/>
      <c r="KH114" s="18"/>
      <c r="KI114" s="18"/>
      <c r="KJ114" s="18"/>
      <c r="KK114" s="18"/>
      <c r="KL114" s="18"/>
      <c r="KM114" s="18"/>
      <c r="KN114" s="18"/>
      <c r="KO114" s="18"/>
      <c r="KP114" s="18"/>
      <c r="KQ114" s="18"/>
      <c r="KR114" s="18"/>
      <c r="KS114" s="18"/>
      <c r="KT114" s="18"/>
      <c r="KU114" s="18"/>
      <c r="KV114" s="18"/>
      <c r="KW114" s="18"/>
      <c r="KX114" s="18"/>
      <c r="KY114" s="18"/>
      <c r="KZ114" s="18"/>
      <c r="LA114" s="18"/>
      <c r="LB114" s="18"/>
      <c r="LC114" s="18"/>
      <c r="LD114" s="18"/>
      <c r="LE114" s="18"/>
      <c r="LF114" s="18"/>
      <c r="LG114" s="18"/>
      <c r="LH114" s="18"/>
      <c r="LI114" s="18"/>
      <c r="LJ114" s="18"/>
      <c r="LK114" s="18"/>
      <c r="LL114" s="18"/>
      <c r="LM114" s="18"/>
      <c r="LN114" s="18"/>
      <c r="LO114" s="18"/>
      <c r="LP114" s="18"/>
      <c r="LQ114" s="18"/>
      <c r="LR114" s="18"/>
      <c r="LS114" s="18"/>
      <c r="LT114" s="18"/>
      <c r="LU114" s="18"/>
      <c r="LV114" s="18"/>
      <c r="LW114" s="18"/>
      <c r="LX114" s="18"/>
      <c r="LY114" s="18"/>
      <c r="LZ114" s="18"/>
      <c r="MA114" s="18"/>
      <c r="MB114" s="18"/>
      <c r="MC114" s="18"/>
      <c r="MD114" s="18"/>
      <c r="ME114" s="18"/>
      <c r="MF114" s="18"/>
      <c r="MG114" s="18"/>
      <c r="MH114" s="18"/>
      <c r="MI114" s="18"/>
      <c r="MJ114" s="18"/>
      <c r="MK114" s="18"/>
      <c r="ML114" s="18"/>
      <c r="MM114" s="18"/>
      <c r="MN114" s="18"/>
      <c r="MO114" s="18"/>
      <c r="MP114" s="18"/>
      <c r="MQ114" s="18"/>
      <c r="MR114" s="18"/>
      <c r="MS114" s="18"/>
      <c r="MT114" s="18"/>
      <c r="MU114" s="18"/>
      <c r="MV114" s="18"/>
      <c r="MW114" s="18"/>
      <c r="MX114" s="18"/>
      <c r="MY114" s="18"/>
      <c r="MZ114" s="18"/>
      <c r="NA114" s="18"/>
      <c r="NB114" s="18"/>
      <c r="NC114" s="18"/>
      <c r="ND114" s="18"/>
      <c r="NE114" s="18"/>
      <c r="NF114" s="18"/>
      <c r="NG114" s="18"/>
      <c r="NH114" s="18"/>
      <c r="NI114" s="18"/>
      <c r="NJ114" s="18"/>
      <c r="NK114" s="18"/>
      <c r="NL114" s="18"/>
      <c r="NM114" s="18"/>
      <c r="NN114" s="18"/>
      <c r="NO114" s="18"/>
      <c r="NP114" s="18"/>
      <c r="NQ114" s="18"/>
      <c r="NR114" s="18"/>
      <c r="NS114" s="18"/>
      <c r="NT114" s="18"/>
      <c r="NU114" s="18"/>
      <c r="NV114" s="18"/>
      <c r="NW114" s="18"/>
      <c r="NX114" s="18"/>
      <c r="NY114" s="18"/>
      <c r="NZ114" s="18"/>
      <c r="OA114" s="18"/>
      <c r="OB114" s="18"/>
      <c r="OC114" s="18"/>
      <c r="OD114" s="18"/>
      <c r="OE114" s="18"/>
      <c r="OF114" s="18"/>
      <c r="OG114" s="18"/>
      <c r="OH114" s="18"/>
      <c r="OI114" s="18"/>
      <c r="OJ114" s="18"/>
      <c r="OK114" s="18"/>
      <c r="OL114" s="18"/>
      <c r="OM114" s="18"/>
      <c r="ON114" s="18"/>
      <c r="OO114" s="18"/>
      <c r="OP114" s="18"/>
      <c r="OQ114" s="18"/>
      <c r="OR114" s="18"/>
      <c r="OS114" s="18"/>
      <c r="OT114" s="18"/>
      <c r="OU114" s="18"/>
      <c r="OV114" s="18"/>
      <c r="OW114" s="18"/>
      <c r="OX114" s="18"/>
      <c r="OY114" s="18"/>
      <c r="OZ114" s="18"/>
      <c r="PA114" s="18"/>
      <c r="PB114" s="18"/>
      <c r="PC114" s="18"/>
      <c r="PD114" s="18"/>
      <c r="PE114" s="18"/>
      <c r="PF114" s="18"/>
      <c r="PG114" s="18"/>
      <c r="PH114" s="18"/>
      <c r="PI114" s="18"/>
      <c r="PJ114" s="18"/>
      <c r="PK114" s="18"/>
      <c r="PL114" s="18"/>
      <c r="PM114" s="18"/>
      <c r="PN114" s="18"/>
      <c r="PO114" s="18"/>
      <c r="PP114" s="18"/>
      <c r="PQ114" s="18"/>
      <c r="PR114" s="18"/>
      <c r="PS114" s="18"/>
      <c r="PT114" s="18"/>
      <c r="PU114" s="18"/>
      <c r="PV114" s="18"/>
      <c r="PW114" s="18"/>
      <c r="PX114" s="18"/>
      <c r="PY114" s="18"/>
      <c r="PZ114" s="18"/>
      <c r="QA114" s="18"/>
      <c r="QB114" s="18"/>
      <c r="QC114" s="18"/>
      <c r="QD114" s="18"/>
      <c r="QE114" s="18"/>
      <c r="QF114" s="18"/>
      <c r="QG114" s="18"/>
      <c r="QH114" s="18"/>
      <c r="QI114" s="18"/>
      <c r="QJ114" s="18"/>
      <c r="QK114" s="18"/>
      <c r="QL114" s="18"/>
      <c r="QM114" s="18"/>
      <c r="QN114" s="18"/>
      <c r="QO114" s="18"/>
      <c r="QP114" s="18"/>
      <c r="QQ114" s="18"/>
      <c r="QR114" s="18"/>
      <c r="QS114" s="18"/>
      <c r="QT114" s="18"/>
      <c r="QU114" s="18"/>
      <c r="QV114" s="18"/>
      <c r="QW114" s="18"/>
      <c r="QX114" s="18"/>
      <c r="QY114" s="18"/>
      <c r="QZ114" s="18"/>
      <c r="RA114" s="18"/>
      <c r="RB114" s="18"/>
      <c r="RC114" s="18"/>
      <c r="RD114" s="18"/>
      <c r="RE114" s="18"/>
      <c r="RF114" s="18"/>
      <c r="RG114" s="18"/>
      <c r="RH114" s="18"/>
      <c r="RI114" s="18"/>
      <c r="RJ114" s="18"/>
      <c r="RK114" s="18"/>
      <c r="RL114" s="18"/>
      <c r="RM114" s="18"/>
      <c r="RN114" s="18"/>
      <c r="RO114" s="18"/>
      <c r="RP114" s="18"/>
      <c r="RQ114" s="18"/>
      <c r="RR114" s="18"/>
      <c r="RS114" s="18"/>
      <c r="RT114" s="18"/>
      <c r="RU114" s="18"/>
      <c r="RV114" s="18"/>
      <c r="RW114" s="18"/>
      <c r="RX114" s="18"/>
      <c r="RY114" s="18"/>
      <c r="RZ114" s="18"/>
      <c r="SA114" s="18"/>
      <c r="SB114" s="18"/>
      <c r="SC114" s="18"/>
      <c r="SD114" s="18"/>
      <c r="SE114" s="18"/>
      <c r="SF114" s="18"/>
      <c r="SG114" s="18"/>
      <c r="SH114" s="18"/>
      <c r="SI114" s="18"/>
      <c r="SJ114" s="18"/>
      <c r="SK114" s="18"/>
      <c r="SL114" s="18"/>
      <c r="SM114" s="18"/>
      <c r="SN114" s="18"/>
      <c r="SO114" s="18"/>
      <c r="SP114" s="18"/>
      <c r="SQ114" s="18"/>
      <c r="SR114" s="18"/>
      <c r="SS114" s="18"/>
      <c r="ST114" s="18"/>
      <c r="SU114" s="18"/>
      <c r="SV114" s="18"/>
      <c r="SW114" s="18"/>
      <c r="SX114" s="18"/>
      <c r="SY114" s="18"/>
      <c r="SZ114" s="18"/>
      <c r="TA114" s="18"/>
      <c r="TB114" s="18"/>
      <c r="TC114" s="18"/>
      <c r="TD114" s="18"/>
      <c r="TE114" s="18"/>
      <c r="TF114" s="18"/>
      <c r="TG114" s="18"/>
      <c r="TH114" s="18"/>
      <c r="TI114" s="18"/>
      <c r="TJ114" s="18"/>
      <c r="TK114" s="18"/>
      <c r="TL114" s="18"/>
      <c r="TM114" s="18"/>
      <c r="TN114" s="18"/>
      <c r="TO114" s="18"/>
      <c r="TP114" s="18"/>
      <c r="TQ114" s="18"/>
      <c r="TR114" s="18"/>
      <c r="TS114" s="18"/>
      <c r="TT114" s="18"/>
      <c r="TU114" s="18"/>
      <c r="TV114" s="18"/>
      <c r="TW114" s="18"/>
      <c r="TX114" s="18"/>
      <c r="TY114" s="18"/>
      <c r="TZ114" s="18"/>
      <c r="UA114" s="18"/>
      <c r="UB114" s="18"/>
      <c r="UC114" s="18"/>
      <c r="UD114" s="18"/>
      <c r="UE114" s="18"/>
      <c r="UF114" s="18"/>
      <c r="UG114" s="18"/>
      <c r="UH114" s="18"/>
      <c r="UI114" s="18"/>
      <c r="UJ114" s="18"/>
      <c r="UK114" s="18"/>
      <c r="UL114" s="18"/>
      <c r="UM114" s="18"/>
      <c r="UN114" s="18"/>
      <c r="UO114" s="18"/>
      <c r="UP114" s="18"/>
      <c r="UQ114" s="18"/>
      <c r="UR114" s="18"/>
      <c r="US114" s="18"/>
      <c r="UT114" s="18"/>
      <c r="UU114" s="18"/>
      <c r="UV114" s="18"/>
      <c r="UW114" s="18"/>
      <c r="UX114" s="18"/>
      <c r="UY114" s="18"/>
      <c r="UZ114" s="18"/>
      <c r="VA114" s="18"/>
      <c r="VB114" s="18"/>
      <c r="VC114" s="18"/>
      <c r="VD114" s="18"/>
      <c r="VE114" s="18"/>
      <c r="VF114" s="18"/>
      <c r="VG114" s="18"/>
      <c r="VH114" s="18"/>
      <c r="VI114" s="18"/>
      <c r="VJ114" s="18"/>
      <c r="VK114" s="18"/>
      <c r="VL114" s="18"/>
      <c r="VM114" s="18"/>
      <c r="VN114" s="18"/>
      <c r="VO114" s="18"/>
      <c r="VP114" s="18"/>
      <c r="VQ114" s="18"/>
      <c r="VR114" s="18"/>
      <c r="VS114" s="18"/>
      <c r="VT114" s="18"/>
      <c r="VU114" s="18"/>
      <c r="VV114" s="18"/>
      <c r="VW114" s="18"/>
      <c r="VX114" s="18"/>
      <c r="VY114" s="18"/>
      <c r="VZ114" s="18"/>
      <c r="WA114" s="18"/>
      <c r="WB114" s="18"/>
      <c r="WC114" s="18"/>
      <c r="WD114" s="18"/>
      <c r="WE114" s="18"/>
      <c r="WF114" s="18"/>
      <c r="WG114" s="18"/>
      <c r="WH114" s="18"/>
      <c r="WI114" s="18"/>
      <c r="WJ114" s="18"/>
      <c r="WK114" s="18"/>
      <c r="WL114" s="18"/>
      <c r="WM114" s="18"/>
      <c r="WN114" s="18"/>
      <c r="WO114" s="18"/>
      <c r="WP114" s="18"/>
      <c r="WQ114" s="18"/>
      <c r="WR114" s="18"/>
      <c r="WS114" s="18"/>
      <c r="WT114" s="18"/>
      <c r="WU114" s="18"/>
      <c r="WV114" s="18"/>
      <c r="WW114" s="18"/>
      <c r="WX114" s="18"/>
      <c r="WY114" s="18"/>
      <c r="WZ114" s="18"/>
      <c r="XA114" s="18"/>
      <c r="XB114" s="18"/>
      <c r="XC114" s="18"/>
      <c r="XD114" s="18"/>
      <c r="XE114" s="18"/>
      <c r="XF114" s="18"/>
      <c r="XG114" s="18"/>
      <c r="XH114" s="18"/>
      <c r="XI114" s="18"/>
      <c r="XJ114" s="18"/>
      <c r="XK114" s="18"/>
      <c r="XL114" s="18"/>
      <c r="XM114" s="18"/>
      <c r="XN114" s="18"/>
      <c r="XO114" s="18"/>
      <c r="XP114" s="18"/>
      <c r="XQ114" s="18"/>
      <c r="XR114" s="18"/>
      <c r="XS114" s="18"/>
      <c r="XT114" s="18"/>
      <c r="XU114" s="18"/>
      <c r="XV114" s="18"/>
      <c r="XW114" s="18"/>
      <c r="XX114" s="18"/>
      <c r="XY114" s="18"/>
      <c r="XZ114" s="18"/>
      <c r="YA114" s="18"/>
      <c r="YB114" s="18"/>
      <c r="YC114" s="18"/>
      <c r="YD114" s="18"/>
      <c r="YE114" s="18"/>
      <c r="YF114" s="18"/>
      <c r="YG114" s="18"/>
      <c r="YH114" s="18"/>
      <c r="YI114" s="18"/>
      <c r="YJ114" s="18"/>
      <c r="YK114" s="18"/>
      <c r="YL114" s="18"/>
      <c r="YM114" s="18"/>
      <c r="YN114" s="18"/>
      <c r="YO114" s="18"/>
      <c r="YP114" s="18"/>
      <c r="YQ114" s="18"/>
      <c r="YR114" s="18"/>
      <c r="YS114" s="18"/>
      <c r="YT114" s="18"/>
      <c r="YU114" s="18"/>
      <c r="YV114" s="18"/>
      <c r="YW114" s="18"/>
      <c r="YX114" s="18"/>
      <c r="YY114" s="18"/>
      <c r="YZ114" s="18"/>
      <c r="ZA114" s="18"/>
      <c r="ZB114" s="18"/>
      <c r="ZC114" s="18"/>
      <c r="ZD114" s="18"/>
      <c r="ZE114" s="18"/>
      <c r="ZF114" s="18"/>
      <c r="ZG114" s="18"/>
      <c r="ZH114" s="18"/>
      <c r="ZI114" s="18"/>
      <c r="ZJ114" s="18"/>
      <c r="ZK114" s="18"/>
      <c r="ZL114" s="18"/>
      <c r="ZM114" s="18"/>
      <c r="ZN114" s="18"/>
      <c r="ZO114" s="18"/>
      <c r="ZP114" s="18"/>
      <c r="ZQ114" s="18"/>
      <c r="ZR114" s="18"/>
      <c r="ZS114" s="18"/>
      <c r="ZT114" s="18"/>
      <c r="ZU114" s="18"/>
      <c r="ZV114" s="18"/>
      <c r="ZW114" s="18"/>
      <c r="ZX114" s="18"/>
      <c r="ZY114" s="18"/>
      <c r="ZZ114" s="18"/>
      <c r="AAA114" s="18"/>
      <c r="AAB114" s="18"/>
      <c r="AAC114" s="18"/>
      <c r="AAD114" s="18"/>
      <c r="AAE114" s="18"/>
      <c r="AAF114" s="18"/>
      <c r="AAG114" s="18"/>
      <c r="AAH114" s="18"/>
      <c r="AAI114" s="18"/>
      <c r="AAJ114" s="18"/>
      <c r="AAK114" s="18"/>
      <c r="AAL114" s="18"/>
      <c r="AAM114" s="18"/>
      <c r="AAN114" s="18"/>
      <c r="AAO114" s="18"/>
      <c r="AAP114" s="18"/>
      <c r="AAQ114" s="18"/>
      <c r="AAR114" s="18"/>
      <c r="AAS114" s="18"/>
      <c r="AAT114" s="18"/>
      <c r="AAU114" s="18"/>
      <c r="AAV114" s="18"/>
      <c r="AAW114" s="18"/>
      <c r="AAX114" s="18"/>
      <c r="AAY114" s="18"/>
      <c r="AAZ114" s="18"/>
      <c r="ABA114" s="18"/>
      <c r="ABB114" s="18"/>
      <c r="ABC114" s="18"/>
      <c r="ABD114" s="18"/>
      <c r="ABE114" s="18"/>
      <c r="ABF114" s="18"/>
      <c r="ABG114" s="18"/>
      <c r="ABH114" s="18"/>
      <c r="ABI114" s="18"/>
      <c r="ABJ114" s="18"/>
      <c r="ABK114" s="18"/>
      <c r="ABL114" s="18"/>
      <c r="ABM114" s="18"/>
      <c r="ABN114" s="18"/>
      <c r="ABO114" s="18"/>
      <c r="ABP114" s="18"/>
      <c r="ABQ114" s="18"/>
      <c r="ABR114" s="18"/>
      <c r="ABS114" s="18"/>
      <c r="ABT114" s="18"/>
      <c r="ABU114" s="18"/>
      <c r="ABV114" s="18"/>
      <c r="ABW114" s="18"/>
      <c r="ABX114" s="18"/>
      <c r="ABY114" s="18"/>
      <c r="ABZ114" s="18"/>
      <c r="ACA114" s="18"/>
      <c r="ACB114" s="18"/>
      <c r="ACC114" s="18"/>
      <c r="ACD114" s="18"/>
      <c r="ACE114" s="18"/>
      <c r="ACF114" s="18"/>
      <c r="ACG114" s="18"/>
      <c r="ACH114" s="18"/>
      <c r="ACI114" s="18"/>
      <c r="ACJ114" s="18"/>
      <c r="ACK114" s="18"/>
      <c r="ACL114" s="18"/>
      <c r="ACM114" s="18"/>
      <c r="ACN114" s="18"/>
      <c r="ACO114" s="18"/>
      <c r="ACP114" s="18"/>
      <c r="ACQ114" s="18"/>
      <c r="ACR114" s="18"/>
      <c r="ACS114" s="18"/>
      <c r="ACT114" s="18"/>
      <c r="ACU114" s="18"/>
      <c r="ACV114" s="18"/>
      <c r="ACW114" s="18"/>
      <c r="ACX114" s="18"/>
      <c r="ACY114" s="18"/>
      <c r="ACZ114" s="18"/>
      <c r="ADA114" s="18"/>
      <c r="ADB114" s="18"/>
      <c r="ADC114" s="18"/>
      <c r="ADD114" s="18"/>
      <c r="ADE114" s="18"/>
      <c r="ADF114" s="18"/>
      <c r="ADG114" s="18"/>
      <c r="ADH114" s="18"/>
      <c r="ADI114" s="18"/>
      <c r="ADJ114" s="18"/>
      <c r="ADK114" s="18"/>
      <c r="ADL114" s="18"/>
      <c r="ADM114" s="18"/>
      <c r="ADN114" s="18"/>
      <c r="ADO114" s="18"/>
      <c r="ADP114" s="18"/>
      <c r="ADQ114" s="18"/>
      <c r="ADR114" s="18"/>
      <c r="ADS114" s="18"/>
      <c r="ADT114" s="18"/>
      <c r="ADU114" s="18"/>
      <c r="ADV114" s="18"/>
      <c r="ADW114" s="18"/>
      <c r="ADX114" s="18"/>
      <c r="ADY114" s="18"/>
      <c r="ADZ114" s="18"/>
      <c r="AEA114" s="18"/>
      <c r="AEB114" s="18"/>
      <c r="AEC114" s="18"/>
      <c r="AED114" s="18"/>
      <c r="AEE114" s="18"/>
      <c r="AEF114" s="18"/>
      <c r="AEG114" s="18"/>
      <c r="AEH114" s="18"/>
      <c r="AEI114" s="18"/>
      <c r="AEJ114" s="18"/>
      <c r="AEK114" s="18"/>
      <c r="AEL114" s="18"/>
      <c r="AEM114" s="18"/>
      <c r="AEN114" s="18"/>
      <c r="AEO114" s="18"/>
      <c r="AEP114" s="18"/>
      <c r="AEQ114" s="18"/>
      <c r="AER114" s="18"/>
      <c r="AES114" s="18"/>
      <c r="AET114" s="18"/>
      <c r="AEU114" s="18"/>
      <c r="AEV114" s="18"/>
      <c r="AEW114" s="18"/>
      <c r="AEX114" s="18"/>
      <c r="AEY114" s="18"/>
      <c r="AEZ114" s="18"/>
      <c r="AFA114" s="18"/>
      <c r="AFB114" s="18"/>
      <c r="AFC114" s="18"/>
      <c r="AFD114" s="18"/>
      <c r="AFE114" s="18"/>
      <c r="AFF114" s="18"/>
      <c r="AFG114" s="18"/>
      <c r="AFH114" s="18"/>
      <c r="AFI114" s="18"/>
      <c r="AFJ114" s="18"/>
      <c r="AFK114" s="18"/>
      <c r="AFL114" s="18"/>
      <c r="AFM114" s="18"/>
      <c r="AFN114" s="18"/>
      <c r="AFO114" s="18"/>
      <c r="AFP114" s="18"/>
      <c r="AFQ114" s="18"/>
      <c r="AFR114" s="18"/>
      <c r="AFS114" s="18"/>
      <c r="AFT114" s="18"/>
      <c r="AFU114" s="18"/>
      <c r="AFV114" s="18"/>
      <c r="AFW114" s="18"/>
      <c r="AFX114" s="18"/>
      <c r="AFY114" s="18"/>
      <c r="AFZ114" s="18"/>
      <c r="AGA114" s="18"/>
      <c r="AGB114" s="18"/>
      <c r="AGC114" s="18"/>
      <c r="AGD114" s="18"/>
      <c r="AGE114" s="18"/>
      <c r="AGF114" s="18"/>
      <c r="AGG114" s="18"/>
      <c r="AGH114" s="18"/>
      <c r="AGI114" s="18"/>
      <c r="AGJ114" s="18"/>
      <c r="AGK114" s="18"/>
      <c r="AGL114" s="18"/>
      <c r="AGM114" s="18"/>
      <c r="AGN114" s="18"/>
      <c r="AGO114" s="18"/>
      <c r="AGP114" s="18"/>
      <c r="AGQ114" s="18"/>
      <c r="AGR114" s="18"/>
      <c r="AGS114" s="18"/>
      <c r="AGT114" s="18"/>
      <c r="AGU114" s="18"/>
      <c r="AGV114" s="18"/>
      <c r="AGW114" s="18"/>
      <c r="AGX114" s="18"/>
      <c r="AGY114" s="18"/>
      <c r="AGZ114" s="18"/>
      <c r="AHA114" s="18"/>
      <c r="AHB114" s="18"/>
      <c r="AHC114" s="18"/>
      <c r="AHD114" s="18"/>
      <c r="AHE114" s="18"/>
      <c r="AHF114" s="18"/>
      <c r="AHG114" s="18"/>
      <c r="AHH114" s="18"/>
      <c r="AHI114" s="18"/>
      <c r="AHJ114" s="18"/>
      <c r="AHK114" s="18"/>
      <c r="AHL114" s="18"/>
      <c r="AHM114" s="18"/>
      <c r="AHN114" s="18"/>
      <c r="AHO114" s="18"/>
      <c r="AHP114" s="18"/>
      <c r="AHQ114" s="18"/>
      <c r="AHR114" s="18"/>
      <c r="AHS114" s="18"/>
      <c r="AHT114" s="18"/>
      <c r="AHU114" s="18"/>
      <c r="AHV114" s="18"/>
      <c r="AHW114" s="18"/>
      <c r="AHX114" s="18"/>
      <c r="AHY114" s="18"/>
      <c r="AHZ114" s="18"/>
      <c r="AIA114" s="18"/>
      <c r="AIB114" s="18"/>
      <c r="AIC114" s="18"/>
      <c r="AID114" s="18"/>
      <c r="AIE114" s="18"/>
      <c r="AIF114" s="18"/>
      <c r="AIG114" s="18"/>
      <c r="AIH114" s="18"/>
      <c r="AII114" s="18"/>
      <c r="AIJ114" s="18"/>
      <c r="AIK114" s="18"/>
      <c r="AIL114" s="18"/>
      <c r="AIM114" s="18"/>
      <c r="AIN114" s="18"/>
      <c r="AIO114" s="18"/>
      <c r="AIP114" s="18"/>
      <c r="AIQ114" s="18"/>
      <c r="AIR114" s="18"/>
      <c r="AIS114" s="18"/>
      <c r="AIT114" s="18"/>
      <c r="AIU114" s="18"/>
      <c r="AIV114" s="18"/>
      <c r="AIW114" s="18"/>
      <c r="AIX114" s="18"/>
      <c r="AIY114" s="18"/>
      <c r="AIZ114" s="18"/>
      <c r="AJA114" s="18"/>
      <c r="AJB114" s="18"/>
      <c r="AJC114" s="18"/>
      <c r="AJD114" s="18"/>
      <c r="AJE114" s="18"/>
      <c r="AJF114" s="18"/>
      <c r="AJG114" s="18"/>
      <c r="AJH114" s="18"/>
      <c r="AJI114" s="18"/>
      <c r="AJJ114" s="18"/>
      <c r="AJK114" s="18"/>
      <c r="AJL114" s="18"/>
      <c r="AJM114" s="18"/>
      <c r="AJN114" s="18"/>
      <c r="AJO114" s="18"/>
      <c r="AJP114" s="18"/>
      <c r="AJQ114" s="18"/>
      <c r="AJR114" s="18"/>
      <c r="AJS114" s="18"/>
      <c r="AJT114" s="18"/>
      <c r="AJU114" s="18"/>
      <c r="AJV114" s="18"/>
      <c r="AJW114" s="18"/>
      <c r="AJX114" s="18"/>
      <c r="AJY114" s="18"/>
      <c r="AJZ114" s="18"/>
      <c r="AKA114" s="18"/>
      <c r="AKB114" s="18"/>
      <c r="AKC114" s="18"/>
      <c r="AKD114" s="18"/>
      <c r="AKE114" s="18"/>
      <c r="AKF114" s="18"/>
      <c r="AKG114" s="18"/>
      <c r="AKH114" s="18"/>
      <c r="AKI114" s="18"/>
      <c r="AKJ114" s="18"/>
      <c r="AKK114" s="18"/>
      <c r="AKL114" s="18"/>
      <c r="AKM114" s="18"/>
      <c r="AKN114" s="18"/>
      <c r="AKO114" s="18"/>
      <c r="AKP114" s="18"/>
      <c r="AKQ114" s="18"/>
      <c r="AKR114" s="18"/>
      <c r="AKS114" s="18"/>
      <c r="AKT114" s="18"/>
      <c r="AKU114" s="18"/>
      <c r="AKV114" s="18"/>
      <c r="AKW114" s="18"/>
      <c r="AKX114" s="18"/>
      <c r="AKY114" s="18"/>
      <c r="AKZ114" s="18"/>
      <c r="ALA114" s="18"/>
      <c r="ALB114" s="18"/>
      <c r="ALC114" s="18"/>
      <c r="ALD114" s="18"/>
      <c r="ALE114" s="18"/>
      <c r="ALF114" s="18"/>
      <c r="ALG114" s="18"/>
      <c r="ALH114" s="18"/>
      <c r="ALI114" s="18"/>
      <c r="ALJ114" s="18"/>
      <c r="ALK114" s="18"/>
      <c r="ALL114" s="18"/>
      <c r="ALM114" s="18"/>
      <c r="ALN114" s="18"/>
      <c r="ALO114" s="18"/>
      <c r="ALP114" s="18"/>
      <c r="ALQ114" s="18"/>
      <c r="ALR114" s="18"/>
      <c r="ALS114" s="18"/>
      <c r="ALT114" s="18"/>
      <c r="ALU114" s="18"/>
      <c r="ALV114" s="18"/>
      <c r="ALW114" s="18"/>
      <c r="ALX114" s="18"/>
      <c r="ALY114" s="18"/>
      <c r="ALZ114" s="18"/>
      <c r="AMA114" s="18"/>
      <c r="AMB114" s="18"/>
      <c r="AMC114" s="18"/>
      <c r="AMD114" s="18"/>
      <c r="AME114" s="18"/>
      <c r="AMF114" s="18"/>
      <c r="AMG114" s="18"/>
      <c r="AMH114" s="18"/>
    </row>
    <row r="115" spans="1:1022" s="23" customFormat="1" x14ac:dyDescent="0.3">
      <c r="A115" s="33">
        <v>211</v>
      </c>
      <c r="B115" s="19"/>
      <c r="C115" s="19"/>
      <c r="D115" s="34"/>
      <c r="E115" s="34"/>
      <c r="F115" s="19"/>
      <c r="G115" s="19"/>
      <c r="H115" s="18"/>
      <c r="I115" s="31"/>
      <c r="J115" s="31"/>
      <c r="K115" s="31"/>
      <c r="L115" s="31"/>
      <c r="M115" s="32"/>
      <c r="N115" s="32"/>
      <c r="O115" s="18"/>
      <c r="P115" s="36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18"/>
      <c r="BK115" s="18"/>
      <c r="BL115" s="18"/>
      <c r="BM115" s="18"/>
      <c r="BN115" s="18"/>
      <c r="BO115" s="18"/>
      <c r="BP115" s="18"/>
      <c r="BQ115" s="18"/>
      <c r="BR115" s="18"/>
      <c r="BS115" s="18"/>
      <c r="BT115" s="18"/>
      <c r="BU115" s="18"/>
      <c r="BV115" s="18"/>
      <c r="BW115" s="18"/>
      <c r="BX115" s="18"/>
      <c r="BY115" s="18"/>
      <c r="BZ115" s="18"/>
      <c r="CA115" s="18"/>
      <c r="CB115" s="18"/>
      <c r="CC115" s="18"/>
      <c r="CD115" s="18"/>
      <c r="CE115" s="18"/>
      <c r="CF115" s="18"/>
      <c r="CG115" s="18"/>
      <c r="CH115" s="18"/>
      <c r="CI115" s="18"/>
      <c r="CJ115" s="18"/>
      <c r="CK115" s="18"/>
      <c r="CL115" s="18"/>
      <c r="CM115" s="18"/>
      <c r="CN115" s="18"/>
      <c r="CO115" s="18"/>
      <c r="CP115" s="18"/>
      <c r="CQ115" s="18"/>
      <c r="CR115" s="18"/>
      <c r="CS115" s="18"/>
      <c r="CT115" s="18"/>
      <c r="CU115" s="18"/>
      <c r="CV115" s="18"/>
      <c r="CW115" s="18"/>
      <c r="CX115" s="18"/>
      <c r="CY115" s="18"/>
      <c r="CZ115" s="18"/>
      <c r="DA115" s="18"/>
      <c r="DB115" s="18"/>
      <c r="DC115" s="18"/>
      <c r="DD115" s="18"/>
      <c r="DE115" s="18"/>
      <c r="DF115" s="18"/>
      <c r="DG115" s="18"/>
      <c r="DH115" s="18"/>
      <c r="DI115" s="18"/>
      <c r="DJ115" s="18"/>
      <c r="DK115" s="18"/>
      <c r="DL115" s="18"/>
      <c r="DM115" s="18"/>
      <c r="DN115" s="18"/>
      <c r="DO115" s="18"/>
      <c r="DP115" s="18"/>
      <c r="DQ115" s="18"/>
      <c r="DR115" s="18"/>
      <c r="DS115" s="18"/>
      <c r="DT115" s="18"/>
      <c r="DU115" s="18"/>
      <c r="DV115" s="18"/>
      <c r="DW115" s="18"/>
      <c r="DX115" s="18"/>
      <c r="DY115" s="18"/>
      <c r="DZ115" s="18"/>
      <c r="EA115" s="18"/>
      <c r="EB115" s="18"/>
      <c r="EC115" s="18"/>
      <c r="ED115" s="18"/>
      <c r="EE115" s="18"/>
      <c r="EF115" s="18"/>
      <c r="EG115" s="18"/>
      <c r="EH115" s="18"/>
      <c r="EI115" s="18"/>
      <c r="EJ115" s="18"/>
      <c r="EK115" s="18"/>
      <c r="EL115" s="18"/>
      <c r="EM115" s="18"/>
      <c r="EN115" s="18"/>
      <c r="EO115" s="18"/>
      <c r="EP115" s="18"/>
      <c r="EQ115" s="18"/>
      <c r="ER115" s="18"/>
      <c r="ES115" s="18"/>
      <c r="ET115" s="18"/>
      <c r="EU115" s="18"/>
      <c r="EV115" s="18"/>
      <c r="EW115" s="18"/>
      <c r="EX115" s="18"/>
      <c r="EY115" s="18"/>
      <c r="EZ115" s="18"/>
      <c r="FA115" s="18"/>
      <c r="FB115" s="18"/>
      <c r="FC115" s="18"/>
      <c r="FD115" s="18"/>
      <c r="FE115" s="18"/>
      <c r="FF115" s="18"/>
      <c r="FG115" s="18"/>
      <c r="FH115" s="18"/>
      <c r="FI115" s="18"/>
      <c r="FJ115" s="18"/>
      <c r="FK115" s="18"/>
      <c r="FL115" s="18"/>
      <c r="FM115" s="18"/>
      <c r="FN115" s="18"/>
      <c r="FO115" s="18"/>
      <c r="FP115" s="18"/>
      <c r="FQ115" s="18"/>
      <c r="FR115" s="18"/>
      <c r="FS115" s="18"/>
      <c r="FT115" s="18"/>
      <c r="FU115" s="18"/>
      <c r="FV115" s="18"/>
      <c r="FW115" s="18"/>
      <c r="FX115" s="18"/>
      <c r="FY115" s="18"/>
      <c r="FZ115" s="18"/>
      <c r="GA115" s="18"/>
      <c r="GB115" s="18"/>
      <c r="GC115" s="18"/>
      <c r="GD115" s="18"/>
      <c r="GE115" s="18"/>
      <c r="GF115" s="18"/>
      <c r="GG115" s="18"/>
      <c r="GH115" s="18"/>
      <c r="GI115" s="18"/>
      <c r="GJ115" s="18"/>
      <c r="GK115" s="18"/>
      <c r="GL115" s="18"/>
      <c r="GM115" s="18"/>
      <c r="GN115" s="18"/>
      <c r="GO115" s="18"/>
      <c r="GP115" s="18"/>
      <c r="GQ115" s="18"/>
      <c r="GR115" s="18"/>
      <c r="GS115" s="18"/>
      <c r="GT115" s="18"/>
      <c r="GU115" s="18"/>
      <c r="GV115" s="18"/>
      <c r="GW115" s="18"/>
      <c r="GX115" s="18"/>
      <c r="GY115" s="18"/>
      <c r="GZ115" s="18"/>
      <c r="HA115" s="18"/>
      <c r="HB115" s="18"/>
      <c r="HC115" s="18"/>
      <c r="HD115" s="18"/>
      <c r="HE115" s="18"/>
      <c r="HF115" s="18"/>
      <c r="HG115" s="18"/>
      <c r="HH115" s="18"/>
      <c r="HI115" s="18"/>
      <c r="HJ115" s="18"/>
      <c r="HK115" s="18"/>
      <c r="HL115" s="18"/>
      <c r="HM115" s="18"/>
      <c r="HN115" s="18"/>
      <c r="HO115" s="18"/>
      <c r="HP115" s="18"/>
      <c r="HQ115" s="18"/>
      <c r="HR115" s="18"/>
      <c r="HS115" s="18"/>
      <c r="HT115" s="18"/>
      <c r="HU115" s="18"/>
      <c r="HV115" s="18"/>
      <c r="HW115" s="18"/>
      <c r="HX115" s="18"/>
      <c r="HY115" s="18"/>
      <c r="HZ115" s="18"/>
      <c r="IA115" s="18"/>
      <c r="IB115" s="18"/>
      <c r="IC115" s="18"/>
      <c r="ID115" s="18"/>
      <c r="IE115" s="18"/>
      <c r="IF115" s="18"/>
      <c r="IG115" s="18"/>
      <c r="IH115" s="18"/>
      <c r="II115" s="18"/>
      <c r="IJ115" s="18"/>
      <c r="IK115" s="18"/>
      <c r="IL115" s="18"/>
      <c r="IM115" s="18"/>
      <c r="IN115" s="18"/>
      <c r="IO115" s="18"/>
      <c r="IP115" s="18"/>
      <c r="IQ115" s="18"/>
      <c r="IR115" s="18"/>
      <c r="IS115" s="18"/>
      <c r="IT115" s="18"/>
      <c r="IU115" s="18"/>
      <c r="IV115" s="18"/>
      <c r="IW115" s="18"/>
      <c r="IX115" s="18"/>
      <c r="IY115" s="18"/>
      <c r="IZ115" s="18"/>
      <c r="JA115" s="18"/>
      <c r="JB115" s="18"/>
      <c r="JC115" s="18"/>
      <c r="JD115" s="18"/>
      <c r="JE115" s="18"/>
      <c r="JF115" s="18"/>
      <c r="JG115" s="18"/>
      <c r="JH115" s="18"/>
      <c r="JI115" s="18"/>
      <c r="JJ115" s="18"/>
      <c r="JK115" s="18"/>
      <c r="JL115" s="18"/>
      <c r="JM115" s="18"/>
      <c r="JN115" s="18"/>
      <c r="JO115" s="18"/>
      <c r="JP115" s="18"/>
      <c r="JQ115" s="18"/>
      <c r="JR115" s="18"/>
      <c r="JS115" s="18"/>
      <c r="JT115" s="18"/>
      <c r="JU115" s="18"/>
      <c r="JV115" s="18"/>
      <c r="JW115" s="18"/>
      <c r="JX115" s="18"/>
      <c r="JY115" s="18"/>
      <c r="JZ115" s="18"/>
      <c r="KA115" s="18"/>
      <c r="KB115" s="18"/>
      <c r="KC115" s="18"/>
      <c r="KD115" s="18"/>
      <c r="KE115" s="18"/>
      <c r="KF115" s="18"/>
      <c r="KG115" s="18"/>
      <c r="KH115" s="18"/>
      <c r="KI115" s="18"/>
      <c r="KJ115" s="18"/>
      <c r="KK115" s="18"/>
      <c r="KL115" s="18"/>
      <c r="KM115" s="18"/>
      <c r="KN115" s="18"/>
      <c r="KO115" s="18"/>
      <c r="KP115" s="18"/>
      <c r="KQ115" s="18"/>
      <c r="KR115" s="18"/>
      <c r="KS115" s="18"/>
      <c r="KT115" s="18"/>
      <c r="KU115" s="18"/>
      <c r="KV115" s="18"/>
      <c r="KW115" s="18"/>
      <c r="KX115" s="18"/>
      <c r="KY115" s="18"/>
      <c r="KZ115" s="18"/>
      <c r="LA115" s="18"/>
      <c r="LB115" s="18"/>
      <c r="LC115" s="18"/>
      <c r="LD115" s="18"/>
      <c r="LE115" s="18"/>
      <c r="LF115" s="18"/>
      <c r="LG115" s="18"/>
      <c r="LH115" s="18"/>
      <c r="LI115" s="18"/>
      <c r="LJ115" s="18"/>
      <c r="LK115" s="18"/>
      <c r="LL115" s="18"/>
      <c r="LM115" s="18"/>
      <c r="LN115" s="18"/>
      <c r="LO115" s="18"/>
      <c r="LP115" s="18"/>
      <c r="LQ115" s="18"/>
      <c r="LR115" s="18"/>
      <c r="LS115" s="18"/>
      <c r="LT115" s="18"/>
      <c r="LU115" s="18"/>
      <c r="LV115" s="18"/>
      <c r="LW115" s="18"/>
      <c r="LX115" s="18"/>
      <c r="LY115" s="18"/>
      <c r="LZ115" s="18"/>
      <c r="MA115" s="18"/>
      <c r="MB115" s="18"/>
      <c r="MC115" s="18"/>
      <c r="MD115" s="18"/>
      <c r="ME115" s="18"/>
      <c r="MF115" s="18"/>
      <c r="MG115" s="18"/>
      <c r="MH115" s="18"/>
      <c r="MI115" s="18"/>
      <c r="MJ115" s="18"/>
      <c r="MK115" s="18"/>
      <c r="ML115" s="18"/>
      <c r="MM115" s="18"/>
      <c r="MN115" s="18"/>
      <c r="MO115" s="18"/>
      <c r="MP115" s="18"/>
      <c r="MQ115" s="18"/>
      <c r="MR115" s="18"/>
      <c r="MS115" s="18"/>
      <c r="MT115" s="18"/>
      <c r="MU115" s="18"/>
      <c r="MV115" s="18"/>
      <c r="MW115" s="18"/>
      <c r="MX115" s="18"/>
      <c r="MY115" s="18"/>
      <c r="MZ115" s="18"/>
      <c r="NA115" s="18"/>
      <c r="NB115" s="18"/>
      <c r="NC115" s="18"/>
      <c r="ND115" s="18"/>
      <c r="NE115" s="18"/>
      <c r="NF115" s="18"/>
      <c r="NG115" s="18"/>
      <c r="NH115" s="18"/>
      <c r="NI115" s="18"/>
      <c r="NJ115" s="18"/>
      <c r="NK115" s="18"/>
      <c r="NL115" s="18"/>
      <c r="NM115" s="18"/>
      <c r="NN115" s="18"/>
      <c r="NO115" s="18"/>
      <c r="NP115" s="18"/>
      <c r="NQ115" s="18"/>
      <c r="NR115" s="18"/>
      <c r="NS115" s="18"/>
      <c r="NT115" s="18"/>
      <c r="NU115" s="18"/>
      <c r="NV115" s="18"/>
      <c r="NW115" s="18"/>
      <c r="NX115" s="18"/>
      <c r="NY115" s="18"/>
      <c r="NZ115" s="18"/>
      <c r="OA115" s="18"/>
      <c r="OB115" s="18"/>
      <c r="OC115" s="18"/>
      <c r="OD115" s="18"/>
      <c r="OE115" s="18"/>
      <c r="OF115" s="18"/>
      <c r="OG115" s="18"/>
      <c r="OH115" s="18"/>
      <c r="OI115" s="18"/>
      <c r="OJ115" s="18"/>
      <c r="OK115" s="18"/>
      <c r="OL115" s="18"/>
      <c r="OM115" s="18"/>
      <c r="ON115" s="18"/>
      <c r="OO115" s="18"/>
      <c r="OP115" s="18"/>
      <c r="OQ115" s="18"/>
      <c r="OR115" s="18"/>
      <c r="OS115" s="18"/>
      <c r="OT115" s="18"/>
      <c r="OU115" s="18"/>
      <c r="OV115" s="18"/>
      <c r="OW115" s="18"/>
      <c r="OX115" s="18"/>
      <c r="OY115" s="18"/>
      <c r="OZ115" s="18"/>
      <c r="PA115" s="18"/>
      <c r="PB115" s="18"/>
      <c r="PC115" s="18"/>
      <c r="PD115" s="18"/>
      <c r="PE115" s="18"/>
      <c r="PF115" s="18"/>
      <c r="PG115" s="18"/>
      <c r="PH115" s="18"/>
      <c r="PI115" s="18"/>
      <c r="PJ115" s="18"/>
      <c r="PK115" s="18"/>
      <c r="PL115" s="18"/>
      <c r="PM115" s="18"/>
      <c r="PN115" s="18"/>
      <c r="PO115" s="18"/>
      <c r="PP115" s="18"/>
      <c r="PQ115" s="18"/>
      <c r="PR115" s="18"/>
      <c r="PS115" s="18"/>
      <c r="PT115" s="18"/>
      <c r="PU115" s="18"/>
      <c r="PV115" s="18"/>
      <c r="PW115" s="18"/>
      <c r="PX115" s="18"/>
      <c r="PY115" s="18"/>
      <c r="PZ115" s="18"/>
      <c r="QA115" s="18"/>
      <c r="QB115" s="18"/>
      <c r="QC115" s="18"/>
      <c r="QD115" s="18"/>
      <c r="QE115" s="18"/>
      <c r="QF115" s="18"/>
      <c r="QG115" s="18"/>
      <c r="QH115" s="18"/>
      <c r="QI115" s="18"/>
      <c r="QJ115" s="18"/>
      <c r="QK115" s="18"/>
      <c r="QL115" s="18"/>
      <c r="QM115" s="18"/>
      <c r="QN115" s="18"/>
      <c r="QO115" s="18"/>
      <c r="QP115" s="18"/>
      <c r="QQ115" s="18"/>
      <c r="QR115" s="18"/>
      <c r="QS115" s="18"/>
      <c r="QT115" s="18"/>
      <c r="QU115" s="18"/>
      <c r="QV115" s="18"/>
      <c r="QW115" s="18"/>
      <c r="QX115" s="18"/>
      <c r="QY115" s="18"/>
      <c r="QZ115" s="18"/>
      <c r="RA115" s="18"/>
      <c r="RB115" s="18"/>
      <c r="RC115" s="18"/>
      <c r="RD115" s="18"/>
      <c r="RE115" s="18"/>
      <c r="RF115" s="18"/>
      <c r="RG115" s="18"/>
      <c r="RH115" s="18"/>
      <c r="RI115" s="18"/>
      <c r="RJ115" s="18"/>
      <c r="RK115" s="18"/>
      <c r="RL115" s="18"/>
      <c r="RM115" s="18"/>
      <c r="RN115" s="18"/>
      <c r="RO115" s="18"/>
      <c r="RP115" s="18"/>
      <c r="RQ115" s="18"/>
      <c r="RR115" s="18"/>
      <c r="RS115" s="18"/>
      <c r="RT115" s="18"/>
      <c r="RU115" s="18"/>
      <c r="RV115" s="18"/>
      <c r="RW115" s="18"/>
      <c r="RX115" s="18"/>
      <c r="RY115" s="18"/>
      <c r="RZ115" s="18"/>
      <c r="SA115" s="18"/>
      <c r="SB115" s="18"/>
      <c r="SC115" s="18"/>
      <c r="SD115" s="18"/>
      <c r="SE115" s="18"/>
      <c r="SF115" s="18"/>
      <c r="SG115" s="18"/>
      <c r="SH115" s="18"/>
      <c r="SI115" s="18"/>
      <c r="SJ115" s="18"/>
      <c r="SK115" s="18"/>
      <c r="SL115" s="18"/>
      <c r="SM115" s="18"/>
      <c r="SN115" s="18"/>
      <c r="SO115" s="18"/>
      <c r="SP115" s="18"/>
      <c r="SQ115" s="18"/>
      <c r="SR115" s="18"/>
      <c r="SS115" s="18"/>
      <c r="ST115" s="18"/>
      <c r="SU115" s="18"/>
      <c r="SV115" s="18"/>
      <c r="SW115" s="18"/>
      <c r="SX115" s="18"/>
      <c r="SY115" s="18"/>
      <c r="SZ115" s="18"/>
      <c r="TA115" s="18"/>
      <c r="TB115" s="18"/>
      <c r="TC115" s="18"/>
      <c r="TD115" s="18"/>
      <c r="TE115" s="18"/>
      <c r="TF115" s="18"/>
      <c r="TG115" s="18"/>
      <c r="TH115" s="18"/>
      <c r="TI115" s="18"/>
      <c r="TJ115" s="18"/>
      <c r="TK115" s="18"/>
      <c r="TL115" s="18"/>
      <c r="TM115" s="18"/>
      <c r="TN115" s="18"/>
      <c r="TO115" s="18"/>
      <c r="TP115" s="18"/>
      <c r="TQ115" s="18"/>
      <c r="TR115" s="18"/>
      <c r="TS115" s="18"/>
      <c r="TT115" s="18"/>
      <c r="TU115" s="18"/>
      <c r="TV115" s="18"/>
      <c r="TW115" s="18"/>
      <c r="TX115" s="18"/>
      <c r="TY115" s="18"/>
      <c r="TZ115" s="18"/>
      <c r="UA115" s="18"/>
      <c r="UB115" s="18"/>
      <c r="UC115" s="18"/>
      <c r="UD115" s="18"/>
      <c r="UE115" s="18"/>
      <c r="UF115" s="18"/>
      <c r="UG115" s="18"/>
      <c r="UH115" s="18"/>
      <c r="UI115" s="18"/>
      <c r="UJ115" s="18"/>
      <c r="UK115" s="18"/>
      <c r="UL115" s="18"/>
      <c r="UM115" s="18"/>
      <c r="UN115" s="18"/>
      <c r="UO115" s="18"/>
      <c r="UP115" s="18"/>
      <c r="UQ115" s="18"/>
      <c r="UR115" s="18"/>
      <c r="US115" s="18"/>
      <c r="UT115" s="18"/>
      <c r="UU115" s="18"/>
      <c r="UV115" s="18"/>
      <c r="UW115" s="18"/>
      <c r="UX115" s="18"/>
      <c r="UY115" s="18"/>
      <c r="UZ115" s="18"/>
      <c r="VA115" s="18"/>
      <c r="VB115" s="18"/>
      <c r="VC115" s="18"/>
      <c r="VD115" s="18"/>
      <c r="VE115" s="18"/>
      <c r="VF115" s="18"/>
      <c r="VG115" s="18"/>
      <c r="VH115" s="18"/>
      <c r="VI115" s="18"/>
      <c r="VJ115" s="18"/>
      <c r="VK115" s="18"/>
      <c r="VL115" s="18"/>
      <c r="VM115" s="18"/>
      <c r="VN115" s="18"/>
      <c r="VO115" s="18"/>
      <c r="VP115" s="18"/>
      <c r="VQ115" s="18"/>
      <c r="VR115" s="18"/>
      <c r="VS115" s="18"/>
      <c r="VT115" s="18"/>
      <c r="VU115" s="18"/>
      <c r="VV115" s="18"/>
      <c r="VW115" s="18"/>
      <c r="VX115" s="18"/>
      <c r="VY115" s="18"/>
      <c r="VZ115" s="18"/>
      <c r="WA115" s="18"/>
      <c r="WB115" s="18"/>
      <c r="WC115" s="18"/>
      <c r="WD115" s="18"/>
      <c r="WE115" s="18"/>
      <c r="WF115" s="18"/>
      <c r="WG115" s="18"/>
      <c r="WH115" s="18"/>
      <c r="WI115" s="18"/>
      <c r="WJ115" s="18"/>
      <c r="WK115" s="18"/>
      <c r="WL115" s="18"/>
      <c r="WM115" s="18"/>
      <c r="WN115" s="18"/>
      <c r="WO115" s="18"/>
      <c r="WP115" s="18"/>
      <c r="WQ115" s="18"/>
      <c r="WR115" s="18"/>
      <c r="WS115" s="18"/>
      <c r="WT115" s="18"/>
      <c r="WU115" s="18"/>
      <c r="WV115" s="18"/>
      <c r="WW115" s="18"/>
      <c r="WX115" s="18"/>
      <c r="WY115" s="18"/>
      <c r="WZ115" s="18"/>
      <c r="XA115" s="18"/>
      <c r="XB115" s="18"/>
      <c r="XC115" s="18"/>
      <c r="XD115" s="18"/>
      <c r="XE115" s="18"/>
      <c r="XF115" s="18"/>
      <c r="XG115" s="18"/>
      <c r="XH115" s="18"/>
      <c r="XI115" s="18"/>
      <c r="XJ115" s="18"/>
      <c r="XK115" s="18"/>
      <c r="XL115" s="18"/>
      <c r="XM115" s="18"/>
      <c r="XN115" s="18"/>
      <c r="XO115" s="18"/>
      <c r="XP115" s="18"/>
      <c r="XQ115" s="18"/>
      <c r="XR115" s="18"/>
      <c r="XS115" s="18"/>
      <c r="XT115" s="18"/>
      <c r="XU115" s="18"/>
      <c r="XV115" s="18"/>
      <c r="XW115" s="18"/>
      <c r="XX115" s="18"/>
      <c r="XY115" s="18"/>
      <c r="XZ115" s="18"/>
      <c r="YA115" s="18"/>
      <c r="YB115" s="18"/>
      <c r="YC115" s="18"/>
      <c r="YD115" s="18"/>
      <c r="YE115" s="18"/>
      <c r="YF115" s="18"/>
      <c r="YG115" s="18"/>
      <c r="YH115" s="18"/>
      <c r="YI115" s="18"/>
      <c r="YJ115" s="18"/>
      <c r="YK115" s="18"/>
      <c r="YL115" s="18"/>
      <c r="YM115" s="18"/>
      <c r="YN115" s="18"/>
      <c r="YO115" s="18"/>
      <c r="YP115" s="18"/>
      <c r="YQ115" s="18"/>
      <c r="YR115" s="18"/>
      <c r="YS115" s="18"/>
      <c r="YT115" s="18"/>
      <c r="YU115" s="18"/>
      <c r="YV115" s="18"/>
      <c r="YW115" s="18"/>
      <c r="YX115" s="18"/>
      <c r="YY115" s="18"/>
      <c r="YZ115" s="18"/>
      <c r="ZA115" s="18"/>
      <c r="ZB115" s="18"/>
      <c r="ZC115" s="18"/>
      <c r="ZD115" s="18"/>
      <c r="ZE115" s="18"/>
      <c r="ZF115" s="18"/>
      <c r="ZG115" s="18"/>
      <c r="ZH115" s="18"/>
      <c r="ZI115" s="18"/>
      <c r="ZJ115" s="18"/>
      <c r="ZK115" s="18"/>
      <c r="ZL115" s="18"/>
      <c r="ZM115" s="18"/>
      <c r="ZN115" s="18"/>
      <c r="ZO115" s="18"/>
      <c r="ZP115" s="18"/>
      <c r="ZQ115" s="18"/>
      <c r="ZR115" s="18"/>
      <c r="ZS115" s="18"/>
      <c r="ZT115" s="18"/>
      <c r="ZU115" s="18"/>
      <c r="ZV115" s="18"/>
      <c r="ZW115" s="18"/>
      <c r="ZX115" s="18"/>
      <c r="ZY115" s="18"/>
      <c r="ZZ115" s="18"/>
      <c r="AAA115" s="18"/>
      <c r="AAB115" s="18"/>
      <c r="AAC115" s="18"/>
      <c r="AAD115" s="18"/>
      <c r="AAE115" s="18"/>
      <c r="AAF115" s="18"/>
      <c r="AAG115" s="18"/>
      <c r="AAH115" s="18"/>
      <c r="AAI115" s="18"/>
      <c r="AAJ115" s="18"/>
      <c r="AAK115" s="18"/>
      <c r="AAL115" s="18"/>
      <c r="AAM115" s="18"/>
      <c r="AAN115" s="18"/>
      <c r="AAO115" s="18"/>
      <c r="AAP115" s="18"/>
      <c r="AAQ115" s="18"/>
      <c r="AAR115" s="18"/>
      <c r="AAS115" s="18"/>
      <c r="AAT115" s="18"/>
      <c r="AAU115" s="18"/>
      <c r="AAV115" s="18"/>
      <c r="AAW115" s="18"/>
      <c r="AAX115" s="18"/>
      <c r="AAY115" s="18"/>
      <c r="AAZ115" s="18"/>
      <c r="ABA115" s="18"/>
      <c r="ABB115" s="18"/>
      <c r="ABC115" s="18"/>
      <c r="ABD115" s="18"/>
      <c r="ABE115" s="18"/>
      <c r="ABF115" s="18"/>
      <c r="ABG115" s="18"/>
      <c r="ABH115" s="18"/>
      <c r="ABI115" s="18"/>
      <c r="ABJ115" s="18"/>
      <c r="ABK115" s="18"/>
      <c r="ABL115" s="18"/>
      <c r="ABM115" s="18"/>
      <c r="ABN115" s="18"/>
      <c r="ABO115" s="18"/>
      <c r="ABP115" s="18"/>
      <c r="ABQ115" s="18"/>
      <c r="ABR115" s="18"/>
      <c r="ABS115" s="18"/>
      <c r="ABT115" s="18"/>
      <c r="ABU115" s="18"/>
      <c r="ABV115" s="18"/>
      <c r="ABW115" s="18"/>
      <c r="ABX115" s="18"/>
      <c r="ABY115" s="18"/>
      <c r="ABZ115" s="18"/>
      <c r="ACA115" s="18"/>
      <c r="ACB115" s="18"/>
      <c r="ACC115" s="18"/>
      <c r="ACD115" s="18"/>
      <c r="ACE115" s="18"/>
      <c r="ACF115" s="18"/>
      <c r="ACG115" s="18"/>
      <c r="ACH115" s="18"/>
      <c r="ACI115" s="18"/>
      <c r="ACJ115" s="18"/>
      <c r="ACK115" s="18"/>
      <c r="ACL115" s="18"/>
      <c r="ACM115" s="18"/>
      <c r="ACN115" s="18"/>
      <c r="ACO115" s="18"/>
      <c r="ACP115" s="18"/>
      <c r="ACQ115" s="18"/>
      <c r="ACR115" s="18"/>
      <c r="ACS115" s="18"/>
      <c r="ACT115" s="18"/>
      <c r="ACU115" s="18"/>
      <c r="ACV115" s="18"/>
      <c r="ACW115" s="18"/>
      <c r="ACX115" s="18"/>
      <c r="ACY115" s="18"/>
      <c r="ACZ115" s="18"/>
      <c r="ADA115" s="18"/>
      <c r="ADB115" s="18"/>
      <c r="ADC115" s="18"/>
      <c r="ADD115" s="18"/>
      <c r="ADE115" s="18"/>
      <c r="ADF115" s="18"/>
      <c r="ADG115" s="18"/>
      <c r="ADH115" s="18"/>
      <c r="ADI115" s="18"/>
      <c r="ADJ115" s="18"/>
      <c r="ADK115" s="18"/>
      <c r="ADL115" s="18"/>
      <c r="ADM115" s="18"/>
      <c r="ADN115" s="18"/>
      <c r="ADO115" s="18"/>
      <c r="ADP115" s="18"/>
      <c r="ADQ115" s="18"/>
      <c r="ADR115" s="18"/>
      <c r="ADS115" s="18"/>
      <c r="ADT115" s="18"/>
      <c r="ADU115" s="18"/>
      <c r="ADV115" s="18"/>
      <c r="ADW115" s="18"/>
      <c r="ADX115" s="18"/>
      <c r="ADY115" s="18"/>
      <c r="ADZ115" s="18"/>
      <c r="AEA115" s="18"/>
      <c r="AEB115" s="18"/>
      <c r="AEC115" s="18"/>
      <c r="AED115" s="18"/>
      <c r="AEE115" s="18"/>
      <c r="AEF115" s="18"/>
      <c r="AEG115" s="18"/>
      <c r="AEH115" s="18"/>
      <c r="AEI115" s="18"/>
      <c r="AEJ115" s="18"/>
      <c r="AEK115" s="18"/>
      <c r="AEL115" s="18"/>
      <c r="AEM115" s="18"/>
      <c r="AEN115" s="18"/>
      <c r="AEO115" s="18"/>
      <c r="AEP115" s="18"/>
      <c r="AEQ115" s="18"/>
      <c r="AER115" s="18"/>
      <c r="AES115" s="18"/>
      <c r="AET115" s="18"/>
      <c r="AEU115" s="18"/>
      <c r="AEV115" s="18"/>
      <c r="AEW115" s="18"/>
      <c r="AEX115" s="18"/>
      <c r="AEY115" s="18"/>
      <c r="AEZ115" s="18"/>
      <c r="AFA115" s="18"/>
      <c r="AFB115" s="18"/>
      <c r="AFC115" s="18"/>
      <c r="AFD115" s="18"/>
      <c r="AFE115" s="18"/>
      <c r="AFF115" s="18"/>
      <c r="AFG115" s="18"/>
      <c r="AFH115" s="18"/>
      <c r="AFI115" s="18"/>
      <c r="AFJ115" s="18"/>
      <c r="AFK115" s="18"/>
      <c r="AFL115" s="18"/>
      <c r="AFM115" s="18"/>
      <c r="AFN115" s="18"/>
      <c r="AFO115" s="18"/>
      <c r="AFP115" s="18"/>
      <c r="AFQ115" s="18"/>
      <c r="AFR115" s="18"/>
      <c r="AFS115" s="18"/>
      <c r="AFT115" s="18"/>
      <c r="AFU115" s="18"/>
      <c r="AFV115" s="18"/>
      <c r="AFW115" s="18"/>
      <c r="AFX115" s="18"/>
      <c r="AFY115" s="18"/>
      <c r="AFZ115" s="18"/>
      <c r="AGA115" s="18"/>
      <c r="AGB115" s="18"/>
      <c r="AGC115" s="18"/>
      <c r="AGD115" s="18"/>
      <c r="AGE115" s="18"/>
      <c r="AGF115" s="18"/>
      <c r="AGG115" s="18"/>
      <c r="AGH115" s="18"/>
      <c r="AGI115" s="18"/>
      <c r="AGJ115" s="18"/>
      <c r="AGK115" s="18"/>
      <c r="AGL115" s="18"/>
      <c r="AGM115" s="18"/>
      <c r="AGN115" s="18"/>
      <c r="AGO115" s="18"/>
      <c r="AGP115" s="18"/>
      <c r="AGQ115" s="18"/>
      <c r="AGR115" s="18"/>
      <c r="AGS115" s="18"/>
      <c r="AGT115" s="18"/>
      <c r="AGU115" s="18"/>
      <c r="AGV115" s="18"/>
      <c r="AGW115" s="18"/>
      <c r="AGX115" s="18"/>
      <c r="AGY115" s="18"/>
      <c r="AGZ115" s="18"/>
      <c r="AHA115" s="18"/>
      <c r="AHB115" s="18"/>
      <c r="AHC115" s="18"/>
      <c r="AHD115" s="18"/>
      <c r="AHE115" s="18"/>
      <c r="AHF115" s="18"/>
      <c r="AHG115" s="18"/>
      <c r="AHH115" s="18"/>
      <c r="AHI115" s="18"/>
      <c r="AHJ115" s="18"/>
      <c r="AHK115" s="18"/>
      <c r="AHL115" s="18"/>
      <c r="AHM115" s="18"/>
      <c r="AHN115" s="18"/>
      <c r="AHO115" s="18"/>
      <c r="AHP115" s="18"/>
      <c r="AHQ115" s="18"/>
      <c r="AHR115" s="18"/>
      <c r="AHS115" s="18"/>
      <c r="AHT115" s="18"/>
      <c r="AHU115" s="18"/>
      <c r="AHV115" s="18"/>
      <c r="AHW115" s="18"/>
      <c r="AHX115" s="18"/>
      <c r="AHY115" s="18"/>
      <c r="AHZ115" s="18"/>
      <c r="AIA115" s="18"/>
      <c r="AIB115" s="18"/>
      <c r="AIC115" s="18"/>
      <c r="AID115" s="18"/>
      <c r="AIE115" s="18"/>
      <c r="AIF115" s="18"/>
      <c r="AIG115" s="18"/>
      <c r="AIH115" s="18"/>
      <c r="AII115" s="18"/>
      <c r="AIJ115" s="18"/>
      <c r="AIK115" s="18"/>
      <c r="AIL115" s="18"/>
      <c r="AIM115" s="18"/>
      <c r="AIN115" s="18"/>
      <c r="AIO115" s="18"/>
      <c r="AIP115" s="18"/>
      <c r="AIQ115" s="18"/>
      <c r="AIR115" s="18"/>
      <c r="AIS115" s="18"/>
      <c r="AIT115" s="18"/>
      <c r="AIU115" s="18"/>
      <c r="AIV115" s="18"/>
      <c r="AIW115" s="18"/>
      <c r="AIX115" s="18"/>
      <c r="AIY115" s="18"/>
      <c r="AIZ115" s="18"/>
      <c r="AJA115" s="18"/>
      <c r="AJB115" s="18"/>
      <c r="AJC115" s="18"/>
      <c r="AJD115" s="18"/>
      <c r="AJE115" s="18"/>
      <c r="AJF115" s="18"/>
      <c r="AJG115" s="18"/>
      <c r="AJH115" s="18"/>
      <c r="AJI115" s="18"/>
      <c r="AJJ115" s="18"/>
      <c r="AJK115" s="18"/>
      <c r="AJL115" s="18"/>
      <c r="AJM115" s="18"/>
      <c r="AJN115" s="18"/>
      <c r="AJO115" s="18"/>
      <c r="AJP115" s="18"/>
      <c r="AJQ115" s="18"/>
      <c r="AJR115" s="18"/>
      <c r="AJS115" s="18"/>
      <c r="AJT115" s="18"/>
      <c r="AJU115" s="18"/>
      <c r="AJV115" s="18"/>
      <c r="AJW115" s="18"/>
      <c r="AJX115" s="18"/>
      <c r="AJY115" s="18"/>
      <c r="AJZ115" s="18"/>
      <c r="AKA115" s="18"/>
      <c r="AKB115" s="18"/>
      <c r="AKC115" s="18"/>
      <c r="AKD115" s="18"/>
      <c r="AKE115" s="18"/>
      <c r="AKF115" s="18"/>
      <c r="AKG115" s="18"/>
      <c r="AKH115" s="18"/>
      <c r="AKI115" s="18"/>
      <c r="AKJ115" s="18"/>
      <c r="AKK115" s="18"/>
      <c r="AKL115" s="18"/>
      <c r="AKM115" s="18"/>
      <c r="AKN115" s="18"/>
      <c r="AKO115" s="18"/>
      <c r="AKP115" s="18"/>
      <c r="AKQ115" s="18"/>
      <c r="AKR115" s="18"/>
      <c r="AKS115" s="18"/>
      <c r="AKT115" s="18"/>
      <c r="AKU115" s="18"/>
      <c r="AKV115" s="18"/>
      <c r="AKW115" s="18"/>
      <c r="AKX115" s="18"/>
      <c r="AKY115" s="18"/>
      <c r="AKZ115" s="18"/>
      <c r="ALA115" s="18"/>
      <c r="ALB115" s="18"/>
      <c r="ALC115" s="18"/>
      <c r="ALD115" s="18"/>
      <c r="ALE115" s="18"/>
      <c r="ALF115" s="18"/>
      <c r="ALG115" s="18"/>
      <c r="ALH115" s="18"/>
      <c r="ALI115" s="18"/>
      <c r="ALJ115" s="18"/>
      <c r="ALK115" s="18"/>
      <c r="ALL115" s="18"/>
      <c r="ALM115" s="18"/>
      <c r="ALN115" s="18"/>
      <c r="ALO115" s="18"/>
      <c r="ALP115" s="18"/>
      <c r="ALQ115" s="18"/>
      <c r="ALR115" s="18"/>
      <c r="ALS115" s="18"/>
      <c r="ALT115" s="18"/>
      <c r="ALU115" s="18"/>
      <c r="ALV115" s="18"/>
      <c r="ALW115" s="18"/>
      <c r="ALX115" s="18"/>
      <c r="ALY115" s="18"/>
      <c r="ALZ115" s="18"/>
      <c r="AMA115" s="18"/>
      <c r="AMB115" s="18"/>
      <c r="AMC115" s="18"/>
      <c r="AMD115" s="18"/>
      <c r="AME115" s="18"/>
      <c r="AMF115" s="18"/>
      <c r="AMG115" s="18"/>
      <c r="AMH115" s="18"/>
    </row>
    <row r="116" spans="1:1022" s="23" customFormat="1" x14ac:dyDescent="0.3">
      <c r="A116" s="33">
        <v>212</v>
      </c>
      <c r="B116" s="19"/>
      <c r="C116" s="19"/>
      <c r="D116" s="34"/>
      <c r="E116" s="34"/>
      <c r="F116" s="19"/>
      <c r="G116" s="19"/>
      <c r="H116" s="18"/>
      <c r="I116" s="31"/>
      <c r="J116" s="31"/>
      <c r="K116" s="31"/>
      <c r="L116" s="31"/>
      <c r="M116" s="32"/>
      <c r="N116" s="32"/>
      <c r="O116" s="18"/>
      <c r="P116" s="36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  <c r="AW116" s="18"/>
      <c r="AX116" s="18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  <c r="BI116" s="18"/>
      <c r="BJ116" s="18"/>
      <c r="BK116" s="18"/>
      <c r="BL116" s="18"/>
      <c r="BM116" s="18"/>
      <c r="BN116" s="18"/>
      <c r="BO116" s="18"/>
      <c r="BP116" s="18"/>
      <c r="BQ116" s="18"/>
      <c r="BR116" s="18"/>
      <c r="BS116" s="18"/>
      <c r="BT116" s="18"/>
      <c r="BU116" s="18"/>
      <c r="BV116" s="18"/>
      <c r="BW116" s="18"/>
      <c r="BX116" s="18"/>
      <c r="BY116" s="18"/>
      <c r="BZ116" s="18"/>
      <c r="CA116" s="18"/>
      <c r="CB116" s="18"/>
      <c r="CC116" s="18"/>
      <c r="CD116" s="18"/>
      <c r="CE116" s="18"/>
      <c r="CF116" s="18"/>
      <c r="CG116" s="18"/>
      <c r="CH116" s="18"/>
      <c r="CI116" s="18"/>
      <c r="CJ116" s="18"/>
      <c r="CK116" s="18"/>
      <c r="CL116" s="18"/>
      <c r="CM116" s="18"/>
      <c r="CN116" s="18"/>
      <c r="CO116" s="18"/>
      <c r="CP116" s="18"/>
      <c r="CQ116" s="18"/>
      <c r="CR116" s="18"/>
      <c r="CS116" s="18"/>
      <c r="CT116" s="18"/>
      <c r="CU116" s="18"/>
      <c r="CV116" s="18"/>
      <c r="CW116" s="18"/>
      <c r="CX116" s="18"/>
      <c r="CY116" s="18"/>
      <c r="CZ116" s="18"/>
      <c r="DA116" s="18"/>
      <c r="DB116" s="18"/>
      <c r="DC116" s="18"/>
      <c r="DD116" s="18"/>
      <c r="DE116" s="18"/>
      <c r="DF116" s="18"/>
      <c r="DG116" s="18"/>
      <c r="DH116" s="18"/>
      <c r="DI116" s="18"/>
      <c r="DJ116" s="18"/>
      <c r="DK116" s="18"/>
      <c r="DL116" s="18"/>
      <c r="DM116" s="18"/>
      <c r="DN116" s="18"/>
      <c r="DO116" s="18"/>
      <c r="DP116" s="18"/>
      <c r="DQ116" s="18"/>
      <c r="DR116" s="18"/>
      <c r="DS116" s="18"/>
      <c r="DT116" s="18"/>
      <c r="DU116" s="18"/>
      <c r="DV116" s="18"/>
      <c r="DW116" s="18"/>
      <c r="DX116" s="18"/>
      <c r="DY116" s="18"/>
      <c r="DZ116" s="18"/>
      <c r="EA116" s="18"/>
      <c r="EB116" s="18"/>
      <c r="EC116" s="18"/>
      <c r="ED116" s="18"/>
      <c r="EE116" s="18"/>
      <c r="EF116" s="18"/>
      <c r="EG116" s="18"/>
      <c r="EH116" s="18"/>
      <c r="EI116" s="18"/>
      <c r="EJ116" s="18"/>
      <c r="EK116" s="18"/>
      <c r="EL116" s="18"/>
      <c r="EM116" s="18"/>
      <c r="EN116" s="18"/>
      <c r="EO116" s="18"/>
      <c r="EP116" s="18"/>
      <c r="EQ116" s="18"/>
      <c r="ER116" s="18"/>
      <c r="ES116" s="18"/>
      <c r="ET116" s="18"/>
      <c r="EU116" s="18"/>
      <c r="EV116" s="18"/>
      <c r="EW116" s="18"/>
      <c r="EX116" s="18"/>
      <c r="EY116" s="18"/>
      <c r="EZ116" s="18"/>
      <c r="FA116" s="18"/>
      <c r="FB116" s="18"/>
      <c r="FC116" s="18"/>
      <c r="FD116" s="18"/>
      <c r="FE116" s="18"/>
      <c r="FF116" s="18"/>
      <c r="FG116" s="18"/>
      <c r="FH116" s="18"/>
      <c r="FI116" s="18"/>
      <c r="FJ116" s="18"/>
      <c r="FK116" s="18"/>
      <c r="FL116" s="18"/>
      <c r="FM116" s="18"/>
      <c r="FN116" s="18"/>
      <c r="FO116" s="18"/>
      <c r="FP116" s="18"/>
      <c r="FQ116" s="18"/>
      <c r="FR116" s="18"/>
      <c r="FS116" s="18"/>
      <c r="FT116" s="18"/>
      <c r="FU116" s="18"/>
      <c r="FV116" s="18"/>
      <c r="FW116" s="18"/>
      <c r="FX116" s="18"/>
      <c r="FY116" s="18"/>
      <c r="FZ116" s="18"/>
      <c r="GA116" s="18"/>
      <c r="GB116" s="18"/>
      <c r="GC116" s="18"/>
      <c r="GD116" s="18"/>
      <c r="GE116" s="18"/>
      <c r="GF116" s="18"/>
      <c r="GG116" s="18"/>
      <c r="GH116" s="18"/>
      <c r="GI116" s="18"/>
      <c r="GJ116" s="18"/>
      <c r="GK116" s="18"/>
      <c r="GL116" s="18"/>
      <c r="GM116" s="18"/>
      <c r="GN116" s="18"/>
      <c r="GO116" s="18"/>
      <c r="GP116" s="18"/>
      <c r="GQ116" s="18"/>
      <c r="GR116" s="18"/>
      <c r="GS116" s="18"/>
      <c r="GT116" s="18"/>
      <c r="GU116" s="18"/>
      <c r="GV116" s="18"/>
      <c r="GW116" s="18"/>
      <c r="GX116" s="18"/>
      <c r="GY116" s="18"/>
      <c r="GZ116" s="18"/>
      <c r="HA116" s="18"/>
      <c r="HB116" s="18"/>
      <c r="HC116" s="18"/>
      <c r="HD116" s="18"/>
      <c r="HE116" s="18"/>
      <c r="HF116" s="18"/>
      <c r="HG116" s="18"/>
      <c r="HH116" s="18"/>
      <c r="HI116" s="18"/>
      <c r="HJ116" s="18"/>
      <c r="HK116" s="18"/>
      <c r="HL116" s="18"/>
      <c r="HM116" s="18"/>
      <c r="HN116" s="18"/>
      <c r="HO116" s="18"/>
      <c r="HP116" s="18"/>
      <c r="HQ116" s="18"/>
      <c r="HR116" s="18"/>
      <c r="HS116" s="18"/>
      <c r="HT116" s="18"/>
      <c r="HU116" s="18"/>
      <c r="HV116" s="18"/>
      <c r="HW116" s="18"/>
      <c r="HX116" s="18"/>
      <c r="HY116" s="18"/>
      <c r="HZ116" s="18"/>
      <c r="IA116" s="18"/>
      <c r="IB116" s="18"/>
      <c r="IC116" s="18"/>
      <c r="ID116" s="18"/>
      <c r="IE116" s="18"/>
      <c r="IF116" s="18"/>
      <c r="IG116" s="18"/>
      <c r="IH116" s="18"/>
      <c r="II116" s="18"/>
      <c r="IJ116" s="18"/>
      <c r="IK116" s="18"/>
      <c r="IL116" s="18"/>
      <c r="IM116" s="18"/>
      <c r="IN116" s="18"/>
      <c r="IO116" s="18"/>
      <c r="IP116" s="18"/>
      <c r="IQ116" s="18"/>
      <c r="IR116" s="18"/>
      <c r="IS116" s="18"/>
      <c r="IT116" s="18"/>
      <c r="IU116" s="18"/>
      <c r="IV116" s="18"/>
      <c r="IW116" s="18"/>
      <c r="IX116" s="18"/>
      <c r="IY116" s="18"/>
      <c r="IZ116" s="18"/>
      <c r="JA116" s="18"/>
      <c r="JB116" s="18"/>
      <c r="JC116" s="18"/>
      <c r="JD116" s="18"/>
      <c r="JE116" s="18"/>
      <c r="JF116" s="18"/>
      <c r="JG116" s="18"/>
      <c r="JH116" s="18"/>
      <c r="JI116" s="18"/>
      <c r="JJ116" s="18"/>
      <c r="JK116" s="18"/>
      <c r="JL116" s="18"/>
      <c r="JM116" s="18"/>
      <c r="JN116" s="18"/>
      <c r="JO116" s="18"/>
      <c r="JP116" s="18"/>
      <c r="JQ116" s="18"/>
      <c r="JR116" s="18"/>
      <c r="JS116" s="18"/>
      <c r="JT116" s="18"/>
      <c r="JU116" s="18"/>
      <c r="JV116" s="18"/>
      <c r="JW116" s="18"/>
      <c r="JX116" s="18"/>
      <c r="JY116" s="18"/>
      <c r="JZ116" s="18"/>
      <c r="KA116" s="18"/>
      <c r="KB116" s="18"/>
      <c r="KC116" s="18"/>
      <c r="KD116" s="18"/>
      <c r="KE116" s="18"/>
      <c r="KF116" s="18"/>
      <c r="KG116" s="18"/>
      <c r="KH116" s="18"/>
      <c r="KI116" s="18"/>
      <c r="KJ116" s="18"/>
      <c r="KK116" s="18"/>
      <c r="KL116" s="18"/>
      <c r="KM116" s="18"/>
      <c r="KN116" s="18"/>
      <c r="KO116" s="18"/>
      <c r="KP116" s="18"/>
      <c r="KQ116" s="18"/>
      <c r="KR116" s="18"/>
      <c r="KS116" s="18"/>
      <c r="KT116" s="18"/>
      <c r="KU116" s="18"/>
      <c r="KV116" s="18"/>
      <c r="KW116" s="18"/>
      <c r="KX116" s="18"/>
      <c r="KY116" s="18"/>
      <c r="KZ116" s="18"/>
      <c r="LA116" s="18"/>
      <c r="LB116" s="18"/>
      <c r="LC116" s="18"/>
      <c r="LD116" s="18"/>
      <c r="LE116" s="18"/>
      <c r="LF116" s="18"/>
      <c r="LG116" s="18"/>
      <c r="LH116" s="18"/>
      <c r="LI116" s="18"/>
      <c r="LJ116" s="18"/>
      <c r="LK116" s="18"/>
      <c r="LL116" s="18"/>
      <c r="LM116" s="18"/>
      <c r="LN116" s="18"/>
      <c r="LO116" s="18"/>
      <c r="LP116" s="18"/>
      <c r="LQ116" s="18"/>
      <c r="LR116" s="18"/>
      <c r="LS116" s="18"/>
      <c r="LT116" s="18"/>
      <c r="LU116" s="18"/>
      <c r="LV116" s="18"/>
      <c r="LW116" s="18"/>
      <c r="LX116" s="18"/>
      <c r="LY116" s="18"/>
      <c r="LZ116" s="18"/>
      <c r="MA116" s="18"/>
      <c r="MB116" s="18"/>
      <c r="MC116" s="18"/>
      <c r="MD116" s="18"/>
      <c r="ME116" s="18"/>
      <c r="MF116" s="18"/>
      <c r="MG116" s="18"/>
      <c r="MH116" s="18"/>
      <c r="MI116" s="18"/>
      <c r="MJ116" s="18"/>
      <c r="MK116" s="18"/>
      <c r="ML116" s="18"/>
      <c r="MM116" s="18"/>
      <c r="MN116" s="18"/>
      <c r="MO116" s="18"/>
      <c r="MP116" s="18"/>
      <c r="MQ116" s="18"/>
      <c r="MR116" s="18"/>
      <c r="MS116" s="18"/>
      <c r="MT116" s="18"/>
      <c r="MU116" s="18"/>
      <c r="MV116" s="18"/>
      <c r="MW116" s="18"/>
      <c r="MX116" s="18"/>
      <c r="MY116" s="18"/>
      <c r="MZ116" s="18"/>
      <c r="NA116" s="18"/>
      <c r="NB116" s="18"/>
      <c r="NC116" s="18"/>
      <c r="ND116" s="18"/>
      <c r="NE116" s="18"/>
      <c r="NF116" s="18"/>
      <c r="NG116" s="18"/>
      <c r="NH116" s="18"/>
      <c r="NI116" s="18"/>
      <c r="NJ116" s="18"/>
      <c r="NK116" s="18"/>
      <c r="NL116" s="18"/>
      <c r="NM116" s="18"/>
      <c r="NN116" s="18"/>
      <c r="NO116" s="18"/>
      <c r="NP116" s="18"/>
      <c r="NQ116" s="18"/>
      <c r="NR116" s="18"/>
      <c r="NS116" s="18"/>
      <c r="NT116" s="18"/>
      <c r="NU116" s="18"/>
      <c r="NV116" s="18"/>
      <c r="NW116" s="18"/>
      <c r="NX116" s="18"/>
      <c r="NY116" s="18"/>
      <c r="NZ116" s="18"/>
      <c r="OA116" s="18"/>
      <c r="OB116" s="18"/>
      <c r="OC116" s="18"/>
      <c r="OD116" s="18"/>
      <c r="OE116" s="18"/>
      <c r="OF116" s="18"/>
      <c r="OG116" s="18"/>
      <c r="OH116" s="18"/>
      <c r="OI116" s="18"/>
      <c r="OJ116" s="18"/>
      <c r="OK116" s="18"/>
      <c r="OL116" s="18"/>
      <c r="OM116" s="18"/>
      <c r="ON116" s="18"/>
      <c r="OO116" s="18"/>
      <c r="OP116" s="18"/>
      <c r="OQ116" s="18"/>
      <c r="OR116" s="18"/>
      <c r="OS116" s="18"/>
      <c r="OT116" s="18"/>
      <c r="OU116" s="18"/>
      <c r="OV116" s="18"/>
      <c r="OW116" s="18"/>
      <c r="OX116" s="18"/>
      <c r="OY116" s="18"/>
      <c r="OZ116" s="18"/>
      <c r="PA116" s="18"/>
      <c r="PB116" s="18"/>
      <c r="PC116" s="18"/>
      <c r="PD116" s="18"/>
      <c r="PE116" s="18"/>
      <c r="PF116" s="18"/>
      <c r="PG116" s="18"/>
      <c r="PH116" s="18"/>
      <c r="PI116" s="18"/>
      <c r="PJ116" s="18"/>
      <c r="PK116" s="18"/>
      <c r="PL116" s="18"/>
      <c r="PM116" s="18"/>
      <c r="PN116" s="18"/>
      <c r="PO116" s="18"/>
      <c r="PP116" s="18"/>
      <c r="PQ116" s="18"/>
      <c r="PR116" s="18"/>
      <c r="PS116" s="18"/>
      <c r="PT116" s="18"/>
      <c r="PU116" s="18"/>
      <c r="PV116" s="18"/>
      <c r="PW116" s="18"/>
      <c r="PX116" s="18"/>
      <c r="PY116" s="18"/>
      <c r="PZ116" s="18"/>
      <c r="QA116" s="18"/>
      <c r="QB116" s="18"/>
      <c r="QC116" s="18"/>
      <c r="QD116" s="18"/>
      <c r="QE116" s="18"/>
      <c r="QF116" s="18"/>
      <c r="QG116" s="18"/>
      <c r="QH116" s="18"/>
      <c r="QI116" s="18"/>
      <c r="QJ116" s="18"/>
      <c r="QK116" s="18"/>
      <c r="QL116" s="18"/>
      <c r="QM116" s="18"/>
      <c r="QN116" s="18"/>
      <c r="QO116" s="18"/>
      <c r="QP116" s="18"/>
      <c r="QQ116" s="18"/>
      <c r="QR116" s="18"/>
      <c r="QS116" s="18"/>
      <c r="QT116" s="18"/>
      <c r="QU116" s="18"/>
      <c r="QV116" s="18"/>
      <c r="QW116" s="18"/>
      <c r="QX116" s="18"/>
      <c r="QY116" s="18"/>
      <c r="QZ116" s="18"/>
      <c r="RA116" s="18"/>
      <c r="RB116" s="18"/>
      <c r="RC116" s="18"/>
      <c r="RD116" s="18"/>
      <c r="RE116" s="18"/>
      <c r="RF116" s="18"/>
      <c r="RG116" s="18"/>
      <c r="RH116" s="18"/>
      <c r="RI116" s="18"/>
      <c r="RJ116" s="18"/>
      <c r="RK116" s="18"/>
      <c r="RL116" s="18"/>
      <c r="RM116" s="18"/>
      <c r="RN116" s="18"/>
      <c r="RO116" s="18"/>
      <c r="RP116" s="18"/>
      <c r="RQ116" s="18"/>
      <c r="RR116" s="18"/>
      <c r="RS116" s="18"/>
      <c r="RT116" s="18"/>
      <c r="RU116" s="18"/>
      <c r="RV116" s="18"/>
      <c r="RW116" s="18"/>
      <c r="RX116" s="18"/>
      <c r="RY116" s="18"/>
      <c r="RZ116" s="18"/>
      <c r="SA116" s="18"/>
      <c r="SB116" s="18"/>
      <c r="SC116" s="18"/>
      <c r="SD116" s="18"/>
      <c r="SE116" s="18"/>
      <c r="SF116" s="18"/>
      <c r="SG116" s="18"/>
      <c r="SH116" s="18"/>
      <c r="SI116" s="18"/>
      <c r="SJ116" s="18"/>
      <c r="SK116" s="18"/>
      <c r="SL116" s="18"/>
      <c r="SM116" s="18"/>
      <c r="SN116" s="18"/>
      <c r="SO116" s="18"/>
      <c r="SP116" s="18"/>
      <c r="SQ116" s="18"/>
      <c r="SR116" s="18"/>
      <c r="SS116" s="18"/>
      <c r="ST116" s="18"/>
      <c r="SU116" s="18"/>
      <c r="SV116" s="18"/>
      <c r="SW116" s="18"/>
      <c r="SX116" s="18"/>
      <c r="SY116" s="18"/>
      <c r="SZ116" s="18"/>
      <c r="TA116" s="18"/>
      <c r="TB116" s="18"/>
      <c r="TC116" s="18"/>
      <c r="TD116" s="18"/>
      <c r="TE116" s="18"/>
      <c r="TF116" s="18"/>
      <c r="TG116" s="18"/>
      <c r="TH116" s="18"/>
      <c r="TI116" s="18"/>
      <c r="TJ116" s="18"/>
      <c r="TK116" s="18"/>
      <c r="TL116" s="18"/>
      <c r="TM116" s="18"/>
      <c r="TN116" s="18"/>
      <c r="TO116" s="18"/>
      <c r="TP116" s="18"/>
      <c r="TQ116" s="18"/>
      <c r="TR116" s="18"/>
      <c r="TS116" s="18"/>
      <c r="TT116" s="18"/>
      <c r="TU116" s="18"/>
      <c r="TV116" s="18"/>
      <c r="TW116" s="18"/>
      <c r="TX116" s="18"/>
      <c r="TY116" s="18"/>
      <c r="TZ116" s="18"/>
      <c r="UA116" s="18"/>
      <c r="UB116" s="18"/>
      <c r="UC116" s="18"/>
      <c r="UD116" s="18"/>
      <c r="UE116" s="18"/>
      <c r="UF116" s="18"/>
      <c r="UG116" s="18"/>
      <c r="UH116" s="18"/>
      <c r="UI116" s="18"/>
      <c r="UJ116" s="18"/>
      <c r="UK116" s="18"/>
      <c r="UL116" s="18"/>
      <c r="UM116" s="18"/>
      <c r="UN116" s="18"/>
      <c r="UO116" s="18"/>
      <c r="UP116" s="18"/>
      <c r="UQ116" s="18"/>
      <c r="UR116" s="18"/>
      <c r="US116" s="18"/>
      <c r="UT116" s="18"/>
      <c r="UU116" s="18"/>
      <c r="UV116" s="18"/>
      <c r="UW116" s="18"/>
      <c r="UX116" s="18"/>
      <c r="UY116" s="18"/>
      <c r="UZ116" s="18"/>
      <c r="VA116" s="18"/>
      <c r="VB116" s="18"/>
      <c r="VC116" s="18"/>
      <c r="VD116" s="18"/>
      <c r="VE116" s="18"/>
      <c r="VF116" s="18"/>
      <c r="VG116" s="18"/>
      <c r="VH116" s="18"/>
      <c r="VI116" s="18"/>
      <c r="VJ116" s="18"/>
      <c r="VK116" s="18"/>
      <c r="VL116" s="18"/>
      <c r="VM116" s="18"/>
      <c r="VN116" s="18"/>
      <c r="VO116" s="18"/>
      <c r="VP116" s="18"/>
      <c r="VQ116" s="18"/>
      <c r="VR116" s="18"/>
      <c r="VS116" s="18"/>
      <c r="VT116" s="18"/>
      <c r="VU116" s="18"/>
      <c r="VV116" s="18"/>
      <c r="VW116" s="18"/>
      <c r="VX116" s="18"/>
      <c r="VY116" s="18"/>
      <c r="VZ116" s="18"/>
      <c r="WA116" s="18"/>
      <c r="WB116" s="18"/>
      <c r="WC116" s="18"/>
      <c r="WD116" s="18"/>
      <c r="WE116" s="18"/>
      <c r="WF116" s="18"/>
      <c r="WG116" s="18"/>
      <c r="WH116" s="18"/>
      <c r="WI116" s="18"/>
      <c r="WJ116" s="18"/>
      <c r="WK116" s="18"/>
      <c r="WL116" s="18"/>
      <c r="WM116" s="18"/>
      <c r="WN116" s="18"/>
      <c r="WO116" s="18"/>
      <c r="WP116" s="18"/>
      <c r="WQ116" s="18"/>
      <c r="WR116" s="18"/>
      <c r="WS116" s="18"/>
      <c r="WT116" s="18"/>
      <c r="WU116" s="18"/>
      <c r="WV116" s="18"/>
      <c r="WW116" s="18"/>
      <c r="WX116" s="18"/>
      <c r="WY116" s="18"/>
      <c r="WZ116" s="18"/>
      <c r="XA116" s="18"/>
      <c r="XB116" s="18"/>
      <c r="XC116" s="18"/>
      <c r="XD116" s="18"/>
      <c r="XE116" s="18"/>
      <c r="XF116" s="18"/>
      <c r="XG116" s="18"/>
      <c r="XH116" s="18"/>
      <c r="XI116" s="18"/>
      <c r="XJ116" s="18"/>
      <c r="XK116" s="18"/>
      <c r="XL116" s="18"/>
      <c r="XM116" s="18"/>
      <c r="XN116" s="18"/>
      <c r="XO116" s="18"/>
      <c r="XP116" s="18"/>
      <c r="XQ116" s="18"/>
      <c r="XR116" s="18"/>
      <c r="XS116" s="18"/>
      <c r="XT116" s="18"/>
      <c r="XU116" s="18"/>
      <c r="XV116" s="18"/>
      <c r="XW116" s="18"/>
      <c r="XX116" s="18"/>
      <c r="XY116" s="18"/>
      <c r="XZ116" s="18"/>
      <c r="YA116" s="18"/>
      <c r="YB116" s="18"/>
      <c r="YC116" s="18"/>
      <c r="YD116" s="18"/>
      <c r="YE116" s="18"/>
      <c r="YF116" s="18"/>
      <c r="YG116" s="18"/>
      <c r="YH116" s="18"/>
      <c r="YI116" s="18"/>
      <c r="YJ116" s="18"/>
      <c r="YK116" s="18"/>
      <c r="YL116" s="18"/>
      <c r="YM116" s="18"/>
      <c r="YN116" s="18"/>
      <c r="YO116" s="18"/>
      <c r="YP116" s="18"/>
      <c r="YQ116" s="18"/>
      <c r="YR116" s="18"/>
      <c r="YS116" s="18"/>
      <c r="YT116" s="18"/>
      <c r="YU116" s="18"/>
      <c r="YV116" s="18"/>
      <c r="YW116" s="18"/>
      <c r="YX116" s="18"/>
      <c r="YY116" s="18"/>
      <c r="YZ116" s="18"/>
      <c r="ZA116" s="18"/>
      <c r="ZB116" s="18"/>
      <c r="ZC116" s="18"/>
      <c r="ZD116" s="18"/>
      <c r="ZE116" s="18"/>
      <c r="ZF116" s="18"/>
      <c r="ZG116" s="18"/>
      <c r="ZH116" s="18"/>
      <c r="ZI116" s="18"/>
      <c r="ZJ116" s="18"/>
      <c r="ZK116" s="18"/>
      <c r="ZL116" s="18"/>
      <c r="ZM116" s="18"/>
      <c r="ZN116" s="18"/>
      <c r="ZO116" s="18"/>
      <c r="ZP116" s="18"/>
      <c r="ZQ116" s="18"/>
      <c r="ZR116" s="18"/>
      <c r="ZS116" s="18"/>
      <c r="ZT116" s="18"/>
      <c r="ZU116" s="18"/>
      <c r="ZV116" s="18"/>
      <c r="ZW116" s="18"/>
      <c r="ZX116" s="18"/>
      <c r="ZY116" s="18"/>
      <c r="ZZ116" s="18"/>
      <c r="AAA116" s="18"/>
      <c r="AAB116" s="18"/>
      <c r="AAC116" s="18"/>
      <c r="AAD116" s="18"/>
      <c r="AAE116" s="18"/>
      <c r="AAF116" s="18"/>
      <c r="AAG116" s="18"/>
      <c r="AAH116" s="18"/>
      <c r="AAI116" s="18"/>
      <c r="AAJ116" s="18"/>
      <c r="AAK116" s="18"/>
      <c r="AAL116" s="18"/>
      <c r="AAM116" s="18"/>
      <c r="AAN116" s="18"/>
      <c r="AAO116" s="18"/>
      <c r="AAP116" s="18"/>
      <c r="AAQ116" s="18"/>
      <c r="AAR116" s="18"/>
      <c r="AAS116" s="18"/>
      <c r="AAT116" s="18"/>
      <c r="AAU116" s="18"/>
      <c r="AAV116" s="18"/>
      <c r="AAW116" s="18"/>
      <c r="AAX116" s="18"/>
      <c r="AAY116" s="18"/>
      <c r="AAZ116" s="18"/>
      <c r="ABA116" s="18"/>
      <c r="ABB116" s="18"/>
      <c r="ABC116" s="18"/>
      <c r="ABD116" s="18"/>
      <c r="ABE116" s="18"/>
      <c r="ABF116" s="18"/>
      <c r="ABG116" s="18"/>
      <c r="ABH116" s="18"/>
      <c r="ABI116" s="18"/>
      <c r="ABJ116" s="18"/>
      <c r="ABK116" s="18"/>
      <c r="ABL116" s="18"/>
      <c r="ABM116" s="18"/>
      <c r="ABN116" s="18"/>
      <c r="ABO116" s="18"/>
      <c r="ABP116" s="18"/>
      <c r="ABQ116" s="18"/>
      <c r="ABR116" s="18"/>
      <c r="ABS116" s="18"/>
      <c r="ABT116" s="18"/>
      <c r="ABU116" s="18"/>
      <c r="ABV116" s="18"/>
      <c r="ABW116" s="18"/>
      <c r="ABX116" s="18"/>
      <c r="ABY116" s="18"/>
      <c r="ABZ116" s="18"/>
      <c r="ACA116" s="18"/>
      <c r="ACB116" s="18"/>
      <c r="ACC116" s="18"/>
      <c r="ACD116" s="18"/>
      <c r="ACE116" s="18"/>
      <c r="ACF116" s="18"/>
      <c r="ACG116" s="18"/>
      <c r="ACH116" s="18"/>
      <c r="ACI116" s="18"/>
      <c r="ACJ116" s="18"/>
      <c r="ACK116" s="18"/>
      <c r="ACL116" s="18"/>
      <c r="ACM116" s="18"/>
      <c r="ACN116" s="18"/>
      <c r="ACO116" s="18"/>
      <c r="ACP116" s="18"/>
      <c r="ACQ116" s="18"/>
      <c r="ACR116" s="18"/>
      <c r="ACS116" s="18"/>
      <c r="ACT116" s="18"/>
      <c r="ACU116" s="18"/>
      <c r="ACV116" s="18"/>
      <c r="ACW116" s="18"/>
      <c r="ACX116" s="18"/>
      <c r="ACY116" s="18"/>
      <c r="ACZ116" s="18"/>
      <c r="ADA116" s="18"/>
      <c r="ADB116" s="18"/>
      <c r="ADC116" s="18"/>
      <c r="ADD116" s="18"/>
      <c r="ADE116" s="18"/>
      <c r="ADF116" s="18"/>
      <c r="ADG116" s="18"/>
      <c r="ADH116" s="18"/>
      <c r="ADI116" s="18"/>
      <c r="ADJ116" s="18"/>
      <c r="ADK116" s="18"/>
      <c r="ADL116" s="18"/>
      <c r="ADM116" s="18"/>
      <c r="ADN116" s="18"/>
      <c r="ADO116" s="18"/>
      <c r="ADP116" s="18"/>
      <c r="ADQ116" s="18"/>
      <c r="ADR116" s="18"/>
      <c r="ADS116" s="18"/>
      <c r="ADT116" s="18"/>
      <c r="ADU116" s="18"/>
      <c r="ADV116" s="18"/>
      <c r="ADW116" s="18"/>
      <c r="ADX116" s="18"/>
      <c r="ADY116" s="18"/>
      <c r="ADZ116" s="18"/>
      <c r="AEA116" s="18"/>
      <c r="AEB116" s="18"/>
      <c r="AEC116" s="18"/>
      <c r="AED116" s="18"/>
      <c r="AEE116" s="18"/>
      <c r="AEF116" s="18"/>
      <c r="AEG116" s="18"/>
      <c r="AEH116" s="18"/>
      <c r="AEI116" s="18"/>
      <c r="AEJ116" s="18"/>
      <c r="AEK116" s="18"/>
      <c r="AEL116" s="18"/>
      <c r="AEM116" s="18"/>
      <c r="AEN116" s="18"/>
      <c r="AEO116" s="18"/>
      <c r="AEP116" s="18"/>
      <c r="AEQ116" s="18"/>
      <c r="AER116" s="18"/>
      <c r="AES116" s="18"/>
      <c r="AET116" s="18"/>
      <c r="AEU116" s="18"/>
      <c r="AEV116" s="18"/>
      <c r="AEW116" s="18"/>
      <c r="AEX116" s="18"/>
      <c r="AEY116" s="18"/>
      <c r="AEZ116" s="18"/>
      <c r="AFA116" s="18"/>
      <c r="AFB116" s="18"/>
      <c r="AFC116" s="18"/>
      <c r="AFD116" s="18"/>
      <c r="AFE116" s="18"/>
      <c r="AFF116" s="18"/>
      <c r="AFG116" s="18"/>
      <c r="AFH116" s="18"/>
      <c r="AFI116" s="18"/>
      <c r="AFJ116" s="18"/>
      <c r="AFK116" s="18"/>
      <c r="AFL116" s="18"/>
      <c r="AFM116" s="18"/>
      <c r="AFN116" s="18"/>
      <c r="AFO116" s="18"/>
      <c r="AFP116" s="18"/>
      <c r="AFQ116" s="18"/>
      <c r="AFR116" s="18"/>
      <c r="AFS116" s="18"/>
      <c r="AFT116" s="18"/>
      <c r="AFU116" s="18"/>
      <c r="AFV116" s="18"/>
      <c r="AFW116" s="18"/>
      <c r="AFX116" s="18"/>
      <c r="AFY116" s="18"/>
      <c r="AFZ116" s="18"/>
      <c r="AGA116" s="18"/>
      <c r="AGB116" s="18"/>
      <c r="AGC116" s="18"/>
      <c r="AGD116" s="18"/>
      <c r="AGE116" s="18"/>
      <c r="AGF116" s="18"/>
      <c r="AGG116" s="18"/>
      <c r="AGH116" s="18"/>
      <c r="AGI116" s="18"/>
      <c r="AGJ116" s="18"/>
      <c r="AGK116" s="18"/>
      <c r="AGL116" s="18"/>
      <c r="AGM116" s="18"/>
      <c r="AGN116" s="18"/>
      <c r="AGO116" s="18"/>
      <c r="AGP116" s="18"/>
      <c r="AGQ116" s="18"/>
      <c r="AGR116" s="18"/>
      <c r="AGS116" s="18"/>
      <c r="AGT116" s="18"/>
      <c r="AGU116" s="18"/>
      <c r="AGV116" s="18"/>
      <c r="AGW116" s="18"/>
      <c r="AGX116" s="18"/>
      <c r="AGY116" s="18"/>
      <c r="AGZ116" s="18"/>
      <c r="AHA116" s="18"/>
      <c r="AHB116" s="18"/>
      <c r="AHC116" s="18"/>
      <c r="AHD116" s="18"/>
      <c r="AHE116" s="18"/>
      <c r="AHF116" s="18"/>
      <c r="AHG116" s="18"/>
      <c r="AHH116" s="18"/>
      <c r="AHI116" s="18"/>
      <c r="AHJ116" s="18"/>
      <c r="AHK116" s="18"/>
      <c r="AHL116" s="18"/>
      <c r="AHM116" s="18"/>
      <c r="AHN116" s="18"/>
      <c r="AHO116" s="18"/>
      <c r="AHP116" s="18"/>
      <c r="AHQ116" s="18"/>
      <c r="AHR116" s="18"/>
      <c r="AHS116" s="18"/>
      <c r="AHT116" s="18"/>
      <c r="AHU116" s="18"/>
      <c r="AHV116" s="18"/>
      <c r="AHW116" s="18"/>
      <c r="AHX116" s="18"/>
      <c r="AHY116" s="18"/>
      <c r="AHZ116" s="18"/>
      <c r="AIA116" s="18"/>
      <c r="AIB116" s="18"/>
      <c r="AIC116" s="18"/>
      <c r="AID116" s="18"/>
      <c r="AIE116" s="18"/>
      <c r="AIF116" s="18"/>
      <c r="AIG116" s="18"/>
      <c r="AIH116" s="18"/>
      <c r="AII116" s="18"/>
      <c r="AIJ116" s="18"/>
      <c r="AIK116" s="18"/>
      <c r="AIL116" s="18"/>
      <c r="AIM116" s="18"/>
      <c r="AIN116" s="18"/>
      <c r="AIO116" s="18"/>
      <c r="AIP116" s="18"/>
      <c r="AIQ116" s="18"/>
      <c r="AIR116" s="18"/>
      <c r="AIS116" s="18"/>
      <c r="AIT116" s="18"/>
      <c r="AIU116" s="18"/>
      <c r="AIV116" s="18"/>
      <c r="AIW116" s="18"/>
      <c r="AIX116" s="18"/>
      <c r="AIY116" s="18"/>
      <c r="AIZ116" s="18"/>
      <c r="AJA116" s="18"/>
      <c r="AJB116" s="18"/>
      <c r="AJC116" s="18"/>
      <c r="AJD116" s="18"/>
      <c r="AJE116" s="18"/>
      <c r="AJF116" s="18"/>
      <c r="AJG116" s="18"/>
      <c r="AJH116" s="18"/>
      <c r="AJI116" s="18"/>
      <c r="AJJ116" s="18"/>
      <c r="AJK116" s="18"/>
      <c r="AJL116" s="18"/>
      <c r="AJM116" s="18"/>
      <c r="AJN116" s="18"/>
      <c r="AJO116" s="18"/>
      <c r="AJP116" s="18"/>
      <c r="AJQ116" s="18"/>
      <c r="AJR116" s="18"/>
      <c r="AJS116" s="18"/>
      <c r="AJT116" s="18"/>
      <c r="AJU116" s="18"/>
      <c r="AJV116" s="18"/>
      <c r="AJW116" s="18"/>
      <c r="AJX116" s="18"/>
      <c r="AJY116" s="18"/>
      <c r="AJZ116" s="18"/>
      <c r="AKA116" s="18"/>
      <c r="AKB116" s="18"/>
      <c r="AKC116" s="18"/>
      <c r="AKD116" s="18"/>
      <c r="AKE116" s="18"/>
      <c r="AKF116" s="18"/>
      <c r="AKG116" s="18"/>
      <c r="AKH116" s="18"/>
      <c r="AKI116" s="18"/>
      <c r="AKJ116" s="18"/>
      <c r="AKK116" s="18"/>
      <c r="AKL116" s="18"/>
      <c r="AKM116" s="18"/>
      <c r="AKN116" s="18"/>
      <c r="AKO116" s="18"/>
      <c r="AKP116" s="18"/>
      <c r="AKQ116" s="18"/>
      <c r="AKR116" s="18"/>
      <c r="AKS116" s="18"/>
      <c r="AKT116" s="18"/>
      <c r="AKU116" s="18"/>
      <c r="AKV116" s="18"/>
      <c r="AKW116" s="18"/>
      <c r="AKX116" s="18"/>
      <c r="AKY116" s="18"/>
      <c r="AKZ116" s="18"/>
      <c r="ALA116" s="18"/>
      <c r="ALB116" s="18"/>
      <c r="ALC116" s="18"/>
      <c r="ALD116" s="18"/>
      <c r="ALE116" s="18"/>
      <c r="ALF116" s="18"/>
      <c r="ALG116" s="18"/>
      <c r="ALH116" s="18"/>
      <c r="ALI116" s="18"/>
      <c r="ALJ116" s="18"/>
      <c r="ALK116" s="18"/>
      <c r="ALL116" s="18"/>
      <c r="ALM116" s="18"/>
      <c r="ALN116" s="18"/>
      <c r="ALO116" s="18"/>
      <c r="ALP116" s="18"/>
      <c r="ALQ116" s="18"/>
      <c r="ALR116" s="18"/>
      <c r="ALS116" s="18"/>
      <c r="ALT116" s="18"/>
      <c r="ALU116" s="18"/>
      <c r="ALV116" s="18"/>
      <c r="ALW116" s="18"/>
      <c r="ALX116" s="18"/>
      <c r="ALY116" s="18"/>
      <c r="ALZ116" s="18"/>
      <c r="AMA116" s="18"/>
      <c r="AMB116" s="18"/>
      <c r="AMC116" s="18"/>
      <c r="AMD116" s="18"/>
      <c r="AME116" s="18"/>
      <c r="AMF116" s="18"/>
      <c r="AMG116" s="18"/>
      <c r="AMH116" s="18"/>
    </row>
    <row r="117" spans="1:1022" s="23" customFormat="1" x14ac:dyDescent="0.3">
      <c r="A117" s="33">
        <v>213</v>
      </c>
      <c r="B117" s="19"/>
      <c r="C117" s="19"/>
      <c r="D117" s="34"/>
      <c r="E117" s="34"/>
      <c r="F117" s="19"/>
      <c r="G117" s="19"/>
      <c r="H117" s="18"/>
      <c r="I117" s="31"/>
      <c r="J117" s="31"/>
      <c r="K117" s="31"/>
      <c r="L117" s="31"/>
      <c r="M117" s="32"/>
      <c r="N117" s="32"/>
      <c r="O117" s="18"/>
      <c r="P117" s="36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  <c r="BI117" s="18"/>
      <c r="BJ117" s="18"/>
      <c r="BK117" s="18"/>
      <c r="BL117" s="18"/>
      <c r="BM117" s="18"/>
      <c r="BN117" s="18"/>
      <c r="BO117" s="18"/>
      <c r="BP117" s="18"/>
      <c r="BQ117" s="18"/>
      <c r="BR117" s="18"/>
      <c r="BS117" s="18"/>
      <c r="BT117" s="18"/>
      <c r="BU117" s="18"/>
      <c r="BV117" s="18"/>
      <c r="BW117" s="18"/>
      <c r="BX117" s="18"/>
      <c r="BY117" s="18"/>
      <c r="BZ117" s="18"/>
      <c r="CA117" s="18"/>
      <c r="CB117" s="18"/>
      <c r="CC117" s="18"/>
      <c r="CD117" s="18"/>
      <c r="CE117" s="18"/>
      <c r="CF117" s="18"/>
      <c r="CG117" s="18"/>
      <c r="CH117" s="18"/>
      <c r="CI117" s="18"/>
      <c r="CJ117" s="18"/>
      <c r="CK117" s="18"/>
      <c r="CL117" s="18"/>
      <c r="CM117" s="18"/>
      <c r="CN117" s="18"/>
      <c r="CO117" s="18"/>
      <c r="CP117" s="18"/>
      <c r="CQ117" s="18"/>
      <c r="CR117" s="18"/>
      <c r="CS117" s="18"/>
      <c r="CT117" s="18"/>
      <c r="CU117" s="18"/>
      <c r="CV117" s="18"/>
      <c r="CW117" s="18"/>
      <c r="CX117" s="18"/>
      <c r="CY117" s="18"/>
      <c r="CZ117" s="18"/>
      <c r="DA117" s="18"/>
      <c r="DB117" s="18"/>
      <c r="DC117" s="18"/>
      <c r="DD117" s="18"/>
      <c r="DE117" s="18"/>
      <c r="DF117" s="18"/>
      <c r="DG117" s="18"/>
      <c r="DH117" s="18"/>
      <c r="DI117" s="18"/>
      <c r="DJ117" s="18"/>
      <c r="DK117" s="18"/>
      <c r="DL117" s="18"/>
      <c r="DM117" s="18"/>
      <c r="DN117" s="18"/>
      <c r="DO117" s="18"/>
      <c r="DP117" s="18"/>
      <c r="DQ117" s="18"/>
      <c r="DR117" s="18"/>
      <c r="DS117" s="18"/>
      <c r="DT117" s="18"/>
      <c r="DU117" s="18"/>
      <c r="DV117" s="18"/>
      <c r="DW117" s="18"/>
      <c r="DX117" s="18"/>
      <c r="DY117" s="18"/>
      <c r="DZ117" s="18"/>
      <c r="EA117" s="18"/>
      <c r="EB117" s="18"/>
      <c r="EC117" s="18"/>
      <c r="ED117" s="18"/>
      <c r="EE117" s="18"/>
      <c r="EF117" s="18"/>
      <c r="EG117" s="18"/>
      <c r="EH117" s="18"/>
      <c r="EI117" s="18"/>
      <c r="EJ117" s="18"/>
      <c r="EK117" s="18"/>
      <c r="EL117" s="18"/>
      <c r="EM117" s="18"/>
      <c r="EN117" s="18"/>
      <c r="EO117" s="18"/>
      <c r="EP117" s="18"/>
      <c r="EQ117" s="18"/>
      <c r="ER117" s="18"/>
      <c r="ES117" s="18"/>
      <c r="ET117" s="18"/>
      <c r="EU117" s="18"/>
      <c r="EV117" s="18"/>
      <c r="EW117" s="18"/>
      <c r="EX117" s="18"/>
      <c r="EY117" s="18"/>
      <c r="EZ117" s="18"/>
      <c r="FA117" s="18"/>
      <c r="FB117" s="18"/>
      <c r="FC117" s="18"/>
      <c r="FD117" s="18"/>
      <c r="FE117" s="18"/>
      <c r="FF117" s="18"/>
      <c r="FG117" s="18"/>
      <c r="FH117" s="18"/>
      <c r="FI117" s="18"/>
      <c r="FJ117" s="18"/>
      <c r="FK117" s="18"/>
      <c r="FL117" s="18"/>
      <c r="FM117" s="18"/>
      <c r="FN117" s="18"/>
      <c r="FO117" s="18"/>
      <c r="FP117" s="18"/>
      <c r="FQ117" s="18"/>
      <c r="FR117" s="18"/>
      <c r="FS117" s="18"/>
      <c r="FT117" s="18"/>
      <c r="FU117" s="18"/>
      <c r="FV117" s="18"/>
      <c r="FW117" s="18"/>
      <c r="FX117" s="18"/>
      <c r="FY117" s="18"/>
      <c r="FZ117" s="18"/>
      <c r="GA117" s="18"/>
      <c r="GB117" s="18"/>
      <c r="GC117" s="18"/>
      <c r="GD117" s="18"/>
      <c r="GE117" s="18"/>
      <c r="GF117" s="18"/>
      <c r="GG117" s="18"/>
      <c r="GH117" s="18"/>
      <c r="GI117" s="18"/>
      <c r="GJ117" s="18"/>
      <c r="GK117" s="18"/>
      <c r="GL117" s="18"/>
      <c r="GM117" s="18"/>
      <c r="GN117" s="18"/>
      <c r="GO117" s="18"/>
      <c r="GP117" s="18"/>
      <c r="GQ117" s="18"/>
      <c r="GR117" s="18"/>
      <c r="GS117" s="18"/>
      <c r="GT117" s="18"/>
      <c r="GU117" s="18"/>
      <c r="GV117" s="18"/>
      <c r="GW117" s="18"/>
      <c r="GX117" s="18"/>
      <c r="GY117" s="18"/>
      <c r="GZ117" s="18"/>
      <c r="HA117" s="18"/>
      <c r="HB117" s="18"/>
      <c r="HC117" s="18"/>
      <c r="HD117" s="18"/>
      <c r="HE117" s="18"/>
      <c r="HF117" s="18"/>
      <c r="HG117" s="18"/>
      <c r="HH117" s="18"/>
      <c r="HI117" s="18"/>
      <c r="HJ117" s="18"/>
      <c r="HK117" s="18"/>
      <c r="HL117" s="18"/>
      <c r="HM117" s="18"/>
      <c r="HN117" s="18"/>
      <c r="HO117" s="18"/>
      <c r="HP117" s="18"/>
      <c r="HQ117" s="18"/>
      <c r="HR117" s="18"/>
      <c r="HS117" s="18"/>
      <c r="HT117" s="18"/>
      <c r="HU117" s="18"/>
      <c r="HV117" s="18"/>
      <c r="HW117" s="18"/>
      <c r="HX117" s="18"/>
      <c r="HY117" s="18"/>
      <c r="HZ117" s="18"/>
      <c r="IA117" s="18"/>
      <c r="IB117" s="18"/>
      <c r="IC117" s="18"/>
      <c r="ID117" s="18"/>
      <c r="IE117" s="18"/>
      <c r="IF117" s="18"/>
      <c r="IG117" s="18"/>
      <c r="IH117" s="18"/>
      <c r="II117" s="18"/>
      <c r="IJ117" s="18"/>
      <c r="IK117" s="18"/>
      <c r="IL117" s="18"/>
      <c r="IM117" s="18"/>
      <c r="IN117" s="18"/>
      <c r="IO117" s="18"/>
      <c r="IP117" s="18"/>
      <c r="IQ117" s="18"/>
      <c r="IR117" s="18"/>
      <c r="IS117" s="18"/>
      <c r="IT117" s="18"/>
      <c r="IU117" s="18"/>
      <c r="IV117" s="18"/>
      <c r="IW117" s="18"/>
      <c r="IX117" s="18"/>
      <c r="IY117" s="18"/>
      <c r="IZ117" s="18"/>
      <c r="JA117" s="18"/>
      <c r="JB117" s="18"/>
      <c r="JC117" s="18"/>
      <c r="JD117" s="18"/>
      <c r="JE117" s="18"/>
      <c r="JF117" s="18"/>
      <c r="JG117" s="18"/>
      <c r="JH117" s="18"/>
      <c r="JI117" s="18"/>
      <c r="JJ117" s="18"/>
      <c r="JK117" s="18"/>
      <c r="JL117" s="18"/>
      <c r="JM117" s="18"/>
      <c r="JN117" s="18"/>
      <c r="JO117" s="18"/>
      <c r="JP117" s="18"/>
      <c r="JQ117" s="18"/>
      <c r="JR117" s="18"/>
      <c r="JS117" s="18"/>
      <c r="JT117" s="18"/>
      <c r="JU117" s="18"/>
      <c r="JV117" s="18"/>
      <c r="JW117" s="18"/>
      <c r="JX117" s="18"/>
      <c r="JY117" s="18"/>
      <c r="JZ117" s="18"/>
      <c r="KA117" s="18"/>
      <c r="KB117" s="18"/>
      <c r="KC117" s="18"/>
      <c r="KD117" s="18"/>
      <c r="KE117" s="18"/>
      <c r="KF117" s="18"/>
      <c r="KG117" s="18"/>
      <c r="KH117" s="18"/>
      <c r="KI117" s="18"/>
      <c r="KJ117" s="18"/>
      <c r="KK117" s="18"/>
      <c r="KL117" s="18"/>
      <c r="KM117" s="18"/>
      <c r="KN117" s="18"/>
      <c r="KO117" s="18"/>
      <c r="KP117" s="18"/>
      <c r="KQ117" s="18"/>
      <c r="KR117" s="18"/>
      <c r="KS117" s="18"/>
      <c r="KT117" s="18"/>
      <c r="KU117" s="18"/>
      <c r="KV117" s="18"/>
      <c r="KW117" s="18"/>
      <c r="KX117" s="18"/>
      <c r="KY117" s="18"/>
      <c r="KZ117" s="18"/>
      <c r="LA117" s="18"/>
      <c r="LB117" s="18"/>
      <c r="LC117" s="18"/>
      <c r="LD117" s="18"/>
      <c r="LE117" s="18"/>
      <c r="LF117" s="18"/>
      <c r="LG117" s="18"/>
      <c r="LH117" s="18"/>
      <c r="LI117" s="18"/>
      <c r="LJ117" s="18"/>
      <c r="LK117" s="18"/>
      <c r="LL117" s="18"/>
      <c r="LM117" s="18"/>
      <c r="LN117" s="18"/>
      <c r="LO117" s="18"/>
      <c r="LP117" s="18"/>
      <c r="LQ117" s="18"/>
      <c r="LR117" s="18"/>
      <c r="LS117" s="18"/>
      <c r="LT117" s="18"/>
      <c r="LU117" s="18"/>
      <c r="LV117" s="18"/>
      <c r="LW117" s="18"/>
      <c r="LX117" s="18"/>
      <c r="LY117" s="18"/>
      <c r="LZ117" s="18"/>
      <c r="MA117" s="18"/>
      <c r="MB117" s="18"/>
      <c r="MC117" s="18"/>
      <c r="MD117" s="18"/>
      <c r="ME117" s="18"/>
      <c r="MF117" s="18"/>
      <c r="MG117" s="18"/>
      <c r="MH117" s="18"/>
      <c r="MI117" s="18"/>
      <c r="MJ117" s="18"/>
      <c r="MK117" s="18"/>
      <c r="ML117" s="18"/>
      <c r="MM117" s="18"/>
      <c r="MN117" s="18"/>
      <c r="MO117" s="18"/>
      <c r="MP117" s="18"/>
      <c r="MQ117" s="18"/>
      <c r="MR117" s="18"/>
      <c r="MS117" s="18"/>
      <c r="MT117" s="18"/>
      <c r="MU117" s="18"/>
      <c r="MV117" s="18"/>
      <c r="MW117" s="18"/>
      <c r="MX117" s="18"/>
      <c r="MY117" s="18"/>
      <c r="MZ117" s="18"/>
      <c r="NA117" s="18"/>
      <c r="NB117" s="18"/>
      <c r="NC117" s="18"/>
      <c r="ND117" s="18"/>
      <c r="NE117" s="18"/>
      <c r="NF117" s="18"/>
      <c r="NG117" s="18"/>
      <c r="NH117" s="18"/>
      <c r="NI117" s="18"/>
      <c r="NJ117" s="18"/>
      <c r="NK117" s="18"/>
      <c r="NL117" s="18"/>
      <c r="NM117" s="18"/>
      <c r="NN117" s="18"/>
      <c r="NO117" s="18"/>
      <c r="NP117" s="18"/>
      <c r="NQ117" s="18"/>
      <c r="NR117" s="18"/>
      <c r="NS117" s="18"/>
      <c r="NT117" s="18"/>
      <c r="NU117" s="18"/>
      <c r="NV117" s="18"/>
      <c r="NW117" s="18"/>
      <c r="NX117" s="18"/>
      <c r="NY117" s="18"/>
      <c r="NZ117" s="18"/>
      <c r="OA117" s="18"/>
      <c r="OB117" s="18"/>
      <c r="OC117" s="18"/>
      <c r="OD117" s="18"/>
      <c r="OE117" s="18"/>
      <c r="OF117" s="18"/>
      <c r="OG117" s="18"/>
      <c r="OH117" s="18"/>
      <c r="OI117" s="18"/>
      <c r="OJ117" s="18"/>
      <c r="OK117" s="18"/>
      <c r="OL117" s="18"/>
      <c r="OM117" s="18"/>
      <c r="ON117" s="18"/>
      <c r="OO117" s="18"/>
      <c r="OP117" s="18"/>
      <c r="OQ117" s="18"/>
      <c r="OR117" s="18"/>
      <c r="OS117" s="18"/>
      <c r="OT117" s="18"/>
      <c r="OU117" s="18"/>
      <c r="OV117" s="18"/>
      <c r="OW117" s="18"/>
      <c r="OX117" s="18"/>
      <c r="OY117" s="18"/>
      <c r="OZ117" s="18"/>
      <c r="PA117" s="18"/>
      <c r="PB117" s="18"/>
      <c r="PC117" s="18"/>
      <c r="PD117" s="18"/>
      <c r="PE117" s="18"/>
      <c r="PF117" s="18"/>
      <c r="PG117" s="18"/>
      <c r="PH117" s="18"/>
      <c r="PI117" s="18"/>
      <c r="PJ117" s="18"/>
      <c r="PK117" s="18"/>
      <c r="PL117" s="18"/>
      <c r="PM117" s="18"/>
      <c r="PN117" s="18"/>
      <c r="PO117" s="18"/>
      <c r="PP117" s="18"/>
      <c r="PQ117" s="18"/>
      <c r="PR117" s="18"/>
      <c r="PS117" s="18"/>
      <c r="PT117" s="18"/>
      <c r="PU117" s="18"/>
      <c r="PV117" s="18"/>
      <c r="PW117" s="18"/>
      <c r="PX117" s="18"/>
      <c r="PY117" s="18"/>
      <c r="PZ117" s="18"/>
      <c r="QA117" s="18"/>
      <c r="QB117" s="18"/>
      <c r="QC117" s="18"/>
      <c r="QD117" s="18"/>
      <c r="QE117" s="18"/>
      <c r="QF117" s="18"/>
      <c r="QG117" s="18"/>
      <c r="QH117" s="18"/>
      <c r="QI117" s="18"/>
      <c r="QJ117" s="18"/>
      <c r="QK117" s="18"/>
      <c r="QL117" s="18"/>
      <c r="QM117" s="18"/>
      <c r="QN117" s="18"/>
      <c r="QO117" s="18"/>
      <c r="QP117" s="18"/>
      <c r="QQ117" s="18"/>
      <c r="QR117" s="18"/>
      <c r="QS117" s="18"/>
      <c r="QT117" s="18"/>
      <c r="QU117" s="18"/>
      <c r="QV117" s="18"/>
      <c r="QW117" s="18"/>
      <c r="QX117" s="18"/>
      <c r="QY117" s="18"/>
      <c r="QZ117" s="18"/>
      <c r="RA117" s="18"/>
      <c r="RB117" s="18"/>
      <c r="RC117" s="18"/>
      <c r="RD117" s="18"/>
      <c r="RE117" s="18"/>
      <c r="RF117" s="18"/>
      <c r="RG117" s="18"/>
      <c r="RH117" s="18"/>
      <c r="RI117" s="18"/>
      <c r="RJ117" s="18"/>
      <c r="RK117" s="18"/>
      <c r="RL117" s="18"/>
      <c r="RM117" s="18"/>
      <c r="RN117" s="18"/>
      <c r="RO117" s="18"/>
      <c r="RP117" s="18"/>
      <c r="RQ117" s="18"/>
      <c r="RR117" s="18"/>
      <c r="RS117" s="18"/>
      <c r="RT117" s="18"/>
      <c r="RU117" s="18"/>
      <c r="RV117" s="18"/>
      <c r="RW117" s="18"/>
      <c r="RX117" s="18"/>
      <c r="RY117" s="18"/>
      <c r="RZ117" s="18"/>
      <c r="SA117" s="18"/>
      <c r="SB117" s="18"/>
      <c r="SC117" s="18"/>
      <c r="SD117" s="18"/>
      <c r="SE117" s="18"/>
      <c r="SF117" s="18"/>
      <c r="SG117" s="18"/>
      <c r="SH117" s="18"/>
      <c r="SI117" s="18"/>
      <c r="SJ117" s="18"/>
      <c r="SK117" s="18"/>
      <c r="SL117" s="18"/>
      <c r="SM117" s="18"/>
      <c r="SN117" s="18"/>
      <c r="SO117" s="18"/>
      <c r="SP117" s="18"/>
      <c r="SQ117" s="18"/>
      <c r="SR117" s="18"/>
      <c r="SS117" s="18"/>
      <c r="ST117" s="18"/>
      <c r="SU117" s="18"/>
      <c r="SV117" s="18"/>
      <c r="SW117" s="18"/>
      <c r="SX117" s="18"/>
      <c r="SY117" s="18"/>
      <c r="SZ117" s="18"/>
      <c r="TA117" s="18"/>
      <c r="TB117" s="18"/>
      <c r="TC117" s="18"/>
      <c r="TD117" s="18"/>
      <c r="TE117" s="18"/>
      <c r="TF117" s="18"/>
      <c r="TG117" s="18"/>
      <c r="TH117" s="18"/>
      <c r="TI117" s="18"/>
      <c r="TJ117" s="18"/>
      <c r="TK117" s="18"/>
      <c r="TL117" s="18"/>
      <c r="TM117" s="18"/>
      <c r="TN117" s="18"/>
      <c r="TO117" s="18"/>
      <c r="TP117" s="18"/>
      <c r="TQ117" s="18"/>
      <c r="TR117" s="18"/>
      <c r="TS117" s="18"/>
      <c r="TT117" s="18"/>
      <c r="TU117" s="18"/>
      <c r="TV117" s="18"/>
      <c r="TW117" s="18"/>
      <c r="TX117" s="18"/>
      <c r="TY117" s="18"/>
      <c r="TZ117" s="18"/>
      <c r="UA117" s="18"/>
      <c r="UB117" s="18"/>
      <c r="UC117" s="18"/>
      <c r="UD117" s="18"/>
      <c r="UE117" s="18"/>
      <c r="UF117" s="18"/>
      <c r="UG117" s="18"/>
      <c r="UH117" s="18"/>
      <c r="UI117" s="18"/>
      <c r="UJ117" s="18"/>
      <c r="UK117" s="18"/>
      <c r="UL117" s="18"/>
      <c r="UM117" s="18"/>
      <c r="UN117" s="18"/>
      <c r="UO117" s="18"/>
      <c r="UP117" s="18"/>
      <c r="UQ117" s="18"/>
      <c r="UR117" s="18"/>
      <c r="US117" s="18"/>
      <c r="UT117" s="18"/>
      <c r="UU117" s="18"/>
      <c r="UV117" s="18"/>
      <c r="UW117" s="18"/>
      <c r="UX117" s="18"/>
      <c r="UY117" s="18"/>
      <c r="UZ117" s="18"/>
      <c r="VA117" s="18"/>
      <c r="VB117" s="18"/>
      <c r="VC117" s="18"/>
      <c r="VD117" s="18"/>
      <c r="VE117" s="18"/>
      <c r="VF117" s="18"/>
      <c r="VG117" s="18"/>
      <c r="VH117" s="18"/>
      <c r="VI117" s="18"/>
      <c r="VJ117" s="18"/>
      <c r="VK117" s="18"/>
      <c r="VL117" s="18"/>
      <c r="VM117" s="18"/>
      <c r="VN117" s="18"/>
      <c r="VO117" s="18"/>
      <c r="VP117" s="18"/>
      <c r="VQ117" s="18"/>
      <c r="VR117" s="18"/>
      <c r="VS117" s="18"/>
      <c r="VT117" s="18"/>
      <c r="VU117" s="18"/>
      <c r="VV117" s="18"/>
      <c r="VW117" s="18"/>
      <c r="VX117" s="18"/>
      <c r="VY117" s="18"/>
      <c r="VZ117" s="18"/>
      <c r="WA117" s="18"/>
      <c r="WB117" s="18"/>
      <c r="WC117" s="18"/>
      <c r="WD117" s="18"/>
      <c r="WE117" s="18"/>
      <c r="WF117" s="18"/>
      <c r="WG117" s="18"/>
      <c r="WH117" s="18"/>
      <c r="WI117" s="18"/>
      <c r="WJ117" s="18"/>
      <c r="WK117" s="18"/>
      <c r="WL117" s="18"/>
      <c r="WM117" s="18"/>
      <c r="WN117" s="18"/>
      <c r="WO117" s="18"/>
      <c r="WP117" s="18"/>
      <c r="WQ117" s="18"/>
      <c r="WR117" s="18"/>
      <c r="WS117" s="18"/>
      <c r="WT117" s="18"/>
      <c r="WU117" s="18"/>
      <c r="WV117" s="18"/>
      <c r="WW117" s="18"/>
      <c r="WX117" s="18"/>
      <c r="WY117" s="18"/>
      <c r="WZ117" s="18"/>
      <c r="XA117" s="18"/>
      <c r="XB117" s="18"/>
      <c r="XC117" s="18"/>
      <c r="XD117" s="18"/>
      <c r="XE117" s="18"/>
      <c r="XF117" s="18"/>
      <c r="XG117" s="18"/>
      <c r="XH117" s="18"/>
      <c r="XI117" s="18"/>
      <c r="XJ117" s="18"/>
      <c r="XK117" s="18"/>
      <c r="XL117" s="18"/>
      <c r="XM117" s="18"/>
      <c r="XN117" s="18"/>
      <c r="XO117" s="18"/>
      <c r="XP117" s="18"/>
      <c r="XQ117" s="18"/>
      <c r="XR117" s="18"/>
      <c r="XS117" s="18"/>
      <c r="XT117" s="18"/>
      <c r="XU117" s="18"/>
      <c r="XV117" s="18"/>
      <c r="XW117" s="18"/>
      <c r="XX117" s="18"/>
      <c r="XY117" s="18"/>
      <c r="XZ117" s="18"/>
      <c r="YA117" s="18"/>
      <c r="YB117" s="18"/>
      <c r="YC117" s="18"/>
      <c r="YD117" s="18"/>
      <c r="YE117" s="18"/>
      <c r="YF117" s="18"/>
      <c r="YG117" s="18"/>
      <c r="YH117" s="18"/>
      <c r="YI117" s="18"/>
      <c r="YJ117" s="18"/>
      <c r="YK117" s="18"/>
      <c r="YL117" s="18"/>
      <c r="YM117" s="18"/>
      <c r="YN117" s="18"/>
      <c r="YO117" s="18"/>
      <c r="YP117" s="18"/>
      <c r="YQ117" s="18"/>
      <c r="YR117" s="18"/>
      <c r="YS117" s="18"/>
      <c r="YT117" s="18"/>
      <c r="YU117" s="18"/>
      <c r="YV117" s="18"/>
      <c r="YW117" s="18"/>
      <c r="YX117" s="18"/>
      <c r="YY117" s="18"/>
      <c r="YZ117" s="18"/>
      <c r="ZA117" s="18"/>
      <c r="ZB117" s="18"/>
      <c r="ZC117" s="18"/>
      <c r="ZD117" s="18"/>
      <c r="ZE117" s="18"/>
      <c r="ZF117" s="18"/>
      <c r="ZG117" s="18"/>
      <c r="ZH117" s="18"/>
      <c r="ZI117" s="18"/>
      <c r="ZJ117" s="18"/>
      <c r="ZK117" s="18"/>
      <c r="ZL117" s="18"/>
      <c r="ZM117" s="18"/>
      <c r="ZN117" s="18"/>
      <c r="ZO117" s="18"/>
      <c r="ZP117" s="18"/>
      <c r="ZQ117" s="18"/>
      <c r="ZR117" s="18"/>
      <c r="ZS117" s="18"/>
      <c r="ZT117" s="18"/>
      <c r="ZU117" s="18"/>
      <c r="ZV117" s="18"/>
      <c r="ZW117" s="18"/>
      <c r="ZX117" s="18"/>
      <c r="ZY117" s="18"/>
      <c r="ZZ117" s="18"/>
      <c r="AAA117" s="18"/>
      <c r="AAB117" s="18"/>
      <c r="AAC117" s="18"/>
      <c r="AAD117" s="18"/>
      <c r="AAE117" s="18"/>
      <c r="AAF117" s="18"/>
      <c r="AAG117" s="18"/>
      <c r="AAH117" s="18"/>
      <c r="AAI117" s="18"/>
      <c r="AAJ117" s="18"/>
      <c r="AAK117" s="18"/>
      <c r="AAL117" s="18"/>
      <c r="AAM117" s="18"/>
      <c r="AAN117" s="18"/>
      <c r="AAO117" s="18"/>
      <c r="AAP117" s="18"/>
      <c r="AAQ117" s="18"/>
      <c r="AAR117" s="18"/>
      <c r="AAS117" s="18"/>
      <c r="AAT117" s="18"/>
      <c r="AAU117" s="18"/>
      <c r="AAV117" s="18"/>
      <c r="AAW117" s="18"/>
      <c r="AAX117" s="18"/>
      <c r="AAY117" s="18"/>
      <c r="AAZ117" s="18"/>
      <c r="ABA117" s="18"/>
      <c r="ABB117" s="18"/>
      <c r="ABC117" s="18"/>
      <c r="ABD117" s="18"/>
      <c r="ABE117" s="18"/>
      <c r="ABF117" s="18"/>
      <c r="ABG117" s="18"/>
      <c r="ABH117" s="18"/>
      <c r="ABI117" s="18"/>
      <c r="ABJ117" s="18"/>
      <c r="ABK117" s="18"/>
      <c r="ABL117" s="18"/>
      <c r="ABM117" s="18"/>
      <c r="ABN117" s="18"/>
      <c r="ABO117" s="18"/>
      <c r="ABP117" s="18"/>
      <c r="ABQ117" s="18"/>
      <c r="ABR117" s="18"/>
      <c r="ABS117" s="18"/>
      <c r="ABT117" s="18"/>
      <c r="ABU117" s="18"/>
      <c r="ABV117" s="18"/>
      <c r="ABW117" s="18"/>
      <c r="ABX117" s="18"/>
      <c r="ABY117" s="18"/>
      <c r="ABZ117" s="18"/>
      <c r="ACA117" s="18"/>
      <c r="ACB117" s="18"/>
      <c r="ACC117" s="18"/>
      <c r="ACD117" s="18"/>
      <c r="ACE117" s="18"/>
      <c r="ACF117" s="18"/>
      <c r="ACG117" s="18"/>
      <c r="ACH117" s="18"/>
      <c r="ACI117" s="18"/>
      <c r="ACJ117" s="18"/>
      <c r="ACK117" s="18"/>
      <c r="ACL117" s="18"/>
      <c r="ACM117" s="18"/>
      <c r="ACN117" s="18"/>
      <c r="ACO117" s="18"/>
      <c r="ACP117" s="18"/>
      <c r="ACQ117" s="18"/>
      <c r="ACR117" s="18"/>
      <c r="ACS117" s="18"/>
      <c r="ACT117" s="18"/>
      <c r="ACU117" s="18"/>
      <c r="ACV117" s="18"/>
      <c r="ACW117" s="18"/>
      <c r="ACX117" s="18"/>
      <c r="ACY117" s="18"/>
      <c r="ACZ117" s="18"/>
      <c r="ADA117" s="18"/>
      <c r="ADB117" s="18"/>
      <c r="ADC117" s="18"/>
      <c r="ADD117" s="18"/>
      <c r="ADE117" s="18"/>
      <c r="ADF117" s="18"/>
      <c r="ADG117" s="18"/>
      <c r="ADH117" s="18"/>
      <c r="ADI117" s="18"/>
      <c r="ADJ117" s="18"/>
      <c r="ADK117" s="18"/>
      <c r="ADL117" s="18"/>
      <c r="ADM117" s="18"/>
      <c r="ADN117" s="18"/>
      <c r="ADO117" s="18"/>
      <c r="ADP117" s="18"/>
      <c r="ADQ117" s="18"/>
      <c r="ADR117" s="18"/>
      <c r="ADS117" s="18"/>
      <c r="ADT117" s="18"/>
      <c r="ADU117" s="18"/>
      <c r="ADV117" s="18"/>
      <c r="ADW117" s="18"/>
      <c r="ADX117" s="18"/>
      <c r="ADY117" s="18"/>
      <c r="ADZ117" s="18"/>
      <c r="AEA117" s="18"/>
      <c r="AEB117" s="18"/>
      <c r="AEC117" s="18"/>
      <c r="AED117" s="18"/>
      <c r="AEE117" s="18"/>
      <c r="AEF117" s="18"/>
      <c r="AEG117" s="18"/>
      <c r="AEH117" s="18"/>
      <c r="AEI117" s="18"/>
      <c r="AEJ117" s="18"/>
      <c r="AEK117" s="18"/>
      <c r="AEL117" s="18"/>
      <c r="AEM117" s="18"/>
      <c r="AEN117" s="18"/>
      <c r="AEO117" s="18"/>
      <c r="AEP117" s="18"/>
      <c r="AEQ117" s="18"/>
      <c r="AER117" s="18"/>
      <c r="AES117" s="18"/>
      <c r="AET117" s="18"/>
      <c r="AEU117" s="18"/>
      <c r="AEV117" s="18"/>
      <c r="AEW117" s="18"/>
      <c r="AEX117" s="18"/>
      <c r="AEY117" s="18"/>
      <c r="AEZ117" s="18"/>
      <c r="AFA117" s="18"/>
      <c r="AFB117" s="18"/>
      <c r="AFC117" s="18"/>
      <c r="AFD117" s="18"/>
      <c r="AFE117" s="18"/>
      <c r="AFF117" s="18"/>
      <c r="AFG117" s="18"/>
      <c r="AFH117" s="18"/>
      <c r="AFI117" s="18"/>
      <c r="AFJ117" s="18"/>
      <c r="AFK117" s="18"/>
      <c r="AFL117" s="18"/>
      <c r="AFM117" s="18"/>
      <c r="AFN117" s="18"/>
      <c r="AFO117" s="18"/>
      <c r="AFP117" s="18"/>
      <c r="AFQ117" s="18"/>
      <c r="AFR117" s="18"/>
      <c r="AFS117" s="18"/>
      <c r="AFT117" s="18"/>
      <c r="AFU117" s="18"/>
      <c r="AFV117" s="18"/>
      <c r="AFW117" s="18"/>
      <c r="AFX117" s="18"/>
      <c r="AFY117" s="18"/>
      <c r="AFZ117" s="18"/>
      <c r="AGA117" s="18"/>
      <c r="AGB117" s="18"/>
      <c r="AGC117" s="18"/>
      <c r="AGD117" s="18"/>
      <c r="AGE117" s="18"/>
      <c r="AGF117" s="18"/>
      <c r="AGG117" s="18"/>
      <c r="AGH117" s="18"/>
      <c r="AGI117" s="18"/>
      <c r="AGJ117" s="18"/>
      <c r="AGK117" s="18"/>
      <c r="AGL117" s="18"/>
      <c r="AGM117" s="18"/>
      <c r="AGN117" s="18"/>
      <c r="AGO117" s="18"/>
      <c r="AGP117" s="18"/>
      <c r="AGQ117" s="18"/>
      <c r="AGR117" s="18"/>
      <c r="AGS117" s="18"/>
      <c r="AGT117" s="18"/>
      <c r="AGU117" s="18"/>
      <c r="AGV117" s="18"/>
      <c r="AGW117" s="18"/>
      <c r="AGX117" s="18"/>
      <c r="AGY117" s="18"/>
      <c r="AGZ117" s="18"/>
      <c r="AHA117" s="18"/>
      <c r="AHB117" s="18"/>
      <c r="AHC117" s="18"/>
      <c r="AHD117" s="18"/>
      <c r="AHE117" s="18"/>
      <c r="AHF117" s="18"/>
      <c r="AHG117" s="18"/>
      <c r="AHH117" s="18"/>
      <c r="AHI117" s="18"/>
      <c r="AHJ117" s="18"/>
      <c r="AHK117" s="18"/>
      <c r="AHL117" s="18"/>
      <c r="AHM117" s="18"/>
      <c r="AHN117" s="18"/>
      <c r="AHO117" s="18"/>
      <c r="AHP117" s="18"/>
      <c r="AHQ117" s="18"/>
      <c r="AHR117" s="18"/>
      <c r="AHS117" s="18"/>
      <c r="AHT117" s="18"/>
      <c r="AHU117" s="18"/>
      <c r="AHV117" s="18"/>
      <c r="AHW117" s="18"/>
      <c r="AHX117" s="18"/>
      <c r="AHY117" s="18"/>
      <c r="AHZ117" s="18"/>
      <c r="AIA117" s="18"/>
      <c r="AIB117" s="18"/>
      <c r="AIC117" s="18"/>
      <c r="AID117" s="18"/>
      <c r="AIE117" s="18"/>
      <c r="AIF117" s="18"/>
      <c r="AIG117" s="18"/>
      <c r="AIH117" s="18"/>
      <c r="AII117" s="18"/>
      <c r="AIJ117" s="18"/>
      <c r="AIK117" s="18"/>
      <c r="AIL117" s="18"/>
      <c r="AIM117" s="18"/>
      <c r="AIN117" s="18"/>
      <c r="AIO117" s="18"/>
      <c r="AIP117" s="18"/>
      <c r="AIQ117" s="18"/>
      <c r="AIR117" s="18"/>
      <c r="AIS117" s="18"/>
      <c r="AIT117" s="18"/>
      <c r="AIU117" s="18"/>
      <c r="AIV117" s="18"/>
      <c r="AIW117" s="18"/>
      <c r="AIX117" s="18"/>
      <c r="AIY117" s="18"/>
      <c r="AIZ117" s="18"/>
      <c r="AJA117" s="18"/>
      <c r="AJB117" s="18"/>
      <c r="AJC117" s="18"/>
      <c r="AJD117" s="18"/>
      <c r="AJE117" s="18"/>
      <c r="AJF117" s="18"/>
      <c r="AJG117" s="18"/>
      <c r="AJH117" s="18"/>
      <c r="AJI117" s="18"/>
      <c r="AJJ117" s="18"/>
      <c r="AJK117" s="18"/>
      <c r="AJL117" s="18"/>
      <c r="AJM117" s="18"/>
      <c r="AJN117" s="18"/>
      <c r="AJO117" s="18"/>
      <c r="AJP117" s="18"/>
      <c r="AJQ117" s="18"/>
      <c r="AJR117" s="18"/>
      <c r="AJS117" s="18"/>
      <c r="AJT117" s="18"/>
      <c r="AJU117" s="18"/>
      <c r="AJV117" s="18"/>
      <c r="AJW117" s="18"/>
      <c r="AJX117" s="18"/>
      <c r="AJY117" s="18"/>
      <c r="AJZ117" s="18"/>
      <c r="AKA117" s="18"/>
      <c r="AKB117" s="18"/>
      <c r="AKC117" s="18"/>
      <c r="AKD117" s="18"/>
      <c r="AKE117" s="18"/>
      <c r="AKF117" s="18"/>
      <c r="AKG117" s="18"/>
      <c r="AKH117" s="18"/>
      <c r="AKI117" s="18"/>
      <c r="AKJ117" s="18"/>
      <c r="AKK117" s="18"/>
      <c r="AKL117" s="18"/>
      <c r="AKM117" s="18"/>
      <c r="AKN117" s="18"/>
      <c r="AKO117" s="18"/>
      <c r="AKP117" s="18"/>
      <c r="AKQ117" s="18"/>
      <c r="AKR117" s="18"/>
      <c r="AKS117" s="18"/>
      <c r="AKT117" s="18"/>
      <c r="AKU117" s="18"/>
      <c r="AKV117" s="18"/>
      <c r="AKW117" s="18"/>
      <c r="AKX117" s="18"/>
      <c r="AKY117" s="18"/>
      <c r="AKZ117" s="18"/>
      <c r="ALA117" s="18"/>
      <c r="ALB117" s="18"/>
      <c r="ALC117" s="18"/>
      <c r="ALD117" s="18"/>
      <c r="ALE117" s="18"/>
      <c r="ALF117" s="18"/>
      <c r="ALG117" s="18"/>
      <c r="ALH117" s="18"/>
      <c r="ALI117" s="18"/>
      <c r="ALJ117" s="18"/>
      <c r="ALK117" s="18"/>
      <c r="ALL117" s="18"/>
      <c r="ALM117" s="18"/>
      <c r="ALN117" s="18"/>
      <c r="ALO117" s="18"/>
      <c r="ALP117" s="18"/>
      <c r="ALQ117" s="18"/>
      <c r="ALR117" s="18"/>
      <c r="ALS117" s="18"/>
      <c r="ALT117" s="18"/>
      <c r="ALU117" s="18"/>
      <c r="ALV117" s="18"/>
      <c r="ALW117" s="18"/>
      <c r="ALX117" s="18"/>
      <c r="ALY117" s="18"/>
      <c r="ALZ117" s="18"/>
      <c r="AMA117" s="18"/>
      <c r="AMB117" s="18"/>
      <c r="AMC117" s="18"/>
      <c r="AMD117" s="18"/>
      <c r="AME117" s="18"/>
      <c r="AMF117" s="18"/>
      <c r="AMG117" s="18"/>
      <c r="AMH117" s="18"/>
    </row>
    <row r="118" spans="1:1022" s="23" customFormat="1" x14ac:dyDescent="0.3">
      <c r="A118" s="33">
        <v>214</v>
      </c>
      <c r="B118" s="19"/>
      <c r="C118" s="19"/>
      <c r="D118" s="34"/>
      <c r="E118" s="34"/>
      <c r="F118" s="19"/>
      <c r="G118" s="19"/>
      <c r="H118" s="18"/>
      <c r="I118" s="31"/>
      <c r="J118" s="31"/>
      <c r="K118" s="31"/>
      <c r="L118" s="31"/>
      <c r="M118" s="32"/>
      <c r="N118" s="32"/>
      <c r="O118" s="18"/>
      <c r="P118" s="36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  <c r="AW118" s="18"/>
      <c r="AX118" s="18"/>
      <c r="AY118" s="18"/>
      <c r="AZ118" s="18"/>
      <c r="BA118" s="18"/>
      <c r="BB118" s="18"/>
      <c r="BC118" s="18"/>
      <c r="BD118" s="18"/>
      <c r="BE118" s="18"/>
      <c r="BF118" s="18"/>
      <c r="BG118" s="18"/>
      <c r="BH118" s="18"/>
      <c r="BI118" s="18"/>
      <c r="BJ118" s="18"/>
      <c r="BK118" s="18"/>
      <c r="BL118" s="18"/>
      <c r="BM118" s="18"/>
      <c r="BN118" s="18"/>
      <c r="BO118" s="18"/>
      <c r="BP118" s="18"/>
      <c r="BQ118" s="18"/>
      <c r="BR118" s="18"/>
      <c r="BS118" s="18"/>
      <c r="BT118" s="18"/>
      <c r="BU118" s="18"/>
      <c r="BV118" s="18"/>
      <c r="BW118" s="18"/>
      <c r="BX118" s="18"/>
      <c r="BY118" s="18"/>
      <c r="BZ118" s="18"/>
      <c r="CA118" s="18"/>
      <c r="CB118" s="18"/>
      <c r="CC118" s="18"/>
      <c r="CD118" s="18"/>
      <c r="CE118" s="18"/>
      <c r="CF118" s="18"/>
      <c r="CG118" s="18"/>
      <c r="CH118" s="18"/>
      <c r="CI118" s="18"/>
      <c r="CJ118" s="18"/>
      <c r="CK118" s="18"/>
      <c r="CL118" s="18"/>
      <c r="CM118" s="18"/>
      <c r="CN118" s="18"/>
      <c r="CO118" s="18"/>
      <c r="CP118" s="18"/>
      <c r="CQ118" s="18"/>
      <c r="CR118" s="18"/>
      <c r="CS118" s="18"/>
      <c r="CT118" s="18"/>
      <c r="CU118" s="18"/>
      <c r="CV118" s="18"/>
      <c r="CW118" s="18"/>
      <c r="CX118" s="18"/>
      <c r="CY118" s="18"/>
      <c r="CZ118" s="18"/>
      <c r="DA118" s="18"/>
      <c r="DB118" s="18"/>
      <c r="DC118" s="18"/>
      <c r="DD118" s="18"/>
      <c r="DE118" s="18"/>
      <c r="DF118" s="18"/>
      <c r="DG118" s="18"/>
      <c r="DH118" s="18"/>
      <c r="DI118" s="18"/>
      <c r="DJ118" s="18"/>
      <c r="DK118" s="18"/>
      <c r="DL118" s="18"/>
      <c r="DM118" s="18"/>
      <c r="DN118" s="18"/>
      <c r="DO118" s="18"/>
      <c r="DP118" s="18"/>
      <c r="DQ118" s="18"/>
      <c r="DR118" s="18"/>
      <c r="DS118" s="18"/>
      <c r="DT118" s="18"/>
      <c r="DU118" s="18"/>
      <c r="DV118" s="18"/>
      <c r="DW118" s="18"/>
      <c r="DX118" s="18"/>
      <c r="DY118" s="18"/>
      <c r="DZ118" s="18"/>
      <c r="EA118" s="18"/>
      <c r="EB118" s="18"/>
      <c r="EC118" s="18"/>
      <c r="ED118" s="18"/>
      <c r="EE118" s="18"/>
      <c r="EF118" s="18"/>
      <c r="EG118" s="18"/>
      <c r="EH118" s="18"/>
      <c r="EI118" s="18"/>
      <c r="EJ118" s="18"/>
      <c r="EK118" s="18"/>
      <c r="EL118" s="18"/>
      <c r="EM118" s="18"/>
      <c r="EN118" s="18"/>
      <c r="EO118" s="18"/>
      <c r="EP118" s="18"/>
      <c r="EQ118" s="18"/>
      <c r="ER118" s="18"/>
      <c r="ES118" s="18"/>
      <c r="ET118" s="18"/>
      <c r="EU118" s="18"/>
      <c r="EV118" s="18"/>
      <c r="EW118" s="18"/>
      <c r="EX118" s="18"/>
      <c r="EY118" s="18"/>
      <c r="EZ118" s="18"/>
      <c r="FA118" s="18"/>
      <c r="FB118" s="18"/>
      <c r="FC118" s="18"/>
      <c r="FD118" s="18"/>
      <c r="FE118" s="18"/>
      <c r="FF118" s="18"/>
      <c r="FG118" s="18"/>
      <c r="FH118" s="18"/>
      <c r="FI118" s="18"/>
      <c r="FJ118" s="18"/>
      <c r="FK118" s="18"/>
      <c r="FL118" s="18"/>
      <c r="FM118" s="18"/>
      <c r="FN118" s="18"/>
      <c r="FO118" s="18"/>
      <c r="FP118" s="18"/>
      <c r="FQ118" s="18"/>
      <c r="FR118" s="18"/>
      <c r="FS118" s="18"/>
      <c r="FT118" s="18"/>
      <c r="FU118" s="18"/>
      <c r="FV118" s="18"/>
      <c r="FW118" s="18"/>
      <c r="FX118" s="18"/>
      <c r="FY118" s="18"/>
      <c r="FZ118" s="18"/>
      <c r="GA118" s="18"/>
      <c r="GB118" s="18"/>
      <c r="GC118" s="18"/>
      <c r="GD118" s="18"/>
      <c r="GE118" s="18"/>
      <c r="GF118" s="18"/>
      <c r="GG118" s="18"/>
      <c r="GH118" s="18"/>
      <c r="GI118" s="18"/>
      <c r="GJ118" s="18"/>
      <c r="GK118" s="18"/>
      <c r="GL118" s="18"/>
      <c r="GM118" s="18"/>
      <c r="GN118" s="18"/>
      <c r="GO118" s="18"/>
      <c r="GP118" s="18"/>
      <c r="GQ118" s="18"/>
      <c r="GR118" s="18"/>
      <c r="GS118" s="18"/>
      <c r="GT118" s="18"/>
      <c r="GU118" s="18"/>
      <c r="GV118" s="18"/>
      <c r="GW118" s="18"/>
      <c r="GX118" s="18"/>
      <c r="GY118" s="18"/>
      <c r="GZ118" s="18"/>
      <c r="HA118" s="18"/>
      <c r="HB118" s="18"/>
      <c r="HC118" s="18"/>
      <c r="HD118" s="18"/>
      <c r="HE118" s="18"/>
      <c r="HF118" s="18"/>
      <c r="HG118" s="18"/>
      <c r="HH118" s="18"/>
      <c r="HI118" s="18"/>
      <c r="HJ118" s="18"/>
      <c r="HK118" s="18"/>
      <c r="HL118" s="18"/>
      <c r="HM118" s="18"/>
      <c r="HN118" s="18"/>
      <c r="HO118" s="18"/>
      <c r="HP118" s="18"/>
      <c r="HQ118" s="18"/>
      <c r="HR118" s="18"/>
      <c r="HS118" s="18"/>
      <c r="HT118" s="18"/>
      <c r="HU118" s="18"/>
      <c r="HV118" s="18"/>
      <c r="HW118" s="18"/>
      <c r="HX118" s="18"/>
      <c r="HY118" s="18"/>
      <c r="HZ118" s="18"/>
      <c r="IA118" s="18"/>
      <c r="IB118" s="18"/>
      <c r="IC118" s="18"/>
      <c r="ID118" s="18"/>
      <c r="IE118" s="18"/>
      <c r="IF118" s="18"/>
      <c r="IG118" s="18"/>
      <c r="IH118" s="18"/>
      <c r="II118" s="18"/>
      <c r="IJ118" s="18"/>
      <c r="IK118" s="18"/>
      <c r="IL118" s="18"/>
      <c r="IM118" s="18"/>
      <c r="IN118" s="18"/>
      <c r="IO118" s="18"/>
      <c r="IP118" s="18"/>
      <c r="IQ118" s="18"/>
      <c r="IR118" s="18"/>
      <c r="IS118" s="18"/>
      <c r="IT118" s="18"/>
      <c r="IU118" s="18"/>
      <c r="IV118" s="18"/>
      <c r="IW118" s="18"/>
      <c r="IX118" s="18"/>
      <c r="IY118" s="18"/>
      <c r="IZ118" s="18"/>
      <c r="JA118" s="18"/>
      <c r="JB118" s="18"/>
      <c r="JC118" s="18"/>
      <c r="JD118" s="18"/>
      <c r="JE118" s="18"/>
      <c r="JF118" s="18"/>
      <c r="JG118" s="18"/>
      <c r="JH118" s="18"/>
      <c r="JI118" s="18"/>
      <c r="JJ118" s="18"/>
      <c r="JK118" s="18"/>
      <c r="JL118" s="18"/>
      <c r="JM118" s="18"/>
      <c r="JN118" s="18"/>
      <c r="JO118" s="18"/>
      <c r="JP118" s="18"/>
      <c r="JQ118" s="18"/>
      <c r="JR118" s="18"/>
      <c r="JS118" s="18"/>
      <c r="JT118" s="18"/>
      <c r="JU118" s="18"/>
      <c r="JV118" s="18"/>
      <c r="JW118" s="18"/>
      <c r="JX118" s="18"/>
      <c r="JY118" s="18"/>
      <c r="JZ118" s="18"/>
      <c r="KA118" s="18"/>
      <c r="KB118" s="18"/>
      <c r="KC118" s="18"/>
      <c r="KD118" s="18"/>
      <c r="KE118" s="18"/>
      <c r="KF118" s="18"/>
      <c r="KG118" s="18"/>
      <c r="KH118" s="18"/>
      <c r="KI118" s="18"/>
      <c r="KJ118" s="18"/>
      <c r="KK118" s="18"/>
      <c r="KL118" s="18"/>
      <c r="KM118" s="18"/>
      <c r="KN118" s="18"/>
      <c r="KO118" s="18"/>
      <c r="KP118" s="18"/>
      <c r="KQ118" s="18"/>
      <c r="KR118" s="18"/>
      <c r="KS118" s="18"/>
      <c r="KT118" s="18"/>
      <c r="KU118" s="18"/>
      <c r="KV118" s="18"/>
      <c r="KW118" s="18"/>
      <c r="KX118" s="18"/>
      <c r="KY118" s="18"/>
      <c r="KZ118" s="18"/>
      <c r="LA118" s="18"/>
      <c r="LB118" s="18"/>
      <c r="LC118" s="18"/>
      <c r="LD118" s="18"/>
      <c r="LE118" s="18"/>
      <c r="LF118" s="18"/>
      <c r="LG118" s="18"/>
      <c r="LH118" s="18"/>
      <c r="LI118" s="18"/>
      <c r="LJ118" s="18"/>
      <c r="LK118" s="18"/>
      <c r="LL118" s="18"/>
      <c r="LM118" s="18"/>
      <c r="LN118" s="18"/>
      <c r="LO118" s="18"/>
      <c r="LP118" s="18"/>
      <c r="LQ118" s="18"/>
      <c r="LR118" s="18"/>
      <c r="LS118" s="18"/>
      <c r="LT118" s="18"/>
      <c r="LU118" s="18"/>
      <c r="LV118" s="18"/>
      <c r="LW118" s="18"/>
      <c r="LX118" s="18"/>
      <c r="LY118" s="18"/>
      <c r="LZ118" s="18"/>
      <c r="MA118" s="18"/>
      <c r="MB118" s="18"/>
      <c r="MC118" s="18"/>
      <c r="MD118" s="18"/>
      <c r="ME118" s="18"/>
      <c r="MF118" s="18"/>
      <c r="MG118" s="18"/>
      <c r="MH118" s="18"/>
      <c r="MI118" s="18"/>
      <c r="MJ118" s="18"/>
      <c r="MK118" s="18"/>
      <c r="ML118" s="18"/>
      <c r="MM118" s="18"/>
      <c r="MN118" s="18"/>
      <c r="MO118" s="18"/>
      <c r="MP118" s="18"/>
      <c r="MQ118" s="18"/>
      <c r="MR118" s="18"/>
      <c r="MS118" s="18"/>
      <c r="MT118" s="18"/>
      <c r="MU118" s="18"/>
      <c r="MV118" s="18"/>
      <c r="MW118" s="18"/>
      <c r="MX118" s="18"/>
      <c r="MY118" s="18"/>
      <c r="MZ118" s="18"/>
      <c r="NA118" s="18"/>
      <c r="NB118" s="18"/>
      <c r="NC118" s="18"/>
      <c r="ND118" s="18"/>
      <c r="NE118" s="18"/>
      <c r="NF118" s="18"/>
      <c r="NG118" s="18"/>
      <c r="NH118" s="18"/>
      <c r="NI118" s="18"/>
      <c r="NJ118" s="18"/>
      <c r="NK118" s="18"/>
      <c r="NL118" s="18"/>
      <c r="NM118" s="18"/>
      <c r="NN118" s="18"/>
      <c r="NO118" s="18"/>
      <c r="NP118" s="18"/>
      <c r="NQ118" s="18"/>
      <c r="NR118" s="18"/>
      <c r="NS118" s="18"/>
      <c r="NT118" s="18"/>
      <c r="NU118" s="18"/>
      <c r="NV118" s="18"/>
      <c r="NW118" s="18"/>
      <c r="NX118" s="18"/>
      <c r="NY118" s="18"/>
      <c r="NZ118" s="18"/>
      <c r="OA118" s="18"/>
      <c r="OB118" s="18"/>
      <c r="OC118" s="18"/>
      <c r="OD118" s="18"/>
      <c r="OE118" s="18"/>
      <c r="OF118" s="18"/>
      <c r="OG118" s="18"/>
      <c r="OH118" s="18"/>
      <c r="OI118" s="18"/>
      <c r="OJ118" s="18"/>
      <c r="OK118" s="18"/>
      <c r="OL118" s="18"/>
      <c r="OM118" s="18"/>
      <c r="ON118" s="18"/>
      <c r="OO118" s="18"/>
      <c r="OP118" s="18"/>
      <c r="OQ118" s="18"/>
      <c r="OR118" s="18"/>
      <c r="OS118" s="18"/>
      <c r="OT118" s="18"/>
      <c r="OU118" s="18"/>
      <c r="OV118" s="18"/>
      <c r="OW118" s="18"/>
      <c r="OX118" s="18"/>
      <c r="OY118" s="18"/>
      <c r="OZ118" s="18"/>
      <c r="PA118" s="18"/>
      <c r="PB118" s="18"/>
      <c r="PC118" s="18"/>
      <c r="PD118" s="18"/>
      <c r="PE118" s="18"/>
      <c r="PF118" s="18"/>
      <c r="PG118" s="18"/>
      <c r="PH118" s="18"/>
      <c r="PI118" s="18"/>
      <c r="PJ118" s="18"/>
      <c r="PK118" s="18"/>
      <c r="PL118" s="18"/>
      <c r="PM118" s="18"/>
      <c r="PN118" s="18"/>
      <c r="PO118" s="18"/>
      <c r="PP118" s="18"/>
      <c r="PQ118" s="18"/>
      <c r="PR118" s="18"/>
      <c r="PS118" s="18"/>
      <c r="PT118" s="18"/>
      <c r="PU118" s="18"/>
      <c r="PV118" s="18"/>
      <c r="PW118" s="18"/>
      <c r="PX118" s="18"/>
      <c r="PY118" s="18"/>
      <c r="PZ118" s="18"/>
      <c r="QA118" s="18"/>
      <c r="QB118" s="18"/>
      <c r="QC118" s="18"/>
      <c r="QD118" s="18"/>
      <c r="QE118" s="18"/>
      <c r="QF118" s="18"/>
      <c r="QG118" s="18"/>
      <c r="QH118" s="18"/>
      <c r="QI118" s="18"/>
      <c r="QJ118" s="18"/>
      <c r="QK118" s="18"/>
      <c r="QL118" s="18"/>
      <c r="QM118" s="18"/>
      <c r="QN118" s="18"/>
      <c r="QO118" s="18"/>
      <c r="QP118" s="18"/>
      <c r="QQ118" s="18"/>
      <c r="QR118" s="18"/>
      <c r="QS118" s="18"/>
      <c r="QT118" s="18"/>
      <c r="QU118" s="18"/>
      <c r="QV118" s="18"/>
      <c r="QW118" s="18"/>
      <c r="QX118" s="18"/>
      <c r="QY118" s="18"/>
      <c r="QZ118" s="18"/>
      <c r="RA118" s="18"/>
      <c r="RB118" s="18"/>
      <c r="RC118" s="18"/>
      <c r="RD118" s="18"/>
      <c r="RE118" s="18"/>
      <c r="RF118" s="18"/>
      <c r="RG118" s="18"/>
      <c r="RH118" s="18"/>
      <c r="RI118" s="18"/>
      <c r="RJ118" s="18"/>
      <c r="RK118" s="18"/>
      <c r="RL118" s="18"/>
      <c r="RM118" s="18"/>
      <c r="RN118" s="18"/>
      <c r="RO118" s="18"/>
      <c r="RP118" s="18"/>
      <c r="RQ118" s="18"/>
      <c r="RR118" s="18"/>
      <c r="RS118" s="18"/>
      <c r="RT118" s="18"/>
      <c r="RU118" s="18"/>
      <c r="RV118" s="18"/>
      <c r="RW118" s="18"/>
      <c r="RX118" s="18"/>
      <c r="RY118" s="18"/>
      <c r="RZ118" s="18"/>
      <c r="SA118" s="18"/>
      <c r="SB118" s="18"/>
      <c r="SC118" s="18"/>
      <c r="SD118" s="18"/>
      <c r="SE118" s="18"/>
      <c r="SF118" s="18"/>
      <c r="SG118" s="18"/>
      <c r="SH118" s="18"/>
      <c r="SI118" s="18"/>
      <c r="SJ118" s="18"/>
      <c r="SK118" s="18"/>
      <c r="SL118" s="18"/>
      <c r="SM118" s="18"/>
      <c r="SN118" s="18"/>
      <c r="SO118" s="18"/>
      <c r="SP118" s="18"/>
      <c r="SQ118" s="18"/>
      <c r="SR118" s="18"/>
      <c r="SS118" s="18"/>
      <c r="ST118" s="18"/>
      <c r="SU118" s="18"/>
      <c r="SV118" s="18"/>
      <c r="SW118" s="18"/>
      <c r="SX118" s="18"/>
      <c r="SY118" s="18"/>
      <c r="SZ118" s="18"/>
      <c r="TA118" s="18"/>
      <c r="TB118" s="18"/>
      <c r="TC118" s="18"/>
      <c r="TD118" s="18"/>
      <c r="TE118" s="18"/>
      <c r="TF118" s="18"/>
      <c r="TG118" s="18"/>
      <c r="TH118" s="18"/>
      <c r="TI118" s="18"/>
      <c r="TJ118" s="18"/>
      <c r="TK118" s="18"/>
      <c r="TL118" s="18"/>
      <c r="TM118" s="18"/>
      <c r="TN118" s="18"/>
      <c r="TO118" s="18"/>
      <c r="TP118" s="18"/>
      <c r="TQ118" s="18"/>
      <c r="TR118" s="18"/>
      <c r="TS118" s="18"/>
      <c r="TT118" s="18"/>
      <c r="TU118" s="18"/>
      <c r="TV118" s="18"/>
      <c r="TW118" s="18"/>
      <c r="TX118" s="18"/>
      <c r="TY118" s="18"/>
      <c r="TZ118" s="18"/>
      <c r="UA118" s="18"/>
      <c r="UB118" s="18"/>
      <c r="UC118" s="18"/>
      <c r="UD118" s="18"/>
      <c r="UE118" s="18"/>
      <c r="UF118" s="18"/>
      <c r="UG118" s="18"/>
      <c r="UH118" s="18"/>
      <c r="UI118" s="18"/>
      <c r="UJ118" s="18"/>
      <c r="UK118" s="18"/>
      <c r="UL118" s="18"/>
      <c r="UM118" s="18"/>
      <c r="UN118" s="18"/>
      <c r="UO118" s="18"/>
      <c r="UP118" s="18"/>
      <c r="UQ118" s="18"/>
      <c r="UR118" s="18"/>
      <c r="US118" s="18"/>
      <c r="UT118" s="18"/>
      <c r="UU118" s="18"/>
      <c r="UV118" s="18"/>
      <c r="UW118" s="18"/>
      <c r="UX118" s="18"/>
      <c r="UY118" s="18"/>
      <c r="UZ118" s="18"/>
      <c r="VA118" s="18"/>
      <c r="VB118" s="18"/>
      <c r="VC118" s="18"/>
      <c r="VD118" s="18"/>
      <c r="VE118" s="18"/>
      <c r="VF118" s="18"/>
      <c r="VG118" s="18"/>
      <c r="VH118" s="18"/>
      <c r="VI118" s="18"/>
      <c r="VJ118" s="18"/>
      <c r="VK118" s="18"/>
      <c r="VL118" s="18"/>
      <c r="VM118" s="18"/>
      <c r="VN118" s="18"/>
      <c r="VO118" s="18"/>
      <c r="VP118" s="18"/>
      <c r="VQ118" s="18"/>
      <c r="VR118" s="18"/>
      <c r="VS118" s="18"/>
      <c r="VT118" s="18"/>
      <c r="VU118" s="18"/>
      <c r="VV118" s="18"/>
      <c r="VW118" s="18"/>
      <c r="VX118" s="18"/>
      <c r="VY118" s="18"/>
      <c r="VZ118" s="18"/>
      <c r="WA118" s="18"/>
      <c r="WB118" s="18"/>
      <c r="WC118" s="18"/>
      <c r="WD118" s="18"/>
      <c r="WE118" s="18"/>
      <c r="WF118" s="18"/>
      <c r="WG118" s="18"/>
      <c r="WH118" s="18"/>
      <c r="WI118" s="18"/>
      <c r="WJ118" s="18"/>
      <c r="WK118" s="18"/>
      <c r="WL118" s="18"/>
      <c r="WM118" s="18"/>
      <c r="WN118" s="18"/>
      <c r="WO118" s="18"/>
      <c r="WP118" s="18"/>
      <c r="WQ118" s="18"/>
      <c r="WR118" s="18"/>
      <c r="WS118" s="18"/>
      <c r="WT118" s="18"/>
      <c r="WU118" s="18"/>
      <c r="WV118" s="18"/>
      <c r="WW118" s="18"/>
      <c r="WX118" s="18"/>
      <c r="WY118" s="18"/>
      <c r="WZ118" s="18"/>
      <c r="XA118" s="18"/>
      <c r="XB118" s="18"/>
      <c r="XC118" s="18"/>
      <c r="XD118" s="18"/>
      <c r="XE118" s="18"/>
      <c r="XF118" s="18"/>
      <c r="XG118" s="18"/>
      <c r="XH118" s="18"/>
      <c r="XI118" s="18"/>
      <c r="XJ118" s="18"/>
      <c r="XK118" s="18"/>
      <c r="XL118" s="18"/>
      <c r="XM118" s="18"/>
      <c r="XN118" s="18"/>
      <c r="XO118" s="18"/>
      <c r="XP118" s="18"/>
      <c r="XQ118" s="18"/>
      <c r="XR118" s="18"/>
      <c r="XS118" s="18"/>
      <c r="XT118" s="18"/>
      <c r="XU118" s="18"/>
      <c r="XV118" s="18"/>
      <c r="XW118" s="18"/>
      <c r="XX118" s="18"/>
      <c r="XY118" s="18"/>
      <c r="XZ118" s="18"/>
      <c r="YA118" s="18"/>
      <c r="YB118" s="18"/>
      <c r="YC118" s="18"/>
      <c r="YD118" s="18"/>
      <c r="YE118" s="18"/>
      <c r="YF118" s="18"/>
      <c r="YG118" s="18"/>
      <c r="YH118" s="18"/>
      <c r="YI118" s="18"/>
      <c r="YJ118" s="18"/>
      <c r="YK118" s="18"/>
      <c r="YL118" s="18"/>
      <c r="YM118" s="18"/>
      <c r="YN118" s="18"/>
      <c r="YO118" s="18"/>
      <c r="YP118" s="18"/>
      <c r="YQ118" s="18"/>
      <c r="YR118" s="18"/>
      <c r="YS118" s="18"/>
      <c r="YT118" s="18"/>
      <c r="YU118" s="18"/>
      <c r="YV118" s="18"/>
      <c r="YW118" s="18"/>
      <c r="YX118" s="18"/>
      <c r="YY118" s="18"/>
      <c r="YZ118" s="18"/>
      <c r="ZA118" s="18"/>
      <c r="ZB118" s="18"/>
      <c r="ZC118" s="18"/>
      <c r="ZD118" s="18"/>
      <c r="ZE118" s="18"/>
      <c r="ZF118" s="18"/>
      <c r="ZG118" s="18"/>
      <c r="ZH118" s="18"/>
      <c r="ZI118" s="18"/>
      <c r="ZJ118" s="18"/>
      <c r="ZK118" s="18"/>
      <c r="ZL118" s="18"/>
      <c r="ZM118" s="18"/>
      <c r="ZN118" s="18"/>
      <c r="ZO118" s="18"/>
      <c r="ZP118" s="18"/>
      <c r="ZQ118" s="18"/>
      <c r="ZR118" s="18"/>
      <c r="ZS118" s="18"/>
      <c r="ZT118" s="18"/>
      <c r="ZU118" s="18"/>
      <c r="ZV118" s="18"/>
      <c r="ZW118" s="18"/>
      <c r="ZX118" s="18"/>
      <c r="ZY118" s="18"/>
      <c r="ZZ118" s="18"/>
      <c r="AAA118" s="18"/>
      <c r="AAB118" s="18"/>
      <c r="AAC118" s="18"/>
      <c r="AAD118" s="18"/>
      <c r="AAE118" s="18"/>
      <c r="AAF118" s="18"/>
      <c r="AAG118" s="18"/>
      <c r="AAH118" s="18"/>
      <c r="AAI118" s="18"/>
      <c r="AAJ118" s="18"/>
      <c r="AAK118" s="18"/>
      <c r="AAL118" s="18"/>
      <c r="AAM118" s="18"/>
      <c r="AAN118" s="18"/>
      <c r="AAO118" s="18"/>
      <c r="AAP118" s="18"/>
      <c r="AAQ118" s="18"/>
      <c r="AAR118" s="18"/>
      <c r="AAS118" s="18"/>
      <c r="AAT118" s="18"/>
      <c r="AAU118" s="18"/>
      <c r="AAV118" s="18"/>
      <c r="AAW118" s="18"/>
      <c r="AAX118" s="18"/>
      <c r="AAY118" s="18"/>
      <c r="AAZ118" s="18"/>
      <c r="ABA118" s="18"/>
      <c r="ABB118" s="18"/>
      <c r="ABC118" s="18"/>
      <c r="ABD118" s="18"/>
      <c r="ABE118" s="18"/>
      <c r="ABF118" s="18"/>
      <c r="ABG118" s="18"/>
      <c r="ABH118" s="18"/>
      <c r="ABI118" s="18"/>
      <c r="ABJ118" s="18"/>
      <c r="ABK118" s="18"/>
      <c r="ABL118" s="18"/>
      <c r="ABM118" s="18"/>
      <c r="ABN118" s="18"/>
      <c r="ABO118" s="18"/>
      <c r="ABP118" s="18"/>
      <c r="ABQ118" s="18"/>
      <c r="ABR118" s="18"/>
      <c r="ABS118" s="18"/>
      <c r="ABT118" s="18"/>
      <c r="ABU118" s="18"/>
      <c r="ABV118" s="18"/>
      <c r="ABW118" s="18"/>
      <c r="ABX118" s="18"/>
      <c r="ABY118" s="18"/>
      <c r="ABZ118" s="18"/>
      <c r="ACA118" s="18"/>
      <c r="ACB118" s="18"/>
      <c r="ACC118" s="18"/>
      <c r="ACD118" s="18"/>
      <c r="ACE118" s="18"/>
      <c r="ACF118" s="18"/>
      <c r="ACG118" s="18"/>
      <c r="ACH118" s="18"/>
      <c r="ACI118" s="18"/>
      <c r="ACJ118" s="18"/>
      <c r="ACK118" s="18"/>
      <c r="ACL118" s="18"/>
      <c r="ACM118" s="18"/>
      <c r="ACN118" s="18"/>
      <c r="ACO118" s="18"/>
      <c r="ACP118" s="18"/>
      <c r="ACQ118" s="18"/>
      <c r="ACR118" s="18"/>
      <c r="ACS118" s="18"/>
      <c r="ACT118" s="18"/>
      <c r="ACU118" s="18"/>
      <c r="ACV118" s="18"/>
      <c r="ACW118" s="18"/>
      <c r="ACX118" s="18"/>
      <c r="ACY118" s="18"/>
      <c r="ACZ118" s="18"/>
      <c r="ADA118" s="18"/>
      <c r="ADB118" s="18"/>
      <c r="ADC118" s="18"/>
      <c r="ADD118" s="18"/>
      <c r="ADE118" s="18"/>
      <c r="ADF118" s="18"/>
      <c r="ADG118" s="18"/>
      <c r="ADH118" s="18"/>
      <c r="ADI118" s="18"/>
      <c r="ADJ118" s="18"/>
      <c r="ADK118" s="18"/>
      <c r="ADL118" s="18"/>
      <c r="ADM118" s="18"/>
      <c r="ADN118" s="18"/>
      <c r="ADO118" s="18"/>
      <c r="ADP118" s="18"/>
      <c r="ADQ118" s="18"/>
      <c r="ADR118" s="18"/>
      <c r="ADS118" s="18"/>
      <c r="ADT118" s="18"/>
      <c r="ADU118" s="18"/>
      <c r="ADV118" s="18"/>
      <c r="ADW118" s="18"/>
      <c r="ADX118" s="18"/>
      <c r="ADY118" s="18"/>
      <c r="ADZ118" s="18"/>
      <c r="AEA118" s="18"/>
      <c r="AEB118" s="18"/>
      <c r="AEC118" s="18"/>
      <c r="AED118" s="18"/>
      <c r="AEE118" s="18"/>
      <c r="AEF118" s="18"/>
      <c r="AEG118" s="18"/>
      <c r="AEH118" s="18"/>
      <c r="AEI118" s="18"/>
      <c r="AEJ118" s="18"/>
      <c r="AEK118" s="18"/>
      <c r="AEL118" s="18"/>
      <c r="AEM118" s="18"/>
      <c r="AEN118" s="18"/>
      <c r="AEO118" s="18"/>
      <c r="AEP118" s="18"/>
      <c r="AEQ118" s="18"/>
      <c r="AER118" s="18"/>
      <c r="AES118" s="18"/>
      <c r="AET118" s="18"/>
      <c r="AEU118" s="18"/>
      <c r="AEV118" s="18"/>
      <c r="AEW118" s="18"/>
      <c r="AEX118" s="18"/>
      <c r="AEY118" s="18"/>
      <c r="AEZ118" s="18"/>
      <c r="AFA118" s="18"/>
      <c r="AFB118" s="18"/>
      <c r="AFC118" s="18"/>
      <c r="AFD118" s="18"/>
      <c r="AFE118" s="18"/>
      <c r="AFF118" s="18"/>
      <c r="AFG118" s="18"/>
      <c r="AFH118" s="18"/>
      <c r="AFI118" s="18"/>
      <c r="AFJ118" s="18"/>
      <c r="AFK118" s="18"/>
      <c r="AFL118" s="18"/>
      <c r="AFM118" s="18"/>
      <c r="AFN118" s="18"/>
      <c r="AFO118" s="18"/>
      <c r="AFP118" s="18"/>
      <c r="AFQ118" s="18"/>
      <c r="AFR118" s="18"/>
      <c r="AFS118" s="18"/>
      <c r="AFT118" s="18"/>
      <c r="AFU118" s="18"/>
      <c r="AFV118" s="18"/>
      <c r="AFW118" s="18"/>
      <c r="AFX118" s="18"/>
      <c r="AFY118" s="18"/>
      <c r="AFZ118" s="18"/>
      <c r="AGA118" s="18"/>
      <c r="AGB118" s="18"/>
      <c r="AGC118" s="18"/>
      <c r="AGD118" s="18"/>
      <c r="AGE118" s="18"/>
      <c r="AGF118" s="18"/>
      <c r="AGG118" s="18"/>
      <c r="AGH118" s="18"/>
      <c r="AGI118" s="18"/>
      <c r="AGJ118" s="18"/>
      <c r="AGK118" s="18"/>
      <c r="AGL118" s="18"/>
      <c r="AGM118" s="18"/>
      <c r="AGN118" s="18"/>
      <c r="AGO118" s="18"/>
      <c r="AGP118" s="18"/>
      <c r="AGQ118" s="18"/>
      <c r="AGR118" s="18"/>
      <c r="AGS118" s="18"/>
      <c r="AGT118" s="18"/>
      <c r="AGU118" s="18"/>
      <c r="AGV118" s="18"/>
      <c r="AGW118" s="18"/>
      <c r="AGX118" s="18"/>
      <c r="AGY118" s="18"/>
      <c r="AGZ118" s="18"/>
      <c r="AHA118" s="18"/>
      <c r="AHB118" s="18"/>
      <c r="AHC118" s="18"/>
      <c r="AHD118" s="18"/>
      <c r="AHE118" s="18"/>
      <c r="AHF118" s="18"/>
      <c r="AHG118" s="18"/>
      <c r="AHH118" s="18"/>
      <c r="AHI118" s="18"/>
      <c r="AHJ118" s="18"/>
      <c r="AHK118" s="18"/>
      <c r="AHL118" s="18"/>
      <c r="AHM118" s="18"/>
      <c r="AHN118" s="18"/>
      <c r="AHO118" s="18"/>
      <c r="AHP118" s="18"/>
      <c r="AHQ118" s="18"/>
      <c r="AHR118" s="18"/>
      <c r="AHS118" s="18"/>
      <c r="AHT118" s="18"/>
      <c r="AHU118" s="18"/>
      <c r="AHV118" s="18"/>
      <c r="AHW118" s="18"/>
      <c r="AHX118" s="18"/>
      <c r="AHY118" s="18"/>
      <c r="AHZ118" s="18"/>
      <c r="AIA118" s="18"/>
      <c r="AIB118" s="18"/>
      <c r="AIC118" s="18"/>
      <c r="AID118" s="18"/>
      <c r="AIE118" s="18"/>
      <c r="AIF118" s="18"/>
      <c r="AIG118" s="18"/>
      <c r="AIH118" s="18"/>
      <c r="AII118" s="18"/>
      <c r="AIJ118" s="18"/>
      <c r="AIK118" s="18"/>
      <c r="AIL118" s="18"/>
      <c r="AIM118" s="18"/>
      <c r="AIN118" s="18"/>
      <c r="AIO118" s="18"/>
      <c r="AIP118" s="18"/>
      <c r="AIQ118" s="18"/>
      <c r="AIR118" s="18"/>
      <c r="AIS118" s="18"/>
      <c r="AIT118" s="18"/>
      <c r="AIU118" s="18"/>
      <c r="AIV118" s="18"/>
      <c r="AIW118" s="18"/>
      <c r="AIX118" s="18"/>
      <c r="AIY118" s="18"/>
      <c r="AIZ118" s="18"/>
      <c r="AJA118" s="18"/>
      <c r="AJB118" s="18"/>
      <c r="AJC118" s="18"/>
      <c r="AJD118" s="18"/>
      <c r="AJE118" s="18"/>
      <c r="AJF118" s="18"/>
      <c r="AJG118" s="18"/>
      <c r="AJH118" s="18"/>
      <c r="AJI118" s="18"/>
      <c r="AJJ118" s="18"/>
      <c r="AJK118" s="18"/>
      <c r="AJL118" s="18"/>
      <c r="AJM118" s="18"/>
      <c r="AJN118" s="18"/>
      <c r="AJO118" s="18"/>
      <c r="AJP118" s="18"/>
      <c r="AJQ118" s="18"/>
      <c r="AJR118" s="18"/>
      <c r="AJS118" s="18"/>
      <c r="AJT118" s="18"/>
      <c r="AJU118" s="18"/>
      <c r="AJV118" s="18"/>
      <c r="AJW118" s="18"/>
      <c r="AJX118" s="18"/>
      <c r="AJY118" s="18"/>
      <c r="AJZ118" s="18"/>
      <c r="AKA118" s="18"/>
      <c r="AKB118" s="18"/>
      <c r="AKC118" s="18"/>
      <c r="AKD118" s="18"/>
      <c r="AKE118" s="18"/>
      <c r="AKF118" s="18"/>
      <c r="AKG118" s="18"/>
      <c r="AKH118" s="18"/>
      <c r="AKI118" s="18"/>
      <c r="AKJ118" s="18"/>
      <c r="AKK118" s="18"/>
      <c r="AKL118" s="18"/>
      <c r="AKM118" s="18"/>
      <c r="AKN118" s="18"/>
      <c r="AKO118" s="18"/>
      <c r="AKP118" s="18"/>
      <c r="AKQ118" s="18"/>
      <c r="AKR118" s="18"/>
      <c r="AKS118" s="18"/>
      <c r="AKT118" s="18"/>
      <c r="AKU118" s="18"/>
      <c r="AKV118" s="18"/>
      <c r="AKW118" s="18"/>
      <c r="AKX118" s="18"/>
      <c r="AKY118" s="18"/>
      <c r="AKZ118" s="18"/>
      <c r="ALA118" s="18"/>
      <c r="ALB118" s="18"/>
      <c r="ALC118" s="18"/>
      <c r="ALD118" s="18"/>
      <c r="ALE118" s="18"/>
      <c r="ALF118" s="18"/>
      <c r="ALG118" s="18"/>
      <c r="ALH118" s="18"/>
      <c r="ALI118" s="18"/>
      <c r="ALJ118" s="18"/>
      <c r="ALK118" s="18"/>
      <c r="ALL118" s="18"/>
      <c r="ALM118" s="18"/>
      <c r="ALN118" s="18"/>
      <c r="ALO118" s="18"/>
      <c r="ALP118" s="18"/>
      <c r="ALQ118" s="18"/>
      <c r="ALR118" s="18"/>
      <c r="ALS118" s="18"/>
      <c r="ALT118" s="18"/>
      <c r="ALU118" s="18"/>
      <c r="ALV118" s="18"/>
      <c r="ALW118" s="18"/>
      <c r="ALX118" s="18"/>
      <c r="ALY118" s="18"/>
      <c r="ALZ118" s="18"/>
      <c r="AMA118" s="18"/>
      <c r="AMB118" s="18"/>
      <c r="AMC118" s="18"/>
      <c r="AMD118" s="18"/>
      <c r="AME118" s="18"/>
      <c r="AMF118" s="18"/>
      <c r="AMG118" s="18"/>
      <c r="AMH118" s="18"/>
    </row>
    <row r="119" spans="1:1022" s="23" customFormat="1" x14ac:dyDescent="0.3">
      <c r="A119" s="33">
        <v>215</v>
      </c>
      <c r="B119" s="19"/>
      <c r="C119" s="19"/>
      <c r="D119" s="34"/>
      <c r="E119" s="34"/>
      <c r="F119" s="19"/>
      <c r="G119" s="19"/>
      <c r="H119" s="18"/>
      <c r="I119" s="31"/>
      <c r="J119" s="31"/>
      <c r="K119" s="31"/>
      <c r="L119" s="31"/>
      <c r="M119" s="32"/>
      <c r="N119" s="32"/>
      <c r="O119" s="18"/>
      <c r="P119" s="36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18"/>
      <c r="BK119" s="18"/>
      <c r="BL119" s="18"/>
      <c r="BM119" s="18"/>
      <c r="BN119" s="18"/>
      <c r="BO119" s="18"/>
      <c r="BP119" s="18"/>
      <c r="BQ119" s="18"/>
      <c r="BR119" s="18"/>
      <c r="BS119" s="18"/>
      <c r="BT119" s="18"/>
      <c r="BU119" s="18"/>
      <c r="BV119" s="18"/>
      <c r="BW119" s="18"/>
      <c r="BX119" s="18"/>
      <c r="BY119" s="18"/>
      <c r="BZ119" s="18"/>
      <c r="CA119" s="18"/>
      <c r="CB119" s="18"/>
      <c r="CC119" s="18"/>
      <c r="CD119" s="18"/>
      <c r="CE119" s="18"/>
      <c r="CF119" s="18"/>
      <c r="CG119" s="18"/>
      <c r="CH119" s="18"/>
      <c r="CI119" s="18"/>
      <c r="CJ119" s="18"/>
      <c r="CK119" s="18"/>
      <c r="CL119" s="18"/>
      <c r="CM119" s="18"/>
      <c r="CN119" s="18"/>
      <c r="CO119" s="18"/>
      <c r="CP119" s="18"/>
      <c r="CQ119" s="18"/>
      <c r="CR119" s="18"/>
      <c r="CS119" s="18"/>
      <c r="CT119" s="18"/>
      <c r="CU119" s="18"/>
      <c r="CV119" s="18"/>
      <c r="CW119" s="18"/>
      <c r="CX119" s="18"/>
      <c r="CY119" s="18"/>
      <c r="CZ119" s="18"/>
      <c r="DA119" s="18"/>
      <c r="DB119" s="18"/>
      <c r="DC119" s="18"/>
      <c r="DD119" s="18"/>
      <c r="DE119" s="18"/>
      <c r="DF119" s="18"/>
      <c r="DG119" s="18"/>
      <c r="DH119" s="18"/>
      <c r="DI119" s="18"/>
      <c r="DJ119" s="18"/>
      <c r="DK119" s="18"/>
      <c r="DL119" s="18"/>
      <c r="DM119" s="18"/>
      <c r="DN119" s="18"/>
      <c r="DO119" s="18"/>
      <c r="DP119" s="18"/>
      <c r="DQ119" s="18"/>
      <c r="DR119" s="18"/>
      <c r="DS119" s="18"/>
      <c r="DT119" s="18"/>
      <c r="DU119" s="18"/>
      <c r="DV119" s="18"/>
      <c r="DW119" s="18"/>
      <c r="DX119" s="18"/>
      <c r="DY119" s="18"/>
      <c r="DZ119" s="18"/>
      <c r="EA119" s="18"/>
      <c r="EB119" s="18"/>
      <c r="EC119" s="18"/>
      <c r="ED119" s="18"/>
      <c r="EE119" s="18"/>
      <c r="EF119" s="18"/>
      <c r="EG119" s="18"/>
      <c r="EH119" s="18"/>
      <c r="EI119" s="18"/>
      <c r="EJ119" s="18"/>
      <c r="EK119" s="18"/>
      <c r="EL119" s="18"/>
      <c r="EM119" s="18"/>
      <c r="EN119" s="18"/>
      <c r="EO119" s="18"/>
      <c r="EP119" s="18"/>
      <c r="EQ119" s="18"/>
      <c r="ER119" s="18"/>
      <c r="ES119" s="18"/>
      <c r="ET119" s="18"/>
      <c r="EU119" s="18"/>
      <c r="EV119" s="18"/>
      <c r="EW119" s="18"/>
      <c r="EX119" s="18"/>
      <c r="EY119" s="18"/>
      <c r="EZ119" s="18"/>
      <c r="FA119" s="18"/>
      <c r="FB119" s="18"/>
      <c r="FC119" s="18"/>
      <c r="FD119" s="18"/>
      <c r="FE119" s="18"/>
      <c r="FF119" s="18"/>
      <c r="FG119" s="18"/>
      <c r="FH119" s="18"/>
      <c r="FI119" s="18"/>
      <c r="FJ119" s="18"/>
      <c r="FK119" s="18"/>
      <c r="FL119" s="18"/>
      <c r="FM119" s="18"/>
      <c r="FN119" s="18"/>
      <c r="FO119" s="18"/>
      <c r="FP119" s="18"/>
      <c r="FQ119" s="18"/>
      <c r="FR119" s="18"/>
      <c r="FS119" s="18"/>
      <c r="FT119" s="18"/>
      <c r="FU119" s="18"/>
      <c r="FV119" s="18"/>
      <c r="FW119" s="18"/>
      <c r="FX119" s="18"/>
      <c r="FY119" s="18"/>
      <c r="FZ119" s="18"/>
      <c r="GA119" s="18"/>
      <c r="GB119" s="18"/>
      <c r="GC119" s="18"/>
      <c r="GD119" s="18"/>
      <c r="GE119" s="18"/>
      <c r="GF119" s="18"/>
      <c r="GG119" s="18"/>
      <c r="GH119" s="18"/>
      <c r="GI119" s="18"/>
      <c r="GJ119" s="18"/>
      <c r="GK119" s="18"/>
      <c r="GL119" s="18"/>
      <c r="GM119" s="18"/>
      <c r="GN119" s="18"/>
      <c r="GO119" s="18"/>
      <c r="GP119" s="18"/>
      <c r="GQ119" s="18"/>
      <c r="GR119" s="18"/>
      <c r="GS119" s="18"/>
      <c r="GT119" s="18"/>
      <c r="GU119" s="18"/>
      <c r="GV119" s="18"/>
      <c r="GW119" s="18"/>
      <c r="GX119" s="18"/>
      <c r="GY119" s="18"/>
      <c r="GZ119" s="18"/>
      <c r="HA119" s="18"/>
      <c r="HB119" s="18"/>
      <c r="HC119" s="18"/>
      <c r="HD119" s="18"/>
      <c r="HE119" s="18"/>
      <c r="HF119" s="18"/>
      <c r="HG119" s="18"/>
      <c r="HH119" s="18"/>
      <c r="HI119" s="18"/>
      <c r="HJ119" s="18"/>
      <c r="HK119" s="18"/>
      <c r="HL119" s="18"/>
      <c r="HM119" s="18"/>
      <c r="HN119" s="18"/>
      <c r="HO119" s="18"/>
      <c r="HP119" s="18"/>
      <c r="HQ119" s="18"/>
      <c r="HR119" s="18"/>
      <c r="HS119" s="18"/>
      <c r="HT119" s="18"/>
      <c r="HU119" s="18"/>
      <c r="HV119" s="18"/>
      <c r="HW119" s="18"/>
      <c r="HX119" s="18"/>
      <c r="HY119" s="18"/>
      <c r="HZ119" s="18"/>
      <c r="IA119" s="18"/>
      <c r="IB119" s="18"/>
      <c r="IC119" s="18"/>
      <c r="ID119" s="18"/>
      <c r="IE119" s="18"/>
      <c r="IF119" s="18"/>
      <c r="IG119" s="18"/>
      <c r="IH119" s="18"/>
      <c r="II119" s="18"/>
      <c r="IJ119" s="18"/>
      <c r="IK119" s="18"/>
      <c r="IL119" s="18"/>
      <c r="IM119" s="18"/>
      <c r="IN119" s="18"/>
      <c r="IO119" s="18"/>
      <c r="IP119" s="18"/>
      <c r="IQ119" s="18"/>
      <c r="IR119" s="18"/>
      <c r="IS119" s="18"/>
      <c r="IT119" s="18"/>
      <c r="IU119" s="18"/>
      <c r="IV119" s="18"/>
      <c r="IW119" s="18"/>
      <c r="IX119" s="18"/>
      <c r="IY119" s="18"/>
      <c r="IZ119" s="18"/>
      <c r="JA119" s="18"/>
      <c r="JB119" s="18"/>
      <c r="JC119" s="18"/>
      <c r="JD119" s="18"/>
      <c r="JE119" s="18"/>
      <c r="JF119" s="18"/>
      <c r="JG119" s="18"/>
      <c r="JH119" s="18"/>
      <c r="JI119" s="18"/>
      <c r="JJ119" s="18"/>
      <c r="JK119" s="18"/>
      <c r="JL119" s="18"/>
      <c r="JM119" s="18"/>
      <c r="JN119" s="18"/>
      <c r="JO119" s="18"/>
      <c r="JP119" s="18"/>
      <c r="JQ119" s="18"/>
      <c r="JR119" s="18"/>
      <c r="JS119" s="18"/>
      <c r="JT119" s="18"/>
      <c r="JU119" s="18"/>
      <c r="JV119" s="18"/>
      <c r="JW119" s="18"/>
      <c r="JX119" s="18"/>
      <c r="JY119" s="18"/>
      <c r="JZ119" s="18"/>
      <c r="KA119" s="18"/>
      <c r="KB119" s="18"/>
      <c r="KC119" s="18"/>
      <c r="KD119" s="18"/>
      <c r="KE119" s="18"/>
      <c r="KF119" s="18"/>
      <c r="KG119" s="18"/>
      <c r="KH119" s="18"/>
      <c r="KI119" s="18"/>
      <c r="KJ119" s="18"/>
      <c r="KK119" s="18"/>
      <c r="KL119" s="18"/>
      <c r="KM119" s="18"/>
      <c r="KN119" s="18"/>
      <c r="KO119" s="18"/>
      <c r="KP119" s="18"/>
      <c r="KQ119" s="18"/>
      <c r="KR119" s="18"/>
      <c r="KS119" s="18"/>
      <c r="KT119" s="18"/>
      <c r="KU119" s="18"/>
      <c r="KV119" s="18"/>
      <c r="KW119" s="18"/>
      <c r="KX119" s="18"/>
      <c r="KY119" s="18"/>
      <c r="KZ119" s="18"/>
      <c r="LA119" s="18"/>
      <c r="LB119" s="18"/>
      <c r="LC119" s="18"/>
      <c r="LD119" s="18"/>
      <c r="LE119" s="18"/>
      <c r="LF119" s="18"/>
      <c r="LG119" s="18"/>
      <c r="LH119" s="18"/>
      <c r="LI119" s="18"/>
      <c r="LJ119" s="18"/>
      <c r="LK119" s="18"/>
      <c r="LL119" s="18"/>
      <c r="LM119" s="18"/>
      <c r="LN119" s="18"/>
      <c r="LO119" s="18"/>
      <c r="LP119" s="18"/>
      <c r="LQ119" s="18"/>
      <c r="LR119" s="18"/>
      <c r="LS119" s="18"/>
      <c r="LT119" s="18"/>
      <c r="LU119" s="18"/>
      <c r="LV119" s="18"/>
      <c r="LW119" s="18"/>
      <c r="LX119" s="18"/>
      <c r="LY119" s="18"/>
      <c r="LZ119" s="18"/>
      <c r="MA119" s="18"/>
      <c r="MB119" s="18"/>
      <c r="MC119" s="18"/>
      <c r="MD119" s="18"/>
      <c r="ME119" s="18"/>
      <c r="MF119" s="18"/>
      <c r="MG119" s="18"/>
      <c r="MH119" s="18"/>
      <c r="MI119" s="18"/>
      <c r="MJ119" s="18"/>
      <c r="MK119" s="18"/>
      <c r="ML119" s="18"/>
      <c r="MM119" s="18"/>
      <c r="MN119" s="18"/>
      <c r="MO119" s="18"/>
      <c r="MP119" s="18"/>
      <c r="MQ119" s="18"/>
      <c r="MR119" s="18"/>
      <c r="MS119" s="18"/>
      <c r="MT119" s="18"/>
      <c r="MU119" s="18"/>
      <c r="MV119" s="18"/>
      <c r="MW119" s="18"/>
      <c r="MX119" s="18"/>
      <c r="MY119" s="18"/>
      <c r="MZ119" s="18"/>
      <c r="NA119" s="18"/>
      <c r="NB119" s="18"/>
      <c r="NC119" s="18"/>
      <c r="ND119" s="18"/>
      <c r="NE119" s="18"/>
      <c r="NF119" s="18"/>
      <c r="NG119" s="18"/>
      <c r="NH119" s="18"/>
      <c r="NI119" s="18"/>
      <c r="NJ119" s="18"/>
      <c r="NK119" s="18"/>
      <c r="NL119" s="18"/>
      <c r="NM119" s="18"/>
      <c r="NN119" s="18"/>
      <c r="NO119" s="18"/>
      <c r="NP119" s="18"/>
      <c r="NQ119" s="18"/>
      <c r="NR119" s="18"/>
      <c r="NS119" s="18"/>
      <c r="NT119" s="18"/>
      <c r="NU119" s="18"/>
      <c r="NV119" s="18"/>
      <c r="NW119" s="18"/>
      <c r="NX119" s="18"/>
      <c r="NY119" s="18"/>
      <c r="NZ119" s="18"/>
      <c r="OA119" s="18"/>
      <c r="OB119" s="18"/>
      <c r="OC119" s="18"/>
      <c r="OD119" s="18"/>
      <c r="OE119" s="18"/>
      <c r="OF119" s="18"/>
      <c r="OG119" s="18"/>
      <c r="OH119" s="18"/>
      <c r="OI119" s="18"/>
      <c r="OJ119" s="18"/>
      <c r="OK119" s="18"/>
      <c r="OL119" s="18"/>
      <c r="OM119" s="18"/>
      <c r="ON119" s="18"/>
      <c r="OO119" s="18"/>
      <c r="OP119" s="18"/>
      <c r="OQ119" s="18"/>
      <c r="OR119" s="18"/>
      <c r="OS119" s="18"/>
      <c r="OT119" s="18"/>
      <c r="OU119" s="18"/>
      <c r="OV119" s="18"/>
      <c r="OW119" s="18"/>
      <c r="OX119" s="18"/>
      <c r="OY119" s="18"/>
      <c r="OZ119" s="18"/>
      <c r="PA119" s="18"/>
      <c r="PB119" s="18"/>
      <c r="PC119" s="18"/>
      <c r="PD119" s="18"/>
      <c r="PE119" s="18"/>
      <c r="PF119" s="18"/>
      <c r="PG119" s="18"/>
      <c r="PH119" s="18"/>
      <c r="PI119" s="18"/>
      <c r="PJ119" s="18"/>
      <c r="PK119" s="18"/>
      <c r="PL119" s="18"/>
      <c r="PM119" s="18"/>
      <c r="PN119" s="18"/>
      <c r="PO119" s="18"/>
      <c r="PP119" s="18"/>
      <c r="PQ119" s="18"/>
      <c r="PR119" s="18"/>
      <c r="PS119" s="18"/>
      <c r="PT119" s="18"/>
      <c r="PU119" s="18"/>
      <c r="PV119" s="18"/>
      <c r="PW119" s="18"/>
      <c r="PX119" s="18"/>
      <c r="PY119" s="18"/>
      <c r="PZ119" s="18"/>
      <c r="QA119" s="18"/>
      <c r="QB119" s="18"/>
      <c r="QC119" s="18"/>
      <c r="QD119" s="18"/>
      <c r="QE119" s="18"/>
      <c r="QF119" s="18"/>
      <c r="QG119" s="18"/>
      <c r="QH119" s="18"/>
      <c r="QI119" s="18"/>
      <c r="QJ119" s="18"/>
      <c r="QK119" s="18"/>
      <c r="QL119" s="18"/>
      <c r="QM119" s="18"/>
      <c r="QN119" s="18"/>
      <c r="QO119" s="18"/>
      <c r="QP119" s="18"/>
      <c r="QQ119" s="18"/>
      <c r="QR119" s="18"/>
      <c r="QS119" s="18"/>
      <c r="QT119" s="18"/>
      <c r="QU119" s="18"/>
      <c r="QV119" s="18"/>
      <c r="QW119" s="18"/>
      <c r="QX119" s="18"/>
      <c r="QY119" s="18"/>
      <c r="QZ119" s="18"/>
      <c r="RA119" s="18"/>
      <c r="RB119" s="18"/>
      <c r="RC119" s="18"/>
      <c r="RD119" s="18"/>
      <c r="RE119" s="18"/>
      <c r="RF119" s="18"/>
      <c r="RG119" s="18"/>
      <c r="RH119" s="18"/>
      <c r="RI119" s="18"/>
      <c r="RJ119" s="18"/>
      <c r="RK119" s="18"/>
      <c r="RL119" s="18"/>
      <c r="RM119" s="18"/>
      <c r="RN119" s="18"/>
      <c r="RO119" s="18"/>
      <c r="RP119" s="18"/>
      <c r="RQ119" s="18"/>
      <c r="RR119" s="18"/>
      <c r="RS119" s="18"/>
      <c r="RT119" s="18"/>
      <c r="RU119" s="18"/>
      <c r="RV119" s="18"/>
      <c r="RW119" s="18"/>
      <c r="RX119" s="18"/>
      <c r="RY119" s="18"/>
      <c r="RZ119" s="18"/>
      <c r="SA119" s="18"/>
      <c r="SB119" s="18"/>
      <c r="SC119" s="18"/>
      <c r="SD119" s="18"/>
      <c r="SE119" s="18"/>
      <c r="SF119" s="18"/>
      <c r="SG119" s="18"/>
      <c r="SH119" s="18"/>
      <c r="SI119" s="18"/>
      <c r="SJ119" s="18"/>
      <c r="SK119" s="18"/>
      <c r="SL119" s="18"/>
      <c r="SM119" s="18"/>
      <c r="SN119" s="18"/>
      <c r="SO119" s="18"/>
      <c r="SP119" s="18"/>
      <c r="SQ119" s="18"/>
      <c r="SR119" s="18"/>
      <c r="SS119" s="18"/>
      <c r="ST119" s="18"/>
      <c r="SU119" s="18"/>
      <c r="SV119" s="18"/>
      <c r="SW119" s="18"/>
      <c r="SX119" s="18"/>
      <c r="SY119" s="18"/>
      <c r="SZ119" s="18"/>
      <c r="TA119" s="18"/>
      <c r="TB119" s="18"/>
      <c r="TC119" s="18"/>
      <c r="TD119" s="18"/>
      <c r="TE119" s="18"/>
      <c r="TF119" s="18"/>
      <c r="TG119" s="18"/>
      <c r="TH119" s="18"/>
      <c r="TI119" s="18"/>
      <c r="TJ119" s="18"/>
      <c r="TK119" s="18"/>
      <c r="TL119" s="18"/>
      <c r="TM119" s="18"/>
      <c r="TN119" s="18"/>
      <c r="TO119" s="18"/>
      <c r="TP119" s="18"/>
      <c r="TQ119" s="18"/>
      <c r="TR119" s="18"/>
      <c r="TS119" s="18"/>
      <c r="TT119" s="18"/>
      <c r="TU119" s="18"/>
      <c r="TV119" s="18"/>
      <c r="TW119" s="18"/>
      <c r="TX119" s="18"/>
      <c r="TY119" s="18"/>
      <c r="TZ119" s="18"/>
      <c r="UA119" s="18"/>
      <c r="UB119" s="18"/>
      <c r="UC119" s="18"/>
      <c r="UD119" s="18"/>
      <c r="UE119" s="18"/>
      <c r="UF119" s="18"/>
      <c r="UG119" s="18"/>
      <c r="UH119" s="18"/>
      <c r="UI119" s="18"/>
      <c r="UJ119" s="18"/>
      <c r="UK119" s="18"/>
      <c r="UL119" s="18"/>
      <c r="UM119" s="18"/>
      <c r="UN119" s="18"/>
      <c r="UO119" s="18"/>
      <c r="UP119" s="18"/>
      <c r="UQ119" s="18"/>
      <c r="UR119" s="18"/>
      <c r="US119" s="18"/>
      <c r="UT119" s="18"/>
      <c r="UU119" s="18"/>
      <c r="UV119" s="18"/>
      <c r="UW119" s="18"/>
      <c r="UX119" s="18"/>
      <c r="UY119" s="18"/>
      <c r="UZ119" s="18"/>
      <c r="VA119" s="18"/>
      <c r="VB119" s="18"/>
      <c r="VC119" s="18"/>
      <c r="VD119" s="18"/>
      <c r="VE119" s="18"/>
      <c r="VF119" s="18"/>
      <c r="VG119" s="18"/>
      <c r="VH119" s="18"/>
      <c r="VI119" s="18"/>
      <c r="VJ119" s="18"/>
      <c r="VK119" s="18"/>
      <c r="VL119" s="18"/>
      <c r="VM119" s="18"/>
      <c r="VN119" s="18"/>
      <c r="VO119" s="18"/>
      <c r="VP119" s="18"/>
      <c r="VQ119" s="18"/>
      <c r="VR119" s="18"/>
      <c r="VS119" s="18"/>
      <c r="VT119" s="18"/>
      <c r="VU119" s="18"/>
      <c r="VV119" s="18"/>
      <c r="VW119" s="18"/>
      <c r="VX119" s="18"/>
      <c r="VY119" s="18"/>
      <c r="VZ119" s="18"/>
      <c r="WA119" s="18"/>
      <c r="WB119" s="18"/>
      <c r="WC119" s="18"/>
      <c r="WD119" s="18"/>
      <c r="WE119" s="18"/>
      <c r="WF119" s="18"/>
      <c r="WG119" s="18"/>
      <c r="WH119" s="18"/>
      <c r="WI119" s="18"/>
      <c r="WJ119" s="18"/>
      <c r="WK119" s="18"/>
      <c r="WL119" s="18"/>
      <c r="WM119" s="18"/>
      <c r="WN119" s="18"/>
      <c r="WO119" s="18"/>
      <c r="WP119" s="18"/>
      <c r="WQ119" s="18"/>
      <c r="WR119" s="18"/>
      <c r="WS119" s="18"/>
      <c r="WT119" s="18"/>
      <c r="WU119" s="18"/>
      <c r="WV119" s="18"/>
      <c r="WW119" s="18"/>
      <c r="WX119" s="18"/>
      <c r="WY119" s="18"/>
      <c r="WZ119" s="18"/>
      <c r="XA119" s="18"/>
      <c r="XB119" s="18"/>
      <c r="XC119" s="18"/>
      <c r="XD119" s="18"/>
      <c r="XE119" s="18"/>
      <c r="XF119" s="18"/>
      <c r="XG119" s="18"/>
      <c r="XH119" s="18"/>
      <c r="XI119" s="18"/>
      <c r="XJ119" s="18"/>
      <c r="XK119" s="18"/>
      <c r="XL119" s="18"/>
      <c r="XM119" s="18"/>
      <c r="XN119" s="18"/>
      <c r="XO119" s="18"/>
      <c r="XP119" s="18"/>
      <c r="XQ119" s="18"/>
      <c r="XR119" s="18"/>
      <c r="XS119" s="18"/>
      <c r="XT119" s="18"/>
      <c r="XU119" s="18"/>
      <c r="XV119" s="18"/>
      <c r="XW119" s="18"/>
      <c r="XX119" s="18"/>
      <c r="XY119" s="18"/>
      <c r="XZ119" s="18"/>
      <c r="YA119" s="18"/>
      <c r="YB119" s="18"/>
      <c r="YC119" s="18"/>
      <c r="YD119" s="18"/>
      <c r="YE119" s="18"/>
      <c r="YF119" s="18"/>
      <c r="YG119" s="18"/>
      <c r="YH119" s="18"/>
      <c r="YI119" s="18"/>
      <c r="YJ119" s="18"/>
      <c r="YK119" s="18"/>
      <c r="YL119" s="18"/>
      <c r="YM119" s="18"/>
      <c r="YN119" s="18"/>
      <c r="YO119" s="18"/>
      <c r="YP119" s="18"/>
      <c r="YQ119" s="18"/>
      <c r="YR119" s="18"/>
      <c r="YS119" s="18"/>
      <c r="YT119" s="18"/>
      <c r="YU119" s="18"/>
      <c r="YV119" s="18"/>
      <c r="YW119" s="18"/>
      <c r="YX119" s="18"/>
      <c r="YY119" s="18"/>
      <c r="YZ119" s="18"/>
      <c r="ZA119" s="18"/>
      <c r="ZB119" s="18"/>
      <c r="ZC119" s="18"/>
      <c r="ZD119" s="18"/>
      <c r="ZE119" s="18"/>
      <c r="ZF119" s="18"/>
      <c r="ZG119" s="18"/>
      <c r="ZH119" s="18"/>
      <c r="ZI119" s="18"/>
      <c r="ZJ119" s="18"/>
      <c r="ZK119" s="18"/>
      <c r="ZL119" s="18"/>
      <c r="ZM119" s="18"/>
      <c r="ZN119" s="18"/>
      <c r="ZO119" s="18"/>
      <c r="ZP119" s="18"/>
      <c r="ZQ119" s="18"/>
      <c r="ZR119" s="18"/>
      <c r="ZS119" s="18"/>
      <c r="ZT119" s="18"/>
      <c r="ZU119" s="18"/>
      <c r="ZV119" s="18"/>
      <c r="ZW119" s="18"/>
      <c r="ZX119" s="18"/>
      <c r="ZY119" s="18"/>
      <c r="ZZ119" s="18"/>
      <c r="AAA119" s="18"/>
      <c r="AAB119" s="18"/>
      <c r="AAC119" s="18"/>
      <c r="AAD119" s="18"/>
      <c r="AAE119" s="18"/>
      <c r="AAF119" s="18"/>
      <c r="AAG119" s="18"/>
      <c r="AAH119" s="18"/>
      <c r="AAI119" s="18"/>
      <c r="AAJ119" s="18"/>
      <c r="AAK119" s="18"/>
      <c r="AAL119" s="18"/>
      <c r="AAM119" s="18"/>
      <c r="AAN119" s="18"/>
      <c r="AAO119" s="18"/>
      <c r="AAP119" s="18"/>
      <c r="AAQ119" s="18"/>
      <c r="AAR119" s="18"/>
      <c r="AAS119" s="18"/>
      <c r="AAT119" s="18"/>
      <c r="AAU119" s="18"/>
      <c r="AAV119" s="18"/>
      <c r="AAW119" s="18"/>
      <c r="AAX119" s="18"/>
      <c r="AAY119" s="18"/>
      <c r="AAZ119" s="18"/>
      <c r="ABA119" s="18"/>
      <c r="ABB119" s="18"/>
      <c r="ABC119" s="18"/>
      <c r="ABD119" s="18"/>
      <c r="ABE119" s="18"/>
      <c r="ABF119" s="18"/>
      <c r="ABG119" s="18"/>
      <c r="ABH119" s="18"/>
      <c r="ABI119" s="18"/>
      <c r="ABJ119" s="18"/>
      <c r="ABK119" s="18"/>
      <c r="ABL119" s="18"/>
      <c r="ABM119" s="18"/>
      <c r="ABN119" s="18"/>
      <c r="ABO119" s="18"/>
      <c r="ABP119" s="18"/>
      <c r="ABQ119" s="18"/>
      <c r="ABR119" s="18"/>
      <c r="ABS119" s="18"/>
      <c r="ABT119" s="18"/>
      <c r="ABU119" s="18"/>
      <c r="ABV119" s="18"/>
      <c r="ABW119" s="18"/>
      <c r="ABX119" s="18"/>
      <c r="ABY119" s="18"/>
      <c r="ABZ119" s="18"/>
      <c r="ACA119" s="18"/>
      <c r="ACB119" s="18"/>
      <c r="ACC119" s="18"/>
      <c r="ACD119" s="18"/>
      <c r="ACE119" s="18"/>
      <c r="ACF119" s="18"/>
      <c r="ACG119" s="18"/>
      <c r="ACH119" s="18"/>
      <c r="ACI119" s="18"/>
      <c r="ACJ119" s="18"/>
      <c r="ACK119" s="18"/>
      <c r="ACL119" s="18"/>
      <c r="ACM119" s="18"/>
      <c r="ACN119" s="18"/>
      <c r="ACO119" s="18"/>
      <c r="ACP119" s="18"/>
      <c r="ACQ119" s="18"/>
      <c r="ACR119" s="18"/>
      <c r="ACS119" s="18"/>
      <c r="ACT119" s="18"/>
      <c r="ACU119" s="18"/>
      <c r="ACV119" s="18"/>
      <c r="ACW119" s="18"/>
      <c r="ACX119" s="18"/>
      <c r="ACY119" s="18"/>
      <c r="ACZ119" s="18"/>
      <c r="ADA119" s="18"/>
      <c r="ADB119" s="18"/>
      <c r="ADC119" s="18"/>
      <c r="ADD119" s="18"/>
      <c r="ADE119" s="18"/>
      <c r="ADF119" s="18"/>
      <c r="ADG119" s="18"/>
      <c r="ADH119" s="18"/>
      <c r="ADI119" s="18"/>
      <c r="ADJ119" s="18"/>
      <c r="ADK119" s="18"/>
      <c r="ADL119" s="18"/>
      <c r="ADM119" s="18"/>
      <c r="ADN119" s="18"/>
      <c r="ADO119" s="18"/>
      <c r="ADP119" s="18"/>
      <c r="ADQ119" s="18"/>
      <c r="ADR119" s="18"/>
      <c r="ADS119" s="18"/>
      <c r="ADT119" s="18"/>
      <c r="ADU119" s="18"/>
      <c r="ADV119" s="18"/>
      <c r="ADW119" s="18"/>
      <c r="ADX119" s="18"/>
      <c r="ADY119" s="18"/>
      <c r="ADZ119" s="18"/>
      <c r="AEA119" s="18"/>
      <c r="AEB119" s="18"/>
      <c r="AEC119" s="18"/>
      <c r="AED119" s="18"/>
      <c r="AEE119" s="18"/>
      <c r="AEF119" s="18"/>
      <c r="AEG119" s="18"/>
      <c r="AEH119" s="18"/>
      <c r="AEI119" s="18"/>
      <c r="AEJ119" s="18"/>
      <c r="AEK119" s="18"/>
      <c r="AEL119" s="18"/>
      <c r="AEM119" s="18"/>
      <c r="AEN119" s="18"/>
      <c r="AEO119" s="18"/>
      <c r="AEP119" s="18"/>
      <c r="AEQ119" s="18"/>
      <c r="AER119" s="18"/>
      <c r="AES119" s="18"/>
      <c r="AET119" s="18"/>
      <c r="AEU119" s="18"/>
      <c r="AEV119" s="18"/>
      <c r="AEW119" s="18"/>
      <c r="AEX119" s="18"/>
      <c r="AEY119" s="18"/>
      <c r="AEZ119" s="18"/>
      <c r="AFA119" s="18"/>
      <c r="AFB119" s="18"/>
      <c r="AFC119" s="18"/>
      <c r="AFD119" s="18"/>
      <c r="AFE119" s="18"/>
      <c r="AFF119" s="18"/>
      <c r="AFG119" s="18"/>
      <c r="AFH119" s="18"/>
      <c r="AFI119" s="18"/>
      <c r="AFJ119" s="18"/>
      <c r="AFK119" s="18"/>
      <c r="AFL119" s="18"/>
      <c r="AFM119" s="18"/>
      <c r="AFN119" s="18"/>
      <c r="AFO119" s="18"/>
      <c r="AFP119" s="18"/>
      <c r="AFQ119" s="18"/>
      <c r="AFR119" s="18"/>
      <c r="AFS119" s="18"/>
      <c r="AFT119" s="18"/>
      <c r="AFU119" s="18"/>
      <c r="AFV119" s="18"/>
      <c r="AFW119" s="18"/>
      <c r="AFX119" s="18"/>
      <c r="AFY119" s="18"/>
      <c r="AFZ119" s="18"/>
      <c r="AGA119" s="18"/>
      <c r="AGB119" s="18"/>
      <c r="AGC119" s="18"/>
      <c r="AGD119" s="18"/>
      <c r="AGE119" s="18"/>
      <c r="AGF119" s="18"/>
      <c r="AGG119" s="18"/>
      <c r="AGH119" s="18"/>
      <c r="AGI119" s="18"/>
      <c r="AGJ119" s="18"/>
      <c r="AGK119" s="18"/>
      <c r="AGL119" s="18"/>
      <c r="AGM119" s="18"/>
      <c r="AGN119" s="18"/>
      <c r="AGO119" s="18"/>
      <c r="AGP119" s="18"/>
      <c r="AGQ119" s="18"/>
      <c r="AGR119" s="18"/>
      <c r="AGS119" s="18"/>
      <c r="AGT119" s="18"/>
      <c r="AGU119" s="18"/>
      <c r="AGV119" s="18"/>
      <c r="AGW119" s="18"/>
      <c r="AGX119" s="18"/>
      <c r="AGY119" s="18"/>
      <c r="AGZ119" s="18"/>
      <c r="AHA119" s="18"/>
      <c r="AHB119" s="18"/>
      <c r="AHC119" s="18"/>
      <c r="AHD119" s="18"/>
      <c r="AHE119" s="18"/>
      <c r="AHF119" s="18"/>
      <c r="AHG119" s="18"/>
      <c r="AHH119" s="18"/>
      <c r="AHI119" s="18"/>
      <c r="AHJ119" s="18"/>
      <c r="AHK119" s="18"/>
      <c r="AHL119" s="18"/>
      <c r="AHM119" s="18"/>
      <c r="AHN119" s="18"/>
      <c r="AHO119" s="18"/>
      <c r="AHP119" s="18"/>
      <c r="AHQ119" s="18"/>
      <c r="AHR119" s="18"/>
      <c r="AHS119" s="18"/>
      <c r="AHT119" s="18"/>
      <c r="AHU119" s="18"/>
      <c r="AHV119" s="18"/>
      <c r="AHW119" s="18"/>
      <c r="AHX119" s="18"/>
      <c r="AHY119" s="18"/>
      <c r="AHZ119" s="18"/>
      <c r="AIA119" s="18"/>
      <c r="AIB119" s="18"/>
      <c r="AIC119" s="18"/>
      <c r="AID119" s="18"/>
      <c r="AIE119" s="18"/>
      <c r="AIF119" s="18"/>
      <c r="AIG119" s="18"/>
      <c r="AIH119" s="18"/>
      <c r="AII119" s="18"/>
      <c r="AIJ119" s="18"/>
      <c r="AIK119" s="18"/>
      <c r="AIL119" s="18"/>
      <c r="AIM119" s="18"/>
      <c r="AIN119" s="18"/>
      <c r="AIO119" s="18"/>
      <c r="AIP119" s="18"/>
      <c r="AIQ119" s="18"/>
      <c r="AIR119" s="18"/>
      <c r="AIS119" s="18"/>
      <c r="AIT119" s="18"/>
      <c r="AIU119" s="18"/>
      <c r="AIV119" s="18"/>
      <c r="AIW119" s="18"/>
      <c r="AIX119" s="18"/>
      <c r="AIY119" s="18"/>
      <c r="AIZ119" s="18"/>
      <c r="AJA119" s="18"/>
      <c r="AJB119" s="18"/>
      <c r="AJC119" s="18"/>
      <c r="AJD119" s="18"/>
      <c r="AJE119" s="18"/>
      <c r="AJF119" s="18"/>
      <c r="AJG119" s="18"/>
      <c r="AJH119" s="18"/>
      <c r="AJI119" s="18"/>
      <c r="AJJ119" s="18"/>
      <c r="AJK119" s="18"/>
      <c r="AJL119" s="18"/>
      <c r="AJM119" s="18"/>
      <c r="AJN119" s="18"/>
      <c r="AJO119" s="18"/>
      <c r="AJP119" s="18"/>
      <c r="AJQ119" s="18"/>
      <c r="AJR119" s="18"/>
      <c r="AJS119" s="18"/>
      <c r="AJT119" s="18"/>
      <c r="AJU119" s="18"/>
      <c r="AJV119" s="18"/>
      <c r="AJW119" s="18"/>
      <c r="AJX119" s="18"/>
      <c r="AJY119" s="18"/>
      <c r="AJZ119" s="18"/>
      <c r="AKA119" s="18"/>
      <c r="AKB119" s="18"/>
      <c r="AKC119" s="18"/>
      <c r="AKD119" s="18"/>
      <c r="AKE119" s="18"/>
      <c r="AKF119" s="18"/>
      <c r="AKG119" s="18"/>
      <c r="AKH119" s="18"/>
      <c r="AKI119" s="18"/>
      <c r="AKJ119" s="18"/>
      <c r="AKK119" s="18"/>
      <c r="AKL119" s="18"/>
      <c r="AKM119" s="18"/>
      <c r="AKN119" s="18"/>
      <c r="AKO119" s="18"/>
      <c r="AKP119" s="18"/>
      <c r="AKQ119" s="18"/>
      <c r="AKR119" s="18"/>
      <c r="AKS119" s="18"/>
      <c r="AKT119" s="18"/>
      <c r="AKU119" s="18"/>
      <c r="AKV119" s="18"/>
      <c r="AKW119" s="18"/>
      <c r="AKX119" s="18"/>
      <c r="AKY119" s="18"/>
      <c r="AKZ119" s="18"/>
      <c r="ALA119" s="18"/>
      <c r="ALB119" s="18"/>
      <c r="ALC119" s="18"/>
      <c r="ALD119" s="18"/>
      <c r="ALE119" s="18"/>
      <c r="ALF119" s="18"/>
      <c r="ALG119" s="18"/>
      <c r="ALH119" s="18"/>
      <c r="ALI119" s="18"/>
      <c r="ALJ119" s="18"/>
      <c r="ALK119" s="18"/>
      <c r="ALL119" s="18"/>
      <c r="ALM119" s="18"/>
      <c r="ALN119" s="18"/>
      <c r="ALO119" s="18"/>
      <c r="ALP119" s="18"/>
      <c r="ALQ119" s="18"/>
      <c r="ALR119" s="18"/>
      <c r="ALS119" s="18"/>
      <c r="ALT119" s="18"/>
      <c r="ALU119" s="18"/>
      <c r="ALV119" s="18"/>
      <c r="ALW119" s="18"/>
      <c r="ALX119" s="18"/>
      <c r="ALY119" s="18"/>
      <c r="ALZ119" s="18"/>
      <c r="AMA119" s="18"/>
      <c r="AMB119" s="18"/>
      <c r="AMC119" s="18"/>
      <c r="AMD119" s="18"/>
      <c r="AME119" s="18"/>
      <c r="AMF119" s="18"/>
      <c r="AMG119" s="18"/>
      <c r="AMH119" s="18"/>
    </row>
    <row r="120" spans="1:1022" s="23" customFormat="1" x14ac:dyDescent="0.3">
      <c r="A120" s="33">
        <v>216</v>
      </c>
      <c r="B120" s="19"/>
      <c r="C120" s="19"/>
      <c r="D120" s="34"/>
      <c r="E120" s="34"/>
      <c r="F120" s="19"/>
      <c r="G120" s="19"/>
      <c r="H120" s="18"/>
      <c r="I120" s="31"/>
      <c r="J120" s="31"/>
      <c r="K120" s="31"/>
      <c r="L120" s="31"/>
      <c r="M120" s="32"/>
      <c r="N120" s="32"/>
      <c r="O120" s="18"/>
      <c r="P120" s="36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18"/>
      <c r="BK120" s="18"/>
      <c r="BL120" s="18"/>
      <c r="BM120" s="18"/>
      <c r="BN120" s="18"/>
      <c r="BO120" s="18"/>
      <c r="BP120" s="18"/>
      <c r="BQ120" s="18"/>
      <c r="BR120" s="18"/>
      <c r="BS120" s="18"/>
      <c r="BT120" s="18"/>
      <c r="BU120" s="18"/>
      <c r="BV120" s="18"/>
      <c r="BW120" s="18"/>
      <c r="BX120" s="18"/>
      <c r="BY120" s="18"/>
      <c r="BZ120" s="18"/>
      <c r="CA120" s="18"/>
      <c r="CB120" s="18"/>
      <c r="CC120" s="18"/>
      <c r="CD120" s="18"/>
      <c r="CE120" s="18"/>
      <c r="CF120" s="18"/>
      <c r="CG120" s="18"/>
      <c r="CH120" s="18"/>
      <c r="CI120" s="18"/>
      <c r="CJ120" s="18"/>
      <c r="CK120" s="18"/>
      <c r="CL120" s="18"/>
      <c r="CM120" s="18"/>
      <c r="CN120" s="18"/>
      <c r="CO120" s="18"/>
      <c r="CP120" s="18"/>
      <c r="CQ120" s="18"/>
      <c r="CR120" s="18"/>
      <c r="CS120" s="18"/>
      <c r="CT120" s="18"/>
      <c r="CU120" s="18"/>
      <c r="CV120" s="18"/>
      <c r="CW120" s="18"/>
      <c r="CX120" s="18"/>
      <c r="CY120" s="18"/>
      <c r="CZ120" s="18"/>
      <c r="DA120" s="18"/>
      <c r="DB120" s="18"/>
      <c r="DC120" s="18"/>
      <c r="DD120" s="18"/>
      <c r="DE120" s="18"/>
      <c r="DF120" s="18"/>
      <c r="DG120" s="18"/>
      <c r="DH120" s="18"/>
      <c r="DI120" s="18"/>
      <c r="DJ120" s="18"/>
      <c r="DK120" s="18"/>
      <c r="DL120" s="18"/>
      <c r="DM120" s="18"/>
      <c r="DN120" s="18"/>
      <c r="DO120" s="18"/>
      <c r="DP120" s="18"/>
      <c r="DQ120" s="18"/>
      <c r="DR120" s="18"/>
      <c r="DS120" s="18"/>
      <c r="DT120" s="18"/>
      <c r="DU120" s="18"/>
      <c r="DV120" s="18"/>
      <c r="DW120" s="18"/>
      <c r="DX120" s="18"/>
      <c r="DY120" s="18"/>
      <c r="DZ120" s="18"/>
      <c r="EA120" s="18"/>
      <c r="EB120" s="18"/>
      <c r="EC120" s="18"/>
      <c r="ED120" s="18"/>
      <c r="EE120" s="18"/>
      <c r="EF120" s="18"/>
      <c r="EG120" s="18"/>
      <c r="EH120" s="18"/>
      <c r="EI120" s="18"/>
      <c r="EJ120" s="18"/>
      <c r="EK120" s="18"/>
      <c r="EL120" s="18"/>
      <c r="EM120" s="18"/>
      <c r="EN120" s="18"/>
      <c r="EO120" s="18"/>
      <c r="EP120" s="18"/>
      <c r="EQ120" s="18"/>
      <c r="ER120" s="18"/>
      <c r="ES120" s="18"/>
      <c r="ET120" s="18"/>
      <c r="EU120" s="18"/>
      <c r="EV120" s="18"/>
      <c r="EW120" s="18"/>
      <c r="EX120" s="18"/>
      <c r="EY120" s="18"/>
      <c r="EZ120" s="18"/>
      <c r="FA120" s="18"/>
      <c r="FB120" s="18"/>
      <c r="FC120" s="18"/>
      <c r="FD120" s="18"/>
      <c r="FE120" s="18"/>
      <c r="FF120" s="18"/>
      <c r="FG120" s="18"/>
      <c r="FH120" s="18"/>
      <c r="FI120" s="18"/>
      <c r="FJ120" s="18"/>
      <c r="FK120" s="18"/>
      <c r="FL120" s="18"/>
      <c r="FM120" s="18"/>
      <c r="FN120" s="18"/>
      <c r="FO120" s="18"/>
      <c r="FP120" s="18"/>
      <c r="FQ120" s="18"/>
      <c r="FR120" s="18"/>
      <c r="FS120" s="18"/>
      <c r="FT120" s="18"/>
      <c r="FU120" s="18"/>
      <c r="FV120" s="18"/>
      <c r="FW120" s="18"/>
      <c r="FX120" s="18"/>
      <c r="FY120" s="18"/>
      <c r="FZ120" s="18"/>
      <c r="GA120" s="18"/>
      <c r="GB120" s="18"/>
      <c r="GC120" s="18"/>
      <c r="GD120" s="18"/>
      <c r="GE120" s="18"/>
      <c r="GF120" s="18"/>
      <c r="GG120" s="18"/>
      <c r="GH120" s="18"/>
      <c r="GI120" s="18"/>
      <c r="GJ120" s="18"/>
      <c r="GK120" s="18"/>
      <c r="GL120" s="18"/>
      <c r="GM120" s="18"/>
      <c r="GN120" s="18"/>
      <c r="GO120" s="18"/>
      <c r="GP120" s="18"/>
      <c r="GQ120" s="18"/>
      <c r="GR120" s="18"/>
      <c r="GS120" s="18"/>
      <c r="GT120" s="18"/>
      <c r="GU120" s="18"/>
      <c r="GV120" s="18"/>
      <c r="GW120" s="18"/>
      <c r="GX120" s="18"/>
      <c r="GY120" s="18"/>
      <c r="GZ120" s="18"/>
      <c r="HA120" s="18"/>
      <c r="HB120" s="18"/>
      <c r="HC120" s="18"/>
      <c r="HD120" s="18"/>
      <c r="HE120" s="18"/>
      <c r="HF120" s="18"/>
      <c r="HG120" s="18"/>
      <c r="HH120" s="18"/>
      <c r="HI120" s="18"/>
      <c r="HJ120" s="18"/>
      <c r="HK120" s="18"/>
      <c r="HL120" s="18"/>
      <c r="HM120" s="18"/>
      <c r="HN120" s="18"/>
      <c r="HO120" s="18"/>
      <c r="HP120" s="18"/>
      <c r="HQ120" s="18"/>
      <c r="HR120" s="18"/>
      <c r="HS120" s="18"/>
      <c r="HT120" s="18"/>
      <c r="HU120" s="18"/>
      <c r="HV120" s="18"/>
      <c r="HW120" s="18"/>
      <c r="HX120" s="18"/>
      <c r="HY120" s="18"/>
      <c r="HZ120" s="18"/>
      <c r="IA120" s="18"/>
      <c r="IB120" s="18"/>
      <c r="IC120" s="18"/>
      <c r="ID120" s="18"/>
      <c r="IE120" s="18"/>
      <c r="IF120" s="18"/>
      <c r="IG120" s="18"/>
      <c r="IH120" s="18"/>
      <c r="II120" s="18"/>
      <c r="IJ120" s="18"/>
      <c r="IK120" s="18"/>
      <c r="IL120" s="18"/>
      <c r="IM120" s="18"/>
      <c r="IN120" s="18"/>
      <c r="IO120" s="18"/>
      <c r="IP120" s="18"/>
      <c r="IQ120" s="18"/>
      <c r="IR120" s="18"/>
      <c r="IS120" s="18"/>
      <c r="IT120" s="18"/>
      <c r="IU120" s="18"/>
      <c r="IV120" s="18"/>
      <c r="IW120" s="18"/>
      <c r="IX120" s="18"/>
      <c r="IY120" s="18"/>
      <c r="IZ120" s="18"/>
      <c r="JA120" s="18"/>
      <c r="JB120" s="18"/>
      <c r="JC120" s="18"/>
      <c r="JD120" s="18"/>
      <c r="JE120" s="18"/>
      <c r="JF120" s="18"/>
      <c r="JG120" s="18"/>
      <c r="JH120" s="18"/>
      <c r="JI120" s="18"/>
      <c r="JJ120" s="18"/>
      <c r="JK120" s="18"/>
      <c r="JL120" s="18"/>
      <c r="JM120" s="18"/>
      <c r="JN120" s="18"/>
      <c r="JO120" s="18"/>
      <c r="JP120" s="18"/>
      <c r="JQ120" s="18"/>
      <c r="JR120" s="18"/>
      <c r="JS120" s="18"/>
      <c r="JT120" s="18"/>
      <c r="JU120" s="18"/>
      <c r="JV120" s="18"/>
      <c r="JW120" s="18"/>
      <c r="JX120" s="18"/>
      <c r="JY120" s="18"/>
      <c r="JZ120" s="18"/>
      <c r="KA120" s="18"/>
      <c r="KB120" s="18"/>
      <c r="KC120" s="18"/>
      <c r="KD120" s="18"/>
      <c r="KE120" s="18"/>
      <c r="KF120" s="18"/>
      <c r="KG120" s="18"/>
      <c r="KH120" s="18"/>
      <c r="KI120" s="18"/>
      <c r="KJ120" s="18"/>
      <c r="KK120" s="18"/>
      <c r="KL120" s="18"/>
      <c r="KM120" s="18"/>
      <c r="KN120" s="18"/>
      <c r="KO120" s="18"/>
      <c r="KP120" s="18"/>
      <c r="KQ120" s="18"/>
      <c r="KR120" s="18"/>
      <c r="KS120" s="18"/>
      <c r="KT120" s="18"/>
      <c r="KU120" s="18"/>
      <c r="KV120" s="18"/>
      <c r="KW120" s="18"/>
      <c r="KX120" s="18"/>
      <c r="KY120" s="18"/>
      <c r="KZ120" s="18"/>
      <c r="LA120" s="18"/>
      <c r="LB120" s="18"/>
      <c r="LC120" s="18"/>
      <c r="LD120" s="18"/>
      <c r="LE120" s="18"/>
      <c r="LF120" s="18"/>
      <c r="LG120" s="18"/>
      <c r="LH120" s="18"/>
      <c r="LI120" s="18"/>
      <c r="LJ120" s="18"/>
      <c r="LK120" s="18"/>
      <c r="LL120" s="18"/>
      <c r="LM120" s="18"/>
      <c r="LN120" s="18"/>
      <c r="LO120" s="18"/>
      <c r="LP120" s="18"/>
      <c r="LQ120" s="18"/>
      <c r="LR120" s="18"/>
      <c r="LS120" s="18"/>
      <c r="LT120" s="18"/>
      <c r="LU120" s="18"/>
      <c r="LV120" s="18"/>
      <c r="LW120" s="18"/>
      <c r="LX120" s="18"/>
      <c r="LY120" s="18"/>
      <c r="LZ120" s="18"/>
      <c r="MA120" s="18"/>
      <c r="MB120" s="18"/>
      <c r="MC120" s="18"/>
      <c r="MD120" s="18"/>
      <c r="ME120" s="18"/>
      <c r="MF120" s="18"/>
      <c r="MG120" s="18"/>
      <c r="MH120" s="18"/>
      <c r="MI120" s="18"/>
      <c r="MJ120" s="18"/>
      <c r="MK120" s="18"/>
      <c r="ML120" s="18"/>
      <c r="MM120" s="18"/>
      <c r="MN120" s="18"/>
      <c r="MO120" s="18"/>
      <c r="MP120" s="18"/>
      <c r="MQ120" s="18"/>
      <c r="MR120" s="18"/>
      <c r="MS120" s="18"/>
      <c r="MT120" s="18"/>
      <c r="MU120" s="18"/>
      <c r="MV120" s="18"/>
      <c r="MW120" s="18"/>
      <c r="MX120" s="18"/>
      <c r="MY120" s="18"/>
      <c r="MZ120" s="18"/>
      <c r="NA120" s="18"/>
      <c r="NB120" s="18"/>
      <c r="NC120" s="18"/>
      <c r="ND120" s="18"/>
      <c r="NE120" s="18"/>
      <c r="NF120" s="18"/>
      <c r="NG120" s="18"/>
      <c r="NH120" s="18"/>
      <c r="NI120" s="18"/>
      <c r="NJ120" s="18"/>
      <c r="NK120" s="18"/>
      <c r="NL120" s="18"/>
      <c r="NM120" s="18"/>
      <c r="NN120" s="18"/>
      <c r="NO120" s="18"/>
      <c r="NP120" s="18"/>
      <c r="NQ120" s="18"/>
      <c r="NR120" s="18"/>
      <c r="NS120" s="18"/>
      <c r="NT120" s="18"/>
      <c r="NU120" s="18"/>
      <c r="NV120" s="18"/>
      <c r="NW120" s="18"/>
      <c r="NX120" s="18"/>
      <c r="NY120" s="18"/>
      <c r="NZ120" s="18"/>
      <c r="OA120" s="18"/>
      <c r="OB120" s="18"/>
      <c r="OC120" s="18"/>
      <c r="OD120" s="18"/>
      <c r="OE120" s="18"/>
      <c r="OF120" s="18"/>
      <c r="OG120" s="18"/>
      <c r="OH120" s="18"/>
      <c r="OI120" s="18"/>
      <c r="OJ120" s="18"/>
      <c r="OK120" s="18"/>
      <c r="OL120" s="18"/>
      <c r="OM120" s="18"/>
      <c r="ON120" s="18"/>
      <c r="OO120" s="18"/>
      <c r="OP120" s="18"/>
      <c r="OQ120" s="18"/>
      <c r="OR120" s="18"/>
      <c r="OS120" s="18"/>
      <c r="OT120" s="18"/>
      <c r="OU120" s="18"/>
      <c r="OV120" s="18"/>
      <c r="OW120" s="18"/>
      <c r="OX120" s="18"/>
      <c r="OY120" s="18"/>
      <c r="OZ120" s="18"/>
      <c r="PA120" s="18"/>
      <c r="PB120" s="18"/>
      <c r="PC120" s="18"/>
      <c r="PD120" s="18"/>
      <c r="PE120" s="18"/>
      <c r="PF120" s="18"/>
      <c r="PG120" s="18"/>
      <c r="PH120" s="18"/>
      <c r="PI120" s="18"/>
      <c r="PJ120" s="18"/>
      <c r="PK120" s="18"/>
      <c r="PL120" s="18"/>
      <c r="PM120" s="18"/>
      <c r="PN120" s="18"/>
      <c r="PO120" s="18"/>
      <c r="PP120" s="18"/>
      <c r="PQ120" s="18"/>
      <c r="PR120" s="18"/>
      <c r="PS120" s="18"/>
      <c r="PT120" s="18"/>
      <c r="PU120" s="18"/>
      <c r="PV120" s="18"/>
      <c r="PW120" s="18"/>
      <c r="PX120" s="18"/>
      <c r="PY120" s="18"/>
      <c r="PZ120" s="18"/>
      <c r="QA120" s="18"/>
      <c r="QB120" s="18"/>
      <c r="QC120" s="18"/>
      <c r="QD120" s="18"/>
      <c r="QE120" s="18"/>
      <c r="QF120" s="18"/>
      <c r="QG120" s="18"/>
      <c r="QH120" s="18"/>
      <c r="QI120" s="18"/>
      <c r="QJ120" s="18"/>
      <c r="QK120" s="18"/>
      <c r="QL120" s="18"/>
      <c r="QM120" s="18"/>
      <c r="QN120" s="18"/>
      <c r="QO120" s="18"/>
      <c r="QP120" s="18"/>
      <c r="QQ120" s="18"/>
      <c r="QR120" s="18"/>
      <c r="QS120" s="18"/>
      <c r="QT120" s="18"/>
      <c r="QU120" s="18"/>
      <c r="QV120" s="18"/>
      <c r="QW120" s="18"/>
      <c r="QX120" s="18"/>
      <c r="QY120" s="18"/>
      <c r="QZ120" s="18"/>
      <c r="RA120" s="18"/>
      <c r="RB120" s="18"/>
      <c r="RC120" s="18"/>
      <c r="RD120" s="18"/>
      <c r="RE120" s="18"/>
      <c r="RF120" s="18"/>
      <c r="RG120" s="18"/>
      <c r="RH120" s="18"/>
      <c r="RI120" s="18"/>
      <c r="RJ120" s="18"/>
      <c r="RK120" s="18"/>
      <c r="RL120" s="18"/>
      <c r="RM120" s="18"/>
      <c r="RN120" s="18"/>
      <c r="RO120" s="18"/>
      <c r="RP120" s="18"/>
      <c r="RQ120" s="18"/>
      <c r="RR120" s="18"/>
      <c r="RS120" s="18"/>
      <c r="RT120" s="18"/>
      <c r="RU120" s="18"/>
      <c r="RV120" s="18"/>
      <c r="RW120" s="18"/>
      <c r="RX120" s="18"/>
      <c r="RY120" s="18"/>
      <c r="RZ120" s="18"/>
      <c r="SA120" s="18"/>
      <c r="SB120" s="18"/>
      <c r="SC120" s="18"/>
      <c r="SD120" s="18"/>
      <c r="SE120" s="18"/>
      <c r="SF120" s="18"/>
      <c r="SG120" s="18"/>
      <c r="SH120" s="18"/>
      <c r="SI120" s="18"/>
      <c r="SJ120" s="18"/>
      <c r="SK120" s="18"/>
      <c r="SL120" s="18"/>
      <c r="SM120" s="18"/>
      <c r="SN120" s="18"/>
      <c r="SO120" s="18"/>
      <c r="SP120" s="18"/>
      <c r="SQ120" s="18"/>
      <c r="SR120" s="18"/>
      <c r="SS120" s="18"/>
      <c r="ST120" s="18"/>
      <c r="SU120" s="18"/>
      <c r="SV120" s="18"/>
      <c r="SW120" s="18"/>
      <c r="SX120" s="18"/>
      <c r="SY120" s="18"/>
      <c r="SZ120" s="18"/>
      <c r="TA120" s="18"/>
      <c r="TB120" s="18"/>
      <c r="TC120" s="18"/>
      <c r="TD120" s="18"/>
      <c r="TE120" s="18"/>
      <c r="TF120" s="18"/>
      <c r="TG120" s="18"/>
      <c r="TH120" s="18"/>
      <c r="TI120" s="18"/>
      <c r="TJ120" s="18"/>
      <c r="TK120" s="18"/>
      <c r="TL120" s="18"/>
      <c r="TM120" s="18"/>
      <c r="TN120" s="18"/>
      <c r="TO120" s="18"/>
      <c r="TP120" s="18"/>
      <c r="TQ120" s="18"/>
      <c r="TR120" s="18"/>
      <c r="TS120" s="18"/>
      <c r="TT120" s="18"/>
      <c r="TU120" s="18"/>
      <c r="TV120" s="18"/>
      <c r="TW120" s="18"/>
      <c r="TX120" s="18"/>
      <c r="TY120" s="18"/>
      <c r="TZ120" s="18"/>
      <c r="UA120" s="18"/>
      <c r="UB120" s="18"/>
      <c r="UC120" s="18"/>
      <c r="UD120" s="18"/>
      <c r="UE120" s="18"/>
      <c r="UF120" s="18"/>
      <c r="UG120" s="18"/>
      <c r="UH120" s="18"/>
      <c r="UI120" s="18"/>
      <c r="UJ120" s="18"/>
      <c r="UK120" s="18"/>
      <c r="UL120" s="18"/>
      <c r="UM120" s="18"/>
      <c r="UN120" s="18"/>
      <c r="UO120" s="18"/>
      <c r="UP120" s="18"/>
      <c r="UQ120" s="18"/>
      <c r="UR120" s="18"/>
      <c r="US120" s="18"/>
      <c r="UT120" s="18"/>
      <c r="UU120" s="18"/>
      <c r="UV120" s="18"/>
      <c r="UW120" s="18"/>
      <c r="UX120" s="18"/>
      <c r="UY120" s="18"/>
      <c r="UZ120" s="18"/>
      <c r="VA120" s="18"/>
      <c r="VB120" s="18"/>
      <c r="VC120" s="18"/>
      <c r="VD120" s="18"/>
      <c r="VE120" s="18"/>
      <c r="VF120" s="18"/>
      <c r="VG120" s="18"/>
      <c r="VH120" s="18"/>
      <c r="VI120" s="18"/>
      <c r="VJ120" s="18"/>
      <c r="VK120" s="18"/>
      <c r="VL120" s="18"/>
      <c r="VM120" s="18"/>
      <c r="VN120" s="18"/>
      <c r="VO120" s="18"/>
      <c r="VP120" s="18"/>
      <c r="VQ120" s="18"/>
      <c r="VR120" s="18"/>
      <c r="VS120" s="18"/>
      <c r="VT120" s="18"/>
      <c r="VU120" s="18"/>
      <c r="VV120" s="18"/>
      <c r="VW120" s="18"/>
      <c r="VX120" s="18"/>
      <c r="VY120" s="18"/>
      <c r="VZ120" s="18"/>
      <c r="WA120" s="18"/>
      <c r="WB120" s="18"/>
      <c r="WC120" s="18"/>
      <c r="WD120" s="18"/>
      <c r="WE120" s="18"/>
      <c r="WF120" s="18"/>
      <c r="WG120" s="18"/>
      <c r="WH120" s="18"/>
      <c r="WI120" s="18"/>
      <c r="WJ120" s="18"/>
      <c r="WK120" s="18"/>
      <c r="WL120" s="18"/>
      <c r="WM120" s="18"/>
      <c r="WN120" s="18"/>
      <c r="WO120" s="18"/>
      <c r="WP120" s="18"/>
      <c r="WQ120" s="18"/>
      <c r="WR120" s="18"/>
      <c r="WS120" s="18"/>
      <c r="WT120" s="18"/>
      <c r="WU120" s="18"/>
      <c r="WV120" s="18"/>
      <c r="WW120" s="18"/>
      <c r="WX120" s="18"/>
      <c r="WY120" s="18"/>
      <c r="WZ120" s="18"/>
      <c r="XA120" s="18"/>
      <c r="XB120" s="18"/>
      <c r="XC120" s="18"/>
      <c r="XD120" s="18"/>
      <c r="XE120" s="18"/>
      <c r="XF120" s="18"/>
      <c r="XG120" s="18"/>
      <c r="XH120" s="18"/>
      <c r="XI120" s="18"/>
      <c r="XJ120" s="18"/>
      <c r="XK120" s="18"/>
      <c r="XL120" s="18"/>
      <c r="XM120" s="18"/>
      <c r="XN120" s="18"/>
      <c r="XO120" s="18"/>
      <c r="XP120" s="18"/>
      <c r="XQ120" s="18"/>
      <c r="XR120" s="18"/>
      <c r="XS120" s="18"/>
      <c r="XT120" s="18"/>
      <c r="XU120" s="18"/>
      <c r="XV120" s="18"/>
      <c r="XW120" s="18"/>
      <c r="XX120" s="18"/>
      <c r="XY120" s="18"/>
      <c r="XZ120" s="18"/>
      <c r="YA120" s="18"/>
      <c r="YB120" s="18"/>
      <c r="YC120" s="18"/>
      <c r="YD120" s="18"/>
      <c r="YE120" s="18"/>
      <c r="YF120" s="18"/>
      <c r="YG120" s="18"/>
      <c r="YH120" s="18"/>
      <c r="YI120" s="18"/>
      <c r="YJ120" s="18"/>
      <c r="YK120" s="18"/>
      <c r="YL120" s="18"/>
      <c r="YM120" s="18"/>
      <c r="YN120" s="18"/>
      <c r="YO120" s="18"/>
      <c r="YP120" s="18"/>
      <c r="YQ120" s="18"/>
      <c r="YR120" s="18"/>
      <c r="YS120" s="18"/>
      <c r="YT120" s="18"/>
      <c r="YU120" s="18"/>
      <c r="YV120" s="18"/>
      <c r="YW120" s="18"/>
      <c r="YX120" s="18"/>
      <c r="YY120" s="18"/>
      <c r="YZ120" s="18"/>
      <c r="ZA120" s="18"/>
      <c r="ZB120" s="18"/>
      <c r="ZC120" s="18"/>
      <c r="ZD120" s="18"/>
      <c r="ZE120" s="18"/>
      <c r="ZF120" s="18"/>
      <c r="ZG120" s="18"/>
      <c r="ZH120" s="18"/>
      <c r="ZI120" s="18"/>
      <c r="ZJ120" s="18"/>
      <c r="ZK120" s="18"/>
      <c r="ZL120" s="18"/>
      <c r="ZM120" s="18"/>
      <c r="ZN120" s="18"/>
      <c r="ZO120" s="18"/>
      <c r="ZP120" s="18"/>
      <c r="ZQ120" s="18"/>
      <c r="ZR120" s="18"/>
      <c r="ZS120" s="18"/>
      <c r="ZT120" s="18"/>
      <c r="ZU120" s="18"/>
      <c r="ZV120" s="18"/>
      <c r="ZW120" s="18"/>
      <c r="ZX120" s="18"/>
      <c r="ZY120" s="18"/>
      <c r="ZZ120" s="18"/>
      <c r="AAA120" s="18"/>
      <c r="AAB120" s="18"/>
      <c r="AAC120" s="18"/>
      <c r="AAD120" s="18"/>
      <c r="AAE120" s="18"/>
      <c r="AAF120" s="18"/>
      <c r="AAG120" s="18"/>
      <c r="AAH120" s="18"/>
      <c r="AAI120" s="18"/>
      <c r="AAJ120" s="18"/>
      <c r="AAK120" s="18"/>
      <c r="AAL120" s="18"/>
      <c r="AAM120" s="18"/>
      <c r="AAN120" s="18"/>
      <c r="AAO120" s="18"/>
      <c r="AAP120" s="18"/>
      <c r="AAQ120" s="18"/>
      <c r="AAR120" s="18"/>
      <c r="AAS120" s="18"/>
      <c r="AAT120" s="18"/>
      <c r="AAU120" s="18"/>
      <c r="AAV120" s="18"/>
      <c r="AAW120" s="18"/>
      <c r="AAX120" s="18"/>
      <c r="AAY120" s="18"/>
      <c r="AAZ120" s="18"/>
      <c r="ABA120" s="18"/>
      <c r="ABB120" s="18"/>
      <c r="ABC120" s="18"/>
      <c r="ABD120" s="18"/>
      <c r="ABE120" s="18"/>
      <c r="ABF120" s="18"/>
      <c r="ABG120" s="18"/>
      <c r="ABH120" s="18"/>
      <c r="ABI120" s="18"/>
      <c r="ABJ120" s="18"/>
      <c r="ABK120" s="18"/>
      <c r="ABL120" s="18"/>
      <c r="ABM120" s="18"/>
      <c r="ABN120" s="18"/>
      <c r="ABO120" s="18"/>
      <c r="ABP120" s="18"/>
      <c r="ABQ120" s="18"/>
      <c r="ABR120" s="18"/>
      <c r="ABS120" s="18"/>
      <c r="ABT120" s="18"/>
      <c r="ABU120" s="18"/>
      <c r="ABV120" s="18"/>
      <c r="ABW120" s="18"/>
      <c r="ABX120" s="18"/>
      <c r="ABY120" s="18"/>
      <c r="ABZ120" s="18"/>
      <c r="ACA120" s="18"/>
      <c r="ACB120" s="18"/>
      <c r="ACC120" s="18"/>
      <c r="ACD120" s="18"/>
      <c r="ACE120" s="18"/>
      <c r="ACF120" s="18"/>
      <c r="ACG120" s="18"/>
      <c r="ACH120" s="18"/>
      <c r="ACI120" s="18"/>
      <c r="ACJ120" s="18"/>
      <c r="ACK120" s="18"/>
      <c r="ACL120" s="18"/>
      <c r="ACM120" s="18"/>
      <c r="ACN120" s="18"/>
      <c r="ACO120" s="18"/>
      <c r="ACP120" s="18"/>
      <c r="ACQ120" s="18"/>
      <c r="ACR120" s="18"/>
      <c r="ACS120" s="18"/>
      <c r="ACT120" s="18"/>
      <c r="ACU120" s="18"/>
      <c r="ACV120" s="18"/>
      <c r="ACW120" s="18"/>
      <c r="ACX120" s="18"/>
      <c r="ACY120" s="18"/>
      <c r="ACZ120" s="18"/>
      <c r="ADA120" s="18"/>
      <c r="ADB120" s="18"/>
      <c r="ADC120" s="18"/>
      <c r="ADD120" s="18"/>
      <c r="ADE120" s="18"/>
      <c r="ADF120" s="18"/>
      <c r="ADG120" s="18"/>
      <c r="ADH120" s="18"/>
      <c r="ADI120" s="18"/>
      <c r="ADJ120" s="18"/>
      <c r="ADK120" s="18"/>
      <c r="ADL120" s="18"/>
      <c r="ADM120" s="18"/>
      <c r="ADN120" s="18"/>
      <c r="ADO120" s="18"/>
      <c r="ADP120" s="18"/>
      <c r="ADQ120" s="18"/>
      <c r="ADR120" s="18"/>
      <c r="ADS120" s="18"/>
      <c r="ADT120" s="18"/>
      <c r="ADU120" s="18"/>
      <c r="ADV120" s="18"/>
      <c r="ADW120" s="18"/>
      <c r="ADX120" s="18"/>
      <c r="ADY120" s="18"/>
      <c r="ADZ120" s="18"/>
      <c r="AEA120" s="18"/>
      <c r="AEB120" s="18"/>
      <c r="AEC120" s="18"/>
      <c r="AED120" s="18"/>
      <c r="AEE120" s="18"/>
      <c r="AEF120" s="18"/>
      <c r="AEG120" s="18"/>
      <c r="AEH120" s="18"/>
      <c r="AEI120" s="18"/>
      <c r="AEJ120" s="18"/>
      <c r="AEK120" s="18"/>
      <c r="AEL120" s="18"/>
      <c r="AEM120" s="18"/>
      <c r="AEN120" s="18"/>
      <c r="AEO120" s="18"/>
      <c r="AEP120" s="18"/>
      <c r="AEQ120" s="18"/>
      <c r="AER120" s="18"/>
      <c r="AES120" s="18"/>
      <c r="AET120" s="18"/>
      <c r="AEU120" s="18"/>
      <c r="AEV120" s="18"/>
      <c r="AEW120" s="18"/>
      <c r="AEX120" s="18"/>
      <c r="AEY120" s="18"/>
      <c r="AEZ120" s="18"/>
      <c r="AFA120" s="18"/>
      <c r="AFB120" s="18"/>
      <c r="AFC120" s="18"/>
      <c r="AFD120" s="18"/>
      <c r="AFE120" s="18"/>
      <c r="AFF120" s="18"/>
      <c r="AFG120" s="18"/>
      <c r="AFH120" s="18"/>
      <c r="AFI120" s="18"/>
      <c r="AFJ120" s="18"/>
      <c r="AFK120" s="18"/>
      <c r="AFL120" s="18"/>
      <c r="AFM120" s="18"/>
      <c r="AFN120" s="18"/>
      <c r="AFO120" s="18"/>
      <c r="AFP120" s="18"/>
      <c r="AFQ120" s="18"/>
      <c r="AFR120" s="18"/>
      <c r="AFS120" s="18"/>
      <c r="AFT120" s="18"/>
      <c r="AFU120" s="18"/>
      <c r="AFV120" s="18"/>
      <c r="AFW120" s="18"/>
      <c r="AFX120" s="18"/>
      <c r="AFY120" s="18"/>
      <c r="AFZ120" s="18"/>
      <c r="AGA120" s="18"/>
      <c r="AGB120" s="18"/>
      <c r="AGC120" s="18"/>
      <c r="AGD120" s="18"/>
      <c r="AGE120" s="18"/>
      <c r="AGF120" s="18"/>
      <c r="AGG120" s="18"/>
      <c r="AGH120" s="18"/>
      <c r="AGI120" s="18"/>
      <c r="AGJ120" s="18"/>
      <c r="AGK120" s="18"/>
      <c r="AGL120" s="18"/>
      <c r="AGM120" s="18"/>
      <c r="AGN120" s="18"/>
      <c r="AGO120" s="18"/>
      <c r="AGP120" s="18"/>
      <c r="AGQ120" s="18"/>
      <c r="AGR120" s="18"/>
      <c r="AGS120" s="18"/>
      <c r="AGT120" s="18"/>
      <c r="AGU120" s="18"/>
      <c r="AGV120" s="18"/>
      <c r="AGW120" s="18"/>
      <c r="AGX120" s="18"/>
      <c r="AGY120" s="18"/>
      <c r="AGZ120" s="18"/>
      <c r="AHA120" s="18"/>
      <c r="AHB120" s="18"/>
      <c r="AHC120" s="18"/>
      <c r="AHD120" s="18"/>
      <c r="AHE120" s="18"/>
      <c r="AHF120" s="18"/>
      <c r="AHG120" s="18"/>
      <c r="AHH120" s="18"/>
      <c r="AHI120" s="18"/>
      <c r="AHJ120" s="18"/>
      <c r="AHK120" s="18"/>
      <c r="AHL120" s="18"/>
      <c r="AHM120" s="18"/>
      <c r="AHN120" s="18"/>
      <c r="AHO120" s="18"/>
      <c r="AHP120" s="18"/>
      <c r="AHQ120" s="18"/>
      <c r="AHR120" s="18"/>
      <c r="AHS120" s="18"/>
      <c r="AHT120" s="18"/>
      <c r="AHU120" s="18"/>
      <c r="AHV120" s="18"/>
      <c r="AHW120" s="18"/>
      <c r="AHX120" s="18"/>
      <c r="AHY120" s="18"/>
      <c r="AHZ120" s="18"/>
      <c r="AIA120" s="18"/>
      <c r="AIB120" s="18"/>
      <c r="AIC120" s="18"/>
      <c r="AID120" s="18"/>
      <c r="AIE120" s="18"/>
      <c r="AIF120" s="18"/>
      <c r="AIG120" s="18"/>
      <c r="AIH120" s="18"/>
      <c r="AII120" s="18"/>
      <c r="AIJ120" s="18"/>
      <c r="AIK120" s="18"/>
      <c r="AIL120" s="18"/>
      <c r="AIM120" s="18"/>
      <c r="AIN120" s="18"/>
      <c r="AIO120" s="18"/>
      <c r="AIP120" s="18"/>
      <c r="AIQ120" s="18"/>
      <c r="AIR120" s="18"/>
      <c r="AIS120" s="18"/>
      <c r="AIT120" s="18"/>
      <c r="AIU120" s="18"/>
      <c r="AIV120" s="18"/>
      <c r="AIW120" s="18"/>
      <c r="AIX120" s="18"/>
      <c r="AIY120" s="18"/>
      <c r="AIZ120" s="18"/>
      <c r="AJA120" s="18"/>
      <c r="AJB120" s="18"/>
      <c r="AJC120" s="18"/>
      <c r="AJD120" s="18"/>
      <c r="AJE120" s="18"/>
      <c r="AJF120" s="18"/>
      <c r="AJG120" s="18"/>
      <c r="AJH120" s="18"/>
      <c r="AJI120" s="18"/>
      <c r="AJJ120" s="18"/>
      <c r="AJK120" s="18"/>
      <c r="AJL120" s="18"/>
      <c r="AJM120" s="18"/>
      <c r="AJN120" s="18"/>
      <c r="AJO120" s="18"/>
      <c r="AJP120" s="18"/>
      <c r="AJQ120" s="18"/>
      <c r="AJR120" s="18"/>
      <c r="AJS120" s="18"/>
      <c r="AJT120" s="18"/>
      <c r="AJU120" s="18"/>
      <c r="AJV120" s="18"/>
      <c r="AJW120" s="18"/>
      <c r="AJX120" s="18"/>
      <c r="AJY120" s="18"/>
      <c r="AJZ120" s="18"/>
      <c r="AKA120" s="18"/>
      <c r="AKB120" s="18"/>
      <c r="AKC120" s="18"/>
      <c r="AKD120" s="18"/>
      <c r="AKE120" s="18"/>
      <c r="AKF120" s="18"/>
      <c r="AKG120" s="18"/>
      <c r="AKH120" s="18"/>
      <c r="AKI120" s="18"/>
      <c r="AKJ120" s="18"/>
      <c r="AKK120" s="18"/>
      <c r="AKL120" s="18"/>
      <c r="AKM120" s="18"/>
      <c r="AKN120" s="18"/>
      <c r="AKO120" s="18"/>
      <c r="AKP120" s="18"/>
      <c r="AKQ120" s="18"/>
      <c r="AKR120" s="18"/>
      <c r="AKS120" s="18"/>
      <c r="AKT120" s="18"/>
      <c r="AKU120" s="18"/>
      <c r="AKV120" s="18"/>
      <c r="AKW120" s="18"/>
      <c r="AKX120" s="18"/>
      <c r="AKY120" s="18"/>
      <c r="AKZ120" s="18"/>
      <c r="ALA120" s="18"/>
      <c r="ALB120" s="18"/>
      <c r="ALC120" s="18"/>
      <c r="ALD120" s="18"/>
      <c r="ALE120" s="18"/>
      <c r="ALF120" s="18"/>
      <c r="ALG120" s="18"/>
      <c r="ALH120" s="18"/>
      <c r="ALI120" s="18"/>
      <c r="ALJ120" s="18"/>
      <c r="ALK120" s="18"/>
      <c r="ALL120" s="18"/>
      <c r="ALM120" s="18"/>
      <c r="ALN120" s="18"/>
      <c r="ALO120" s="18"/>
      <c r="ALP120" s="18"/>
      <c r="ALQ120" s="18"/>
      <c r="ALR120" s="18"/>
      <c r="ALS120" s="18"/>
      <c r="ALT120" s="18"/>
      <c r="ALU120" s="18"/>
      <c r="ALV120" s="18"/>
      <c r="ALW120" s="18"/>
      <c r="ALX120" s="18"/>
      <c r="ALY120" s="18"/>
      <c r="ALZ120" s="18"/>
      <c r="AMA120" s="18"/>
      <c r="AMB120" s="18"/>
      <c r="AMC120" s="18"/>
      <c r="AMD120" s="18"/>
      <c r="AME120" s="18"/>
      <c r="AMF120" s="18"/>
      <c r="AMG120" s="18"/>
      <c r="AMH120" s="18"/>
    </row>
    <row r="121" spans="1:1022" s="23" customFormat="1" x14ac:dyDescent="0.3">
      <c r="A121" s="33">
        <v>217</v>
      </c>
      <c r="B121" s="19"/>
      <c r="C121" s="19"/>
      <c r="D121" s="34"/>
      <c r="E121" s="34"/>
      <c r="F121" s="19"/>
      <c r="G121" s="19"/>
      <c r="H121" s="18"/>
      <c r="I121" s="31"/>
      <c r="J121" s="31"/>
      <c r="K121" s="31"/>
      <c r="L121" s="31"/>
      <c r="M121" s="32"/>
      <c r="N121" s="32"/>
      <c r="O121" s="18"/>
      <c r="P121" s="36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18"/>
      <c r="BK121" s="18"/>
      <c r="BL121" s="18"/>
      <c r="BM121" s="18"/>
      <c r="BN121" s="18"/>
      <c r="BO121" s="18"/>
      <c r="BP121" s="18"/>
      <c r="BQ121" s="18"/>
      <c r="BR121" s="18"/>
      <c r="BS121" s="18"/>
      <c r="BT121" s="18"/>
      <c r="BU121" s="18"/>
      <c r="BV121" s="18"/>
      <c r="BW121" s="18"/>
      <c r="BX121" s="18"/>
      <c r="BY121" s="18"/>
      <c r="BZ121" s="18"/>
      <c r="CA121" s="18"/>
      <c r="CB121" s="18"/>
      <c r="CC121" s="18"/>
      <c r="CD121" s="18"/>
      <c r="CE121" s="18"/>
      <c r="CF121" s="18"/>
      <c r="CG121" s="18"/>
      <c r="CH121" s="18"/>
      <c r="CI121" s="18"/>
      <c r="CJ121" s="18"/>
      <c r="CK121" s="18"/>
      <c r="CL121" s="18"/>
      <c r="CM121" s="18"/>
      <c r="CN121" s="18"/>
      <c r="CO121" s="18"/>
      <c r="CP121" s="18"/>
      <c r="CQ121" s="18"/>
      <c r="CR121" s="18"/>
      <c r="CS121" s="18"/>
      <c r="CT121" s="18"/>
      <c r="CU121" s="18"/>
      <c r="CV121" s="18"/>
      <c r="CW121" s="18"/>
      <c r="CX121" s="18"/>
      <c r="CY121" s="18"/>
      <c r="CZ121" s="18"/>
      <c r="DA121" s="18"/>
      <c r="DB121" s="18"/>
      <c r="DC121" s="18"/>
      <c r="DD121" s="18"/>
      <c r="DE121" s="18"/>
      <c r="DF121" s="18"/>
      <c r="DG121" s="18"/>
      <c r="DH121" s="18"/>
      <c r="DI121" s="18"/>
      <c r="DJ121" s="18"/>
      <c r="DK121" s="18"/>
      <c r="DL121" s="18"/>
      <c r="DM121" s="18"/>
      <c r="DN121" s="18"/>
      <c r="DO121" s="18"/>
      <c r="DP121" s="18"/>
      <c r="DQ121" s="18"/>
      <c r="DR121" s="18"/>
      <c r="DS121" s="18"/>
      <c r="DT121" s="18"/>
      <c r="DU121" s="18"/>
      <c r="DV121" s="18"/>
      <c r="DW121" s="18"/>
      <c r="DX121" s="18"/>
      <c r="DY121" s="18"/>
      <c r="DZ121" s="18"/>
      <c r="EA121" s="18"/>
      <c r="EB121" s="18"/>
      <c r="EC121" s="18"/>
      <c r="ED121" s="18"/>
      <c r="EE121" s="18"/>
      <c r="EF121" s="18"/>
      <c r="EG121" s="18"/>
      <c r="EH121" s="18"/>
      <c r="EI121" s="18"/>
      <c r="EJ121" s="18"/>
      <c r="EK121" s="18"/>
      <c r="EL121" s="18"/>
      <c r="EM121" s="18"/>
      <c r="EN121" s="18"/>
      <c r="EO121" s="18"/>
      <c r="EP121" s="18"/>
      <c r="EQ121" s="18"/>
      <c r="ER121" s="18"/>
      <c r="ES121" s="18"/>
      <c r="ET121" s="18"/>
      <c r="EU121" s="18"/>
      <c r="EV121" s="18"/>
      <c r="EW121" s="18"/>
      <c r="EX121" s="18"/>
      <c r="EY121" s="18"/>
      <c r="EZ121" s="18"/>
      <c r="FA121" s="18"/>
      <c r="FB121" s="18"/>
      <c r="FC121" s="18"/>
      <c r="FD121" s="18"/>
      <c r="FE121" s="18"/>
      <c r="FF121" s="18"/>
      <c r="FG121" s="18"/>
      <c r="FH121" s="18"/>
      <c r="FI121" s="18"/>
      <c r="FJ121" s="18"/>
      <c r="FK121" s="18"/>
      <c r="FL121" s="18"/>
      <c r="FM121" s="18"/>
      <c r="FN121" s="18"/>
      <c r="FO121" s="18"/>
      <c r="FP121" s="18"/>
      <c r="FQ121" s="18"/>
      <c r="FR121" s="18"/>
      <c r="FS121" s="18"/>
      <c r="FT121" s="18"/>
      <c r="FU121" s="18"/>
      <c r="FV121" s="18"/>
      <c r="FW121" s="18"/>
      <c r="FX121" s="18"/>
      <c r="FY121" s="18"/>
      <c r="FZ121" s="18"/>
      <c r="GA121" s="18"/>
      <c r="GB121" s="18"/>
      <c r="GC121" s="18"/>
      <c r="GD121" s="18"/>
      <c r="GE121" s="18"/>
      <c r="GF121" s="18"/>
      <c r="GG121" s="18"/>
      <c r="GH121" s="18"/>
      <c r="GI121" s="18"/>
      <c r="GJ121" s="18"/>
      <c r="GK121" s="18"/>
      <c r="GL121" s="18"/>
      <c r="GM121" s="18"/>
      <c r="GN121" s="18"/>
      <c r="GO121" s="18"/>
      <c r="GP121" s="18"/>
      <c r="GQ121" s="18"/>
      <c r="GR121" s="18"/>
      <c r="GS121" s="18"/>
      <c r="GT121" s="18"/>
      <c r="GU121" s="18"/>
      <c r="GV121" s="18"/>
      <c r="GW121" s="18"/>
      <c r="GX121" s="18"/>
      <c r="GY121" s="18"/>
      <c r="GZ121" s="18"/>
      <c r="HA121" s="18"/>
      <c r="HB121" s="18"/>
      <c r="HC121" s="18"/>
      <c r="HD121" s="18"/>
      <c r="HE121" s="18"/>
      <c r="HF121" s="18"/>
      <c r="HG121" s="18"/>
      <c r="HH121" s="18"/>
      <c r="HI121" s="18"/>
      <c r="HJ121" s="18"/>
      <c r="HK121" s="18"/>
      <c r="HL121" s="18"/>
      <c r="HM121" s="18"/>
      <c r="HN121" s="18"/>
      <c r="HO121" s="18"/>
      <c r="HP121" s="18"/>
      <c r="HQ121" s="18"/>
      <c r="HR121" s="18"/>
      <c r="HS121" s="18"/>
      <c r="HT121" s="18"/>
      <c r="HU121" s="18"/>
      <c r="HV121" s="18"/>
      <c r="HW121" s="18"/>
      <c r="HX121" s="18"/>
      <c r="HY121" s="18"/>
      <c r="HZ121" s="18"/>
      <c r="IA121" s="18"/>
      <c r="IB121" s="18"/>
      <c r="IC121" s="18"/>
      <c r="ID121" s="18"/>
      <c r="IE121" s="18"/>
      <c r="IF121" s="18"/>
      <c r="IG121" s="18"/>
      <c r="IH121" s="18"/>
      <c r="II121" s="18"/>
      <c r="IJ121" s="18"/>
      <c r="IK121" s="18"/>
      <c r="IL121" s="18"/>
      <c r="IM121" s="18"/>
      <c r="IN121" s="18"/>
      <c r="IO121" s="18"/>
      <c r="IP121" s="18"/>
      <c r="IQ121" s="18"/>
      <c r="IR121" s="18"/>
      <c r="IS121" s="18"/>
      <c r="IT121" s="18"/>
      <c r="IU121" s="18"/>
      <c r="IV121" s="18"/>
      <c r="IW121" s="18"/>
      <c r="IX121" s="18"/>
      <c r="IY121" s="18"/>
      <c r="IZ121" s="18"/>
      <c r="JA121" s="18"/>
      <c r="JB121" s="18"/>
      <c r="JC121" s="18"/>
      <c r="JD121" s="18"/>
      <c r="JE121" s="18"/>
      <c r="JF121" s="18"/>
      <c r="JG121" s="18"/>
      <c r="JH121" s="18"/>
      <c r="JI121" s="18"/>
      <c r="JJ121" s="18"/>
      <c r="JK121" s="18"/>
      <c r="JL121" s="18"/>
      <c r="JM121" s="18"/>
      <c r="JN121" s="18"/>
      <c r="JO121" s="18"/>
      <c r="JP121" s="18"/>
      <c r="JQ121" s="18"/>
      <c r="JR121" s="18"/>
      <c r="JS121" s="18"/>
      <c r="JT121" s="18"/>
      <c r="JU121" s="18"/>
      <c r="JV121" s="18"/>
      <c r="JW121" s="18"/>
      <c r="JX121" s="18"/>
      <c r="JY121" s="18"/>
      <c r="JZ121" s="18"/>
      <c r="KA121" s="18"/>
      <c r="KB121" s="18"/>
      <c r="KC121" s="18"/>
      <c r="KD121" s="18"/>
      <c r="KE121" s="18"/>
      <c r="KF121" s="18"/>
      <c r="KG121" s="18"/>
      <c r="KH121" s="18"/>
      <c r="KI121" s="18"/>
      <c r="KJ121" s="18"/>
      <c r="KK121" s="18"/>
      <c r="KL121" s="18"/>
      <c r="KM121" s="18"/>
      <c r="KN121" s="18"/>
      <c r="KO121" s="18"/>
      <c r="KP121" s="18"/>
      <c r="KQ121" s="18"/>
      <c r="KR121" s="18"/>
      <c r="KS121" s="18"/>
      <c r="KT121" s="18"/>
      <c r="KU121" s="18"/>
      <c r="KV121" s="18"/>
      <c r="KW121" s="18"/>
      <c r="KX121" s="18"/>
      <c r="KY121" s="18"/>
      <c r="KZ121" s="18"/>
      <c r="LA121" s="18"/>
      <c r="LB121" s="18"/>
      <c r="LC121" s="18"/>
      <c r="LD121" s="18"/>
      <c r="LE121" s="18"/>
      <c r="LF121" s="18"/>
      <c r="LG121" s="18"/>
      <c r="LH121" s="18"/>
      <c r="LI121" s="18"/>
      <c r="LJ121" s="18"/>
      <c r="LK121" s="18"/>
      <c r="LL121" s="18"/>
      <c r="LM121" s="18"/>
      <c r="LN121" s="18"/>
      <c r="LO121" s="18"/>
      <c r="LP121" s="18"/>
      <c r="LQ121" s="18"/>
      <c r="LR121" s="18"/>
      <c r="LS121" s="18"/>
      <c r="LT121" s="18"/>
      <c r="LU121" s="18"/>
      <c r="LV121" s="18"/>
      <c r="LW121" s="18"/>
      <c r="LX121" s="18"/>
      <c r="LY121" s="18"/>
      <c r="LZ121" s="18"/>
      <c r="MA121" s="18"/>
      <c r="MB121" s="18"/>
      <c r="MC121" s="18"/>
      <c r="MD121" s="18"/>
      <c r="ME121" s="18"/>
      <c r="MF121" s="18"/>
      <c r="MG121" s="18"/>
      <c r="MH121" s="18"/>
      <c r="MI121" s="18"/>
      <c r="MJ121" s="18"/>
      <c r="MK121" s="18"/>
      <c r="ML121" s="18"/>
      <c r="MM121" s="18"/>
      <c r="MN121" s="18"/>
      <c r="MO121" s="18"/>
      <c r="MP121" s="18"/>
      <c r="MQ121" s="18"/>
      <c r="MR121" s="18"/>
      <c r="MS121" s="18"/>
      <c r="MT121" s="18"/>
      <c r="MU121" s="18"/>
      <c r="MV121" s="18"/>
      <c r="MW121" s="18"/>
      <c r="MX121" s="18"/>
      <c r="MY121" s="18"/>
      <c r="MZ121" s="18"/>
      <c r="NA121" s="18"/>
      <c r="NB121" s="18"/>
      <c r="NC121" s="18"/>
      <c r="ND121" s="18"/>
      <c r="NE121" s="18"/>
      <c r="NF121" s="18"/>
      <c r="NG121" s="18"/>
      <c r="NH121" s="18"/>
      <c r="NI121" s="18"/>
      <c r="NJ121" s="18"/>
      <c r="NK121" s="18"/>
      <c r="NL121" s="18"/>
      <c r="NM121" s="18"/>
      <c r="NN121" s="18"/>
      <c r="NO121" s="18"/>
      <c r="NP121" s="18"/>
      <c r="NQ121" s="18"/>
      <c r="NR121" s="18"/>
      <c r="NS121" s="18"/>
      <c r="NT121" s="18"/>
      <c r="NU121" s="18"/>
      <c r="NV121" s="18"/>
      <c r="NW121" s="18"/>
      <c r="NX121" s="18"/>
      <c r="NY121" s="18"/>
      <c r="NZ121" s="18"/>
      <c r="OA121" s="18"/>
      <c r="OB121" s="18"/>
      <c r="OC121" s="18"/>
      <c r="OD121" s="18"/>
      <c r="OE121" s="18"/>
      <c r="OF121" s="18"/>
      <c r="OG121" s="18"/>
      <c r="OH121" s="18"/>
      <c r="OI121" s="18"/>
      <c r="OJ121" s="18"/>
      <c r="OK121" s="18"/>
      <c r="OL121" s="18"/>
      <c r="OM121" s="18"/>
      <c r="ON121" s="18"/>
      <c r="OO121" s="18"/>
      <c r="OP121" s="18"/>
      <c r="OQ121" s="18"/>
      <c r="OR121" s="18"/>
      <c r="OS121" s="18"/>
      <c r="OT121" s="18"/>
      <c r="OU121" s="18"/>
      <c r="OV121" s="18"/>
      <c r="OW121" s="18"/>
      <c r="OX121" s="18"/>
      <c r="OY121" s="18"/>
      <c r="OZ121" s="18"/>
      <c r="PA121" s="18"/>
      <c r="PB121" s="18"/>
      <c r="PC121" s="18"/>
      <c r="PD121" s="18"/>
      <c r="PE121" s="18"/>
      <c r="PF121" s="18"/>
      <c r="PG121" s="18"/>
      <c r="PH121" s="18"/>
      <c r="PI121" s="18"/>
      <c r="PJ121" s="18"/>
      <c r="PK121" s="18"/>
      <c r="PL121" s="18"/>
      <c r="PM121" s="18"/>
      <c r="PN121" s="18"/>
      <c r="PO121" s="18"/>
      <c r="PP121" s="18"/>
      <c r="PQ121" s="18"/>
      <c r="PR121" s="18"/>
      <c r="PS121" s="18"/>
      <c r="PT121" s="18"/>
      <c r="PU121" s="18"/>
      <c r="PV121" s="18"/>
      <c r="PW121" s="18"/>
      <c r="PX121" s="18"/>
      <c r="PY121" s="18"/>
      <c r="PZ121" s="18"/>
      <c r="QA121" s="18"/>
      <c r="QB121" s="18"/>
      <c r="QC121" s="18"/>
      <c r="QD121" s="18"/>
      <c r="QE121" s="18"/>
      <c r="QF121" s="18"/>
      <c r="QG121" s="18"/>
      <c r="QH121" s="18"/>
      <c r="QI121" s="18"/>
      <c r="QJ121" s="18"/>
      <c r="QK121" s="18"/>
      <c r="QL121" s="18"/>
      <c r="QM121" s="18"/>
      <c r="QN121" s="18"/>
      <c r="QO121" s="18"/>
      <c r="QP121" s="18"/>
      <c r="QQ121" s="18"/>
      <c r="QR121" s="18"/>
      <c r="QS121" s="18"/>
      <c r="QT121" s="18"/>
      <c r="QU121" s="18"/>
      <c r="QV121" s="18"/>
      <c r="QW121" s="18"/>
      <c r="QX121" s="18"/>
      <c r="QY121" s="18"/>
      <c r="QZ121" s="18"/>
      <c r="RA121" s="18"/>
      <c r="RB121" s="18"/>
      <c r="RC121" s="18"/>
      <c r="RD121" s="18"/>
      <c r="RE121" s="18"/>
      <c r="RF121" s="18"/>
      <c r="RG121" s="18"/>
      <c r="RH121" s="18"/>
      <c r="RI121" s="18"/>
      <c r="RJ121" s="18"/>
      <c r="RK121" s="18"/>
      <c r="RL121" s="18"/>
      <c r="RM121" s="18"/>
      <c r="RN121" s="18"/>
      <c r="RO121" s="18"/>
      <c r="RP121" s="18"/>
      <c r="RQ121" s="18"/>
      <c r="RR121" s="18"/>
      <c r="RS121" s="18"/>
      <c r="RT121" s="18"/>
      <c r="RU121" s="18"/>
      <c r="RV121" s="18"/>
      <c r="RW121" s="18"/>
      <c r="RX121" s="18"/>
      <c r="RY121" s="18"/>
      <c r="RZ121" s="18"/>
      <c r="SA121" s="18"/>
      <c r="SB121" s="18"/>
      <c r="SC121" s="18"/>
      <c r="SD121" s="18"/>
      <c r="SE121" s="18"/>
      <c r="SF121" s="18"/>
      <c r="SG121" s="18"/>
      <c r="SH121" s="18"/>
      <c r="SI121" s="18"/>
      <c r="SJ121" s="18"/>
      <c r="SK121" s="18"/>
      <c r="SL121" s="18"/>
      <c r="SM121" s="18"/>
      <c r="SN121" s="18"/>
      <c r="SO121" s="18"/>
      <c r="SP121" s="18"/>
      <c r="SQ121" s="18"/>
      <c r="SR121" s="18"/>
      <c r="SS121" s="18"/>
      <c r="ST121" s="18"/>
      <c r="SU121" s="18"/>
      <c r="SV121" s="18"/>
      <c r="SW121" s="18"/>
      <c r="SX121" s="18"/>
      <c r="SY121" s="18"/>
      <c r="SZ121" s="18"/>
      <c r="TA121" s="18"/>
      <c r="TB121" s="18"/>
      <c r="TC121" s="18"/>
      <c r="TD121" s="18"/>
      <c r="TE121" s="18"/>
      <c r="TF121" s="18"/>
      <c r="TG121" s="18"/>
      <c r="TH121" s="18"/>
      <c r="TI121" s="18"/>
      <c r="TJ121" s="18"/>
      <c r="TK121" s="18"/>
      <c r="TL121" s="18"/>
      <c r="TM121" s="18"/>
      <c r="TN121" s="18"/>
      <c r="TO121" s="18"/>
      <c r="TP121" s="18"/>
      <c r="TQ121" s="18"/>
      <c r="TR121" s="18"/>
      <c r="TS121" s="18"/>
      <c r="TT121" s="18"/>
      <c r="TU121" s="18"/>
      <c r="TV121" s="18"/>
      <c r="TW121" s="18"/>
      <c r="TX121" s="18"/>
      <c r="TY121" s="18"/>
      <c r="TZ121" s="18"/>
      <c r="UA121" s="18"/>
      <c r="UB121" s="18"/>
      <c r="UC121" s="18"/>
      <c r="UD121" s="18"/>
      <c r="UE121" s="18"/>
      <c r="UF121" s="18"/>
      <c r="UG121" s="18"/>
      <c r="UH121" s="18"/>
      <c r="UI121" s="18"/>
      <c r="UJ121" s="18"/>
      <c r="UK121" s="18"/>
      <c r="UL121" s="18"/>
      <c r="UM121" s="18"/>
      <c r="UN121" s="18"/>
      <c r="UO121" s="18"/>
      <c r="UP121" s="18"/>
      <c r="UQ121" s="18"/>
      <c r="UR121" s="18"/>
      <c r="US121" s="18"/>
      <c r="UT121" s="18"/>
      <c r="UU121" s="18"/>
      <c r="UV121" s="18"/>
      <c r="UW121" s="18"/>
      <c r="UX121" s="18"/>
      <c r="UY121" s="18"/>
      <c r="UZ121" s="18"/>
      <c r="VA121" s="18"/>
      <c r="VB121" s="18"/>
      <c r="VC121" s="18"/>
      <c r="VD121" s="18"/>
      <c r="VE121" s="18"/>
      <c r="VF121" s="18"/>
      <c r="VG121" s="18"/>
      <c r="VH121" s="18"/>
      <c r="VI121" s="18"/>
      <c r="VJ121" s="18"/>
      <c r="VK121" s="18"/>
      <c r="VL121" s="18"/>
      <c r="VM121" s="18"/>
      <c r="VN121" s="18"/>
      <c r="VO121" s="18"/>
      <c r="VP121" s="18"/>
      <c r="VQ121" s="18"/>
      <c r="VR121" s="18"/>
      <c r="VS121" s="18"/>
      <c r="VT121" s="18"/>
      <c r="VU121" s="18"/>
      <c r="VV121" s="18"/>
      <c r="VW121" s="18"/>
      <c r="VX121" s="18"/>
      <c r="VY121" s="18"/>
      <c r="VZ121" s="18"/>
      <c r="WA121" s="18"/>
      <c r="WB121" s="18"/>
      <c r="WC121" s="18"/>
      <c r="WD121" s="18"/>
      <c r="WE121" s="18"/>
      <c r="WF121" s="18"/>
      <c r="WG121" s="18"/>
      <c r="WH121" s="18"/>
      <c r="WI121" s="18"/>
      <c r="WJ121" s="18"/>
      <c r="WK121" s="18"/>
      <c r="WL121" s="18"/>
      <c r="WM121" s="18"/>
      <c r="WN121" s="18"/>
      <c r="WO121" s="18"/>
      <c r="WP121" s="18"/>
      <c r="WQ121" s="18"/>
      <c r="WR121" s="18"/>
      <c r="WS121" s="18"/>
      <c r="WT121" s="18"/>
      <c r="WU121" s="18"/>
      <c r="WV121" s="18"/>
      <c r="WW121" s="18"/>
      <c r="WX121" s="18"/>
      <c r="WY121" s="18"/>
      <c r="WZ121" s="18"/>
      <c r="XA121" s="18"/>
      <c r="XB121" s="18"/>
      <c r="XC121" s="18"/>
      <c r="XD121" s="18"/>
      <c r="XE121" s="18"/>
      <c r="XF121" s="18"/>
      <c r="XG121" s="18"/>
      <c r="XH121" s="18"/>
      <c r="XI121" s="18"/>
      <c r="XJ121" s="18"/>
      <c r="XK121" s="18"/>
      <c r="XL121" s="18"/>
      <c r="XM121" s="18"/>
      <c r="XN121" s="18"/>
      <c r="XO121" s="18"/>
      <c r="XP121" s="18"/>
      <c r="XQ121" s="18"/>
      <c r="XR121" s="18"/>
      <c r="XS121" s="18"/>
      <c r="XT121" s="18"/>
      <c r="XU121" s="18"/>
      <c r="XV121" s="18"/>
      <c r="XW121" s="18"/>
      <c r="XX121" s="18"/>
      <c r="XY121" s="18"/>
      <c r="XZ121" s="18"/>
      <c r="YA121" s="18"/>
      <c r="YB121" s="18"/>
      <c r="YC121" s="18"/>
      <c r="YD121" s="18"/>
      <c r="YE121" s="18"/>
      <c r="YF121" s="18"/>
      <c r="YG121" s="18"/>
      <c r="YH121" s="18"/>
      <c r="YI121" s="18"/>
      <c r="YJ121" s="18"/>
      <c r="YK121" s="18"/>
      <c r="YL121" s="18"/>
      <c r="YM121" s="18"/>
      <c r="YN121" s="18"/>
      <c r="YO121" s="18"/>
      <c r="YP121" s="18"/>
      <c r="YQ121" s="18"/>
      <c r="YR121" s="18"/>
      <c r="YS121" s="18"/>
      <c r="YT121" s="18"/>
      <c r="YU121" s="18"/>
      <c r="YV121" s="18"/>
      <c r="YW121" s="18"/>
      <c r="YX121" s="18"/>
      <c r="YY121" s="18"/>
      <c r="YZ121" s="18"/>
      <c r="ZA121" s="18"/>
      <c r="ZB121" s="18"/>
      <c r="ZC121" s="18"/>
      <c r="ZD121" s="18"/>
      <c r="ZE121" s="18"/>
      <c r="ZF121" s="18"/>
      <c r="ZG121" s="18"/>
      <c r="ZH121" s="18"/>
      <c r="ZI121" s="18"/>
      <c r="ZJ121" s="18"/>
      <c r="ZK121" s="18"/>
      <c r="ZL121" s="18"/>
      <c r="ZM121" s="18"/>
      <c r="ZN121" s="18"/>
      <c r="ZO121" s="18"/>
      <c r="ZP121" s="18"/>
      <c r="ZQ121" s="18"/>
      <c r="ZR121" s="18"/>
      <c r="ZS121" s="18"/>
      <c r="ZT121" s="18"/>
      <c r="ZU121" s="18"/>
      <c r="ZV121" s="18"/>
      <c r="ZW121" s="18"/>
      <c r="ZX121" s="18"/>
      <c r="ZY121" s="18"/>
      <c r="ZZ121" s="18"/>
      <c r="AAA121" s="18"/>
      <c r="AAB121" s="18"/>
      <c r="AAC121" s="18"/>
      <c r="AAD121" s="18"/>
      <c r="AAE121" s="18"/>
      <c r="AAF121" s="18"/>
      <c r="AAG121" s="18"/>
      <c r="AAH121" s="18"/>
      <c r="AAI121" s="18"/>
      <c r="AAJ121" s="18"/>
      <c r="AAK121" s="18"/>
      <c r="AAL121" s="18"/>
      <c r="AAM121" s="18"/>
      <c r="AAN121" s="18"/>
      <c r="AAO121" s="18"/>
      <c r="AAP121" s="18"/>
      <c r="AAQ121" s="18"/>
      <c r="AAR121" s="18"/>
      <c r="AAS121" s="18"/>
      <c r="AAT121" s="18"/>
      <c r="AAU121" s="18"/>
      <c r="AAV121" s="18"/>
      <c r="AAW121" s="18"/>
      <c r="AAX121" s="18"/>
      <c r="AAY121" s="18"/>
      <c r="AAZ121" s="18"/>
      <c r="ABA121" s="18"/>
      <c r="ABB121" s="18"/>
      <c r="ABC121" s="18"/>
      <c r="ABD121" s="18"/>
      <c r="ABE121" s="18"/>
      <c r="ABF121" s="18"/>
      <c r="ABG121" s="18"/>
      <c r="ABH121" s="18"/>
      <c r="ABI121" s="18"/>
      <c r="ABJ121" s="18"/>
      <c r="ABK121" s="18"/>
      <c r="ABL121" s="18"/>
      <c r="ABM121" s="18"/>
      <c r="ABN121" s="18"/>
      <c r="ABO121" s="18"/>
      <c r="ABP121" s="18"/>
      <c r="ABQ121" s="18"/>
      <c r="ABR121" s="18"/>
      <c r="ABS121" s="18"/>
      <c r="ABT121" s="18"/>
      <c r="ABU121" s="18"/>
      <c r="ABV121" s="18"/>
      <c r="ABW121" s="18"/>
      <c r="ABX121" s="18"/>
      <c r="ABY121" s="18"/>
      <c r="ABZ121" s="18"/>
      <c r="ACA121" s="18"/>
      <c r="ACB121" s="18"/>
      <c r="ACC121" s="18"/>
      <c r="ACD121" s="18"/>
      <c r="ACE121" s="18"/>
      <c r="ACF121" s="18"/>
      <c r="ACG121" s="18"/>
      <c r="ACH121" s="18"/>
      <c r="ACI121" s="18"/>
      <c r="ACJ121" s="18"/>
      <c r="ACK121" s="18"/>
      <c r="ACL121" s="18"/>
      <c r="ACM121" s="18"/>
      <c r="ACN121" s="18"/>
      <c r="ACO121" s="18"/>
      <c r="ACP121" s="18"/>
      <c r="ACQ121" s="18"/>
      <c r="ACR121" s="18"/>
      <c r="ACS121" s="18"/>
      <c r="ACT121" s="18"/>
      <c r="ACU121" s="18"/>
      <c r="ACV121" s="18"/>
      <c r="ACW121" s="18"/>
      <c r="ACX121" s="18"/>
      <c r="ACY121" s="18"/>
      <c r="ACZ121" s="18"/>
      <c r="ADA121" s="18"/>
      <c r="ADB121" s="18"/>
      <c r="ADC121" s="18"/>
      <c r="ADD121" s="18"/>
      <c r="ADE121" s="18"/>
      <c r="ADF121" s="18"/>
      <c r="ADG121" s="18"/>
      <c r="ADH121" s="18"/>
      <c r="ADI121" s="18"/>
      <c r="ADJ121" s="18"/>
      <c r="ADK121" s="18"/>
      <c r="ADL121" s="18"/>
      <c r="ADM121" s="18"/>
      <c r="ADN121" s="18"/>
      <c r="ADO121" s="18"/>
      <c r="ADP121" s="18"/>
      <c r="ADQ121" s="18"/>
      <c r="ADR121" s="18"/>
      <c r="ADS121" s="18"/>
      <c r="ADT121" s="18"/>
      <c r="ADU121" s="18"/>
      <c r="ADV121" s="18"/>
      <c r="ADW121" s="18"/>
      <c r="ADX121" s="18"/>
      <c r="ADY121" s="18"/>
      <c r="ADZ121" s="18"/>
      <c r="AEA121" s="18"/>
      <c r="AEB121" s="18"/>
      <c r="AEC121" s="18"/>
      <c r="AED121" s="18"/>
      <c r="AEE121" s="18"/>
      <c r="AEF121" s="18"/>
      <c r="AEG121" s="18"/>
      <c r="AEH121" s="18"/>
      <c r="AEI121" s="18"/>
      <c r="AEJ121" s="18"/>
      <c r="AEK121" s="18"/>
      <c r="AEL121" s="18"/>
      <c r="AEM121" s="18"/>
      <c r="AEN121" s="18"/>
      <c r="AEO121" s="18"/>
      <c r="AEP121" s="18"/>
      <c r="AEQ121" s="18"/>
      <c r="AER121" s="18"/>
      <c r="AES121" s="18"/>
      <c r="AET121" s="18"/>
      <c r="AEU121" s="18"/>
      <c r="AEV121" s="18"/>
      <c r="AEW121" s="18"/>
      <c r="AEX121" s="18"/>
      <c r="AEY121" s="18"/>
      <c r="AEZ121" s="18"/>
      <c r="AFA121" s="18"/>
      <c r="AFB121" s="18"/>
      <c r="AFC121" s="18"/>
      <c r="AFD121" s="18"/>
      <c r="AFE121" s="18"/>
      <c r="AFF121" s="18"/>
      <c r="AFG121" s="18"/>
      <c r="AFH121" s="18"/>
      <c r="AFI121" s="18"/>
      <c r="AFJ121" s="18"/>
      <c r="AFK121" s="18"/>
      <c r="AFL121" s="18"/>
      <c r="AFM121" s="18"/>
      <c r="AFN121" s="18"/>
      <c r="AFO121" s="18"/>
      <c r="AFP121" s="18"/>
      <c r="AFQ121" s="18"/>
      <c r="AFR121" s="18"/>
      <c r="AFS121" s="18"/>
      <c r="AFT121" s="18"/>
      <c r="AFU121" s="18"/>
      <c r="AFV121" s="18"/>
      <c r="AFW121" s="18"/>
      <c r="AFX121" s="18"/>
      <c r="AFY121" s="18"/>
      <c r="AFZ121" s="18"/>
      <c r="AGA121" s="18"/>
      <c r="AGB121" s="18"/>
      <c r="AGC121" s="18"/>
      <c r="AGD121" s="18"/>
      <c r="AGE121" s="18"/>
      <c r="AGF121" s="18"/>
      <c r="AGG121" s="18"/>
      <c r="AGH121" s="18"/>
      <c r="AGI121" s="18"/>
      <c r="AGJ121" s="18"/>
      <c r="AGK121" s="18"/>
      <c r="AGL121" s="18"/>
      <c r="AGM121" s="18"/>
      <c r="AGN121" s="18"/>
      <c r="AGO121" s="18"/>
      <c r="AGP121" s="18"/>
      <c r="AGQ121" s="18"/>
      <c r="AGR121" s="18"/>
      <c r="AGS121" s="18"/>
      <c r="AGT121" s="18"/>
      <c r="AGU121" s="18"/>
      <c r="AGV121" s="18"/>
      <c r="AGW121" s="18"/>
      <c r="AGX121" s="18"/>
      <c r="AGY121" s="18"/>
      <c r="AGZ121" s="18"/>
      <c r="AHA121" s="18"/>
      <c r="AHB121" s="18"/>
      <c r="AHC121" s="18"/>
      <c r="AHD121" s="18"/>
      <c r="AHE121" s="18"/>
      <c r="AHF121" s="18"/>
      <c r="AHG121" s="18"/>
      <c r="AHH121" s="18"/>
      <c r="AHI121" s="18"/>
      <c r="AHJ121" s="18"/>
      <c r="AHK121" s="18"/>
      <c r="AHL121" s="18"/>
      <c r="AHM121" s="18"/>
      <c r="AHN121" s="18"/>
      <c r="AHO121" s="18"/>
      <c r="AHP121" s="18"/>
      <c r="AHQ121" s="18"/>
      <c r="AHR121" s="18"/>
      <c r="AHS121" s="18"/>
      <c r="AHT121" s="18"/>
      <c r="AHU121" s="18"/>
      <c r="AHV121" s="18"/>
      <c r="AHW121" s="18"/>
      <c r="AHX121" s="18"/>
      <c r="AHY121" s="18"/>
      <c r="AHZ121" s="18"/>
      <c r="AIA121" s="18"/>
      <c r="AIB121" s="18"/>
      <c r="AIC121" s="18"/>
      <c r="AID121" s="18"/>
      <c r="AIE121" s="18"/>
      <c r="AIF121" s="18"/>
      <c r="AIG121" s="18"/>
      <c r="AIH121" s="18"/>
      <c r="AII121" s="18"/>
      <c r="AIJ121" s="18"/>
      <c r="AIK121" s="18"/>
      <c r="AIL121" s="18"/>
      <c r="AIM121" s="18"/>
      <c r="AIN121" s="18"/>
      <c r="AIO121" s="18"/>
      <c r="AIP121" s="18"/>
      <c r="AIQ121" s="18"/>
      <c r="AIR121" s="18"/>
      <c r="AIS121" s="18"/>
      <c r="AIT121" s="18"/>
      <c r="AIU121" s="18"/>
      <c r="AIV121" s="18"/>
      <c r="AIW121" s="18"/>
      <c r="AIX121" s="18"/>
      <c r="AIY121" s="18"/>
      <c r="AIZ121" s="18"/>
      <c r="AJA121" s="18"/>
      <c r="AJB121" s="18"/>
      <c r="AJC121" s="18"/>
      <c r="AJD121" s="18"/>
      <c r="AJE121" s="18"/>
      <c r="AJF121" s="18"/>
      <c r="AJG121" s="18"/>
      <c r="AJH121" s="18"/>
      <c r="AJI121" s="18"/>
      <c r="AJJ121" s="18"/>
      <c r="AJK121" s="18"/>
      <c r="AJL121" s="18"/>
      <c r="AJM121" s="18"/>
      <c r="AJN121" s="18"/>
      <c r="AJO121" s="18"/>
      <c r="AJP121" s="18"/>
      <c r="AJQ121" s="18"/>
      <c r="AJR121" s="18"/>
      <c r="AJS121" s="18"/>
      <c r="AJT121" s="18"/>
      <c r="AJU121" s="18"/>
      <c r="AJV121" s="18"/>
      <c r="AJW121" s="18"/>
      <c r="AJX121" s="18"/>
      <c r="AJY121" s="18"/>
      <c r="AJZ121" s="18"/>
      <c r="AKA121" s="18"/>
      <c r="AKB121" s="18"/>
      <c r="AKC121" s="18"/>
      <c r="AKD121" s="18"/>
      <c r="AKE121" s="18"/>
      <c r="AKF121" s="18"/>
      <c r="AKG121" s="18"/>
      <c r="AKH121" s="18"/>
      <c r="AKI121" s="18"/>
      <c r="AKJ121" s="18"/>
      <c r="AKK121" s="18"/>
      <c r="AKL121" s="18"/>
      <c r="AKM121" s="18"/>
      <c r="AKN121" s="18"/>
      <c r="AKO121" s="18"/>
      <c r="AKP121" s="18"/>
      <c r="AKQ121" s="18"/>
      <c r="AKR121" s="18"/>
      <c r="AKS121" s="18"/>
      <c r="AKT121" s="18"/>
      <c r="AKU121" s="18"/>
      <c r="AKV121" s="18"/>
      <c r="AKW121" s="18"/>
      <c r="AKX121" s="18"/>
      <c r="AKY121" s="18"/>
      <c r="AKZ121" s="18"/>
      <c r="ALA121" s="18"/>
      <c r="ALB121" s="18"/>
      <c r="ALC121" s="18"/>
      <c r="ALD121" s="18"/>
      <c r="ALE121" s="18"/>
      <c r="ALF121" s="18"/>
      <c r="ALG121" s="18"/>
      <c r="ALH121" s="18"/>
      <c r="ALI121" s="18"/>
      <c r="ALJ121" s="18"/>
      <c r="ALK121" s="18"/>
      <c r="ALL121" s="18"/>
      <c r="ALM121" s="18"/>
      <c r="ALN121" s="18"/>
      <c r="ALO121" s="18"/>
      <c r="ALP121" s="18"/>
      <c r="ALQ121" s="18"/>
      <c r="ALR121" s="18"/>
      <c r="ALS121" s="18"/>
      <c r="ALT121" s="18"/>
      <c r="ALU121" s="18"/>
      <c r="ALV121" s="18"/>
      <c r="ALW121" s="18"/>
      <c r="ALX121" s="18"/>
      <c r="ALY121" s="18"/>
      <c r="ALZ121" s="18"/>
      <c r="AMA121" s="18"/>
      <c r="AMB121" s="18"/>
      <c r="AMC121" s="18"/>
      <c r="AMD121" s="18"/>
      <c r="AME121" s="18"/>
      <c r="AMF121" s="18"/>
      <c r="AMG121" s="18"/>
      <c r="AMH121" s="18"/>
    </row>
    <row r="122" spans="1:1022" s="23" customFormat="1" x14ac:dyDescent="0.3">
      <c r="A122" s="33">
        <v>218</v>
      </c>
      <c r="B122" s="19"/>
      <c r="C122" s="19"/>
      <c r="D122" s="34"/>
      <c r="E122" s="34"/>
      <c r="F122" s="19"/>
      <c r="G122" s="19"/>
      <c r="H122" s="18"/>
      <c r="I122" s="31"/>
      <c r="J122" s="31"/>
      <c r="K122" s="31"/>
      <c r="L122" s="31"/>
      <c r="M122" s="32"/>
      <c r="N122" s="32"/>
      <c r="O122" s="18"/>
      <c r="P122" s="36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18"/>
      <c r="BK122" s="18"/>
      <c r="BL122" s="18"/>
      <c r="BM122" s="18"/>
      <c r="BN122" s="18"/>
      <c r="BO122" s="18"/>
      <c r="BP122" s="18"/>
      <c r="BQ122" s="18"/>
      <c r="BR122" s="18"/>
      <c r="BS122" s="18"/>
      <c r="BT122" s="18"/>
      <c r="BU122" s="18"/>
      <c r="BV122" s="18"/>
      <c r="BW122" s="18"/>
      <c r="BX122" s="18"/>
      <c r="BY122" s="18"/>
      <c r="BZ122" s="18"/>
      <c r="CA122" s="18"/>
      <c r="CB122" s="18"/>
      <c r="CC122" s="18"/>
      <c r="CD122" s="18"/>
      <c r="CE122" s="18"/>
      <c r="CF122" s="18"/>
      <c r="CG122" s="18"/>
      <c r="CH122" s="18"/>
      <c r="CI122" s="18"/>
      <c r="CJ122" s="18"/>
      <c r="CK122" s="18"/>
      <c r="CL122" s="18"/>
      <c r="CM122" s="18"/>
      <c r="CN122" s="18"/>
      <c r="CO122" s="18"/>
      <c r="CP122" s="18"/>
      <c r="CQ122" s="18"/>
      <c r="CR122" s="18"/>
      <c r="CS122" s="18"/>
      <c r="CT122" s="18"/>
      <c r="CU122" s="18"/>
      <c r="CV122" s="18"/>
      <c r="CW122" s="18"/>
      <c r="CX122" s="18"/>
      <c r="CY122" s="18"/>
      <c r="CZ122" s="18"/>
      <c r="DA122" s="18"/>
      <c r="DB122" s="18"/>
      <c r="DC122" s="18"/>
      <c r="DD122" s="18"/>
      <c r="DE122" s="18"/>
      <c r="DF122" s="18"/>
      <c r="DG122" s="18"/>
      <c r="DH122" s="18"/>
      <c r="DI122" s="18"/>
      <c r="DJ122" s="18"/>
      <c r="DK122" s="18"/>
      <c r="DL122" s="18"/>
      <c r="DM122" s="18"/>
      <c r="DN122" s="18"/>
      <c r="DO122" s="18"/>
      <c r="DP122" s="18"/>
      <c r="DQ122" s="18"/>
      <c r="DR122" s="18"/>
      <c r="DS122" s="18"/>
      <c r="DT122" s="18"/>
      <c r="DU122" s="18"/>
      <c r="DV122" s="18"/>
      <c r="DW122" s="18"/>
      <c r="DX122" s="18"/>
      <c r="DY122" s="18"/>
      <c r="DZ122" s="18"/>
      <c r="EA122" s="18"/>
      <c r="EB122" s="18"/>
      <c r="EC122" s="18"/>
      <c r="ED122" s="18"/>
      <c r="EE122" s="18"/>
      <c r="EF122" s="18"/>
      <c r="EG122" s="18"/>
      <c r="EH122" s="18"/>
      <c r="EI122" s="18"/>
      <c r="EJ122" s="18"/>
      <c r="EK122" s="18"/>
      <c r="EL122" s="18"/>
      <c r="EM122" s="18"/>
      <c r="EN122" s="18"/>
      <c r="EO122" s="18"/>
      <c r="EP122" s="18"/>
      <c r="EQ122" s="18"/>
      <c r="ER122" s="18"/>
      <c r="ES122" s="18"/>
      <c r="ET122" s="18"/>
      <c r="EU122" s="18"/>
      <c r="EV122" s="18"/>
      <c r="EW122" s="18"/>
      <c r="EX122" s="18"/>
      <c r="EY122" s="18"/>
      <c r="EZ122" s="18"/>
      <c r="FA122" s="18"/>
      <c r="FB122" s="18"/>
      <c r="FC122" s="18"/>
      <c r="FD122" s="18"/>
      <c r="FE122" s="18"/>
      <c r="FF122" s="18"/>
      <c r="FG122" s="18"/>
      <c r="FH122" s="18"/>
      <c r="FI122" s="18"/>
      <c r="FJ122" s="18"/>
      <c r="FK122" s="18"/>
      <c r="FL122" s="18"/>
      <c r="FM122" s="18"/>
      <c r="FN122" s="18"/>
      <c r="FO122" s="18"/>
      <c r="FP122" s="18"/>
      <c r="FQ122" s="18"/>
      <c r="FR122" s="18"/>
      <c r="FS122" s="18"/>
      <c r="FT122" s="18"/>
      <c r="FU122" s="18"/>
      <c r="FV122" s="18"/>
      <c r="FW122" s="18"/>
      <c r="FX122" s="18"/>
      <c r="FY122" s="18"/>
      <c r="FZ122" s="18"/>
      <c r="GA122" s="18"/>
      <c r="GB122" s="18"/>
      <c r="GC122" s="18"/>
      <c r="GD122" s="18"/>
      <c r="GE122" s="18"/>
      <c r="GF122" s="18"/>
      <c r="GG122" s="18"/>
      <c r="GH122" s="18"/>
      <c r="GI122" s="18"/>
      <c r="GJ122" s="18"/>
      <c r="GK122" s="18"/>
      <c r="GL122" s="18"/>
      <c r="GM122" s="18"/>
      <c r="GN122" s="18"/>
      <c r="GO122" s="18"/>
      <c r="GP122" s="18"/>
      <c r="GQ122" s="18"/>
      <c r="GR122" s="18"/>
      <c r="GS122" s="18"/>
      <c r="GT122" s="18"/>
      <c r="GU122" s="18"/>
      <c r="GV122" s="18"/>
      <c r="GW122" s="18"/>
      <c r="GX122" s="18"/>
      <c r="GY122" s="18"/>
      <c r="GZ122" s="18"/>
      <c r="HA122" s="18"/>
      <c r="HB122" s="18"/>
      <c r="HC122" s="18"/>
      <c r="HD122" s="18"/>
      <c r="HE122" s="18"/>
      <c r="HF122" s="18"/>
      <c r="HG122" s="18"/>
      <c r="HH122" s="18"/>
      <c r="HI122" s="18"/>
      <c r="HJ122" s="18"/>
      <c r="HK122" s="18"/>
      <c r="HL122" s="18"/>
      <c r="HM122" s="18"/>
      <c r="HN122" s="18"/>
      <c r="HO122" s="18"/>
      <c r="HP122" s="18"/>
      <c r="HQ122" s="18"/>
      <c r="HR122" s="18"/>
      <c r="HS122" s="18"/>
      <c r="HT122" s="18"/>
      <c r="HU122" s="18"/>
      <c r="HV122" s="18"/>
      <c r="HW122" s="18"/>
      <c r="HX122" s="18"/>
      <c r="HY122" s="18"/>
      <c r="HZ122" s="18"/>
      <c r="IA122" s="18"/>
      <c r="IB122" s="18"/>
      <c r="IC122" s="18"/>
      <c r="ID122" s="18"/>
      <c r="IE122" s="18"/>
      <c r="IF122" s="18"/>
      <c r="IG122" s="18"/>
      <c r="IH122" s="18"/>
      <c r="II122" s="18"/>
      <c r="IJ122" s="18"/>
      <c r="IK122" s="18"/>
      <c r="IL122" s="18"/>
      <c r="IM122" s="18"/>
      <c r="IN122" s="18"/>
      <c r="IO122" s="18"/>
      <c r="IP122" s="18"/>
      <c r="IQ122" s="18"/>
      <c r="IR122" s="18"/>
      <c r="IS122" s="18"/>
      <c r="IT122" s="18"/>
      <c r="IU122" s="18"/>
      <c r="IV122" s="18"/>
      <c r="IW122" s="18"/>
      <c r="IX122" s="18"/>
      <c r="IY122" s="18"/>
      <c r="IZ122" s="18"/>
      <c r="JA122" s="18"/>
      <c r="JB122" s="18"/>
      <c r="JC122" s="18"/>
      <c r="JD122" s="18"/>
      <c r="JE122" s="18"/>
      <c r="JF122" s="18"/>
      <c r="JG122" s="18"/>
      <c r="JH122" s="18"/>
      <c r="JI122" s="18"/>
      <c r="JJ122" s="18"/>
      <c r="JK122" s="18"/>
      <c r="JL122" s="18"/>
      <c r="JM122" s="18"/>
      <c r="JN122" s="18"/>
      <c r="JO122" s="18"/>
      <c r="JP122" s="18"/>
      <c r="JQ122" s="18"/>
      <c r="JR122" s="18"/>
      <c r="JS122" s="18"/>
      <c r="JT122" s="18"/>
      <c r="JU122" s="18"/>
      <c r="JV122" s="18"/>
      <c r="JW122" s="18"/>
      <c r="JX122" s="18"/>
      <c r="JY122" s="18"/>
      <c r="JZ122" s="18"/>
      <c r="KA122" s="18"/>
      <c r="KB122" s="18"/>
      <c r="KC122" s="18"/>
      <c r="KD122" s="18"/>
      <c r="KE122" s="18"/>
      <c r="KF122" s="18"/>
      <c r="KG122" s="18"/>
      <c r="KH122" s="18"/>
      <c r="KI122" s="18"/>
      <c r="KJ122" s="18"/>
      <c r="KK122" s="18"/>
      <c r="KL122" s="18"/>
      <c r="KM122" s="18"/>
      <c r="KN122" s="18"/>
      <c r="KO122" s="18"/>
      <c r="KP122" s="18"/>
      <c r="KQ122" s="18"/>
      <c r="KR122" s="18"/>
      <c r="KS122" s="18"/>
      <c r="KT122" s="18"/>
      <c r="KU122" s="18"/>
      <c r="KV122" s="18"/>
      <c r="KW122" s="18"/>
      <c r="KX122" s="18"/>
      <c r="KY122" s="18"/>
      <c r="KZ122" s="18"/>
      <c r="LA122" s="18"/>
      <c r="LB122" s="18"/>
      <c r="LC122" s="18"/>
      <c r="LD122" s="18"/>
      <c r="LE122" s="18"/>
      <c r="LF122" s="18"/>
      <c r="LG122" s="18"/>
      <c r="LH122" s="18"/>
      <c r="LI122" s="18"/>
      <c r="LJ122" s="18"/>
      <c r="LK122" s="18"/>
      <c r="LL122" s="18"/>
      <c r="LM122" s="18"/>
      <c r="LN122" s="18"/>
      <c r="LO122" s="18"/>
      <c r="LP122" s="18"/>
      <c r="LQ122" s="18"/>
      <c r="LR122" s="18"/>
      <c r="LS122" s="18"/>
      <c r="LT122" s="18"/>
      <c r="LU122" s="18"/>
      <c r="LV122" s="18"/>
      <c r="LW122" s="18"/>
      <c r="LX122" s="18"/>
      <c r="LY122" s="18"/>
      <c r="LZ122" s="18"/>
      <c r="MA122" s="18"/>
      <c r="MB122" s="18"/>
      <c r="MC122" s="18"/>
      <c r="MD122" s="18"/>
      <c r="ME122" s="18"/>
      <c r="MF122" s="18"/>
      <c r="MG122" s="18"/>
      <c r="MH122" s="18"/>
      <c r="MI122" s="18"/>
      <c r="MJ122" s="18"/>
      <c r="MK122" s="18"/>
      <c r="ML122" s="18"/>
      <c r="MM122" s="18"/>
      <c r="MN122" s="18"/>
      <c r="MO122" s="18"/>
      <c r="MP122" s="18"/>
      <c r="MQ122" s="18"/>
      <c r="MR122" s="18"/>
      <c r="MS122" s="18"/>
      <c r="MT122" s="18"/>
      <c r="MU122" s="18"/>
      <c r="MV122" s="18"/>
      <c r="MW122" s="18"/>
      <c r="MX122" s="18"/>
      <c r="MY122" s="18"/>
      <c r="MZ122" s="18"/>
      <c r="NA122" s="18"/>
      <c r="NB122" s="18"/>
      <c r="NC122" s="18"/>
      <c r="ND122" s="18"/>
      <c r="NE122" s="18"/>
      <c r="NF122" s="18"/>
      <c r="NG122" s="18"/>
      <c r="NH122" s="18"/>
      <c r="NI122" s="18"/>
      <c r="NJ122" s="18"/>
      <c r="NK122" s="18"/>
      <c r="NL122" s="18"/>
      <c r="NM122" s="18"/>
      <c r="NN122" s="18"/>
      <c r="NO122" s="18"/>
      <c r="NP122" s="18"/>
      <c r="NQ122" s="18"/>
      <c r="NR122" s="18"/>
      <c r="NS122" s="18"/>
      <c r="NT122" s="18"/>
      <c r="NU122" s="18"/>
      <c r="NV122" s="18"/>
      <c r="NW122" s="18"/>
      <c r="NX122" s="18"/>
      <c r="NY122" s="18"/>
      <c r="NZ122" s="18"/>
      <c r="OA122" s="18"/>
      <c r="OB122" s="18"/>
      <c r="OC122" s="18"/>
      <c r="OD122" s="18"/>
      <c r="OE122" s="18"/>
      <c r="OF122" s="18"/>
      <c r="OG122" s="18"/>
      <c r="OH122" s="18"/>
      <c r="OI122" s="18"/>
      <c r="OJ122" s="18"/>
      <c r="OK122" s="18"/>
      <c r="OL122" s="18"/>
      <c r="OM122" s="18"/>
      <c r="ON122" s="18"/>
      <c r="OO122" s="18"/>
      <c r="OP122" s="18"/>
      <c r="OQ122" s="18"/>
      <c r="OR122" s="18"/>
      <c r="OS122" s="18"/>
      <c r="OT122" s="18"/>
      <c r="OU122" s="18"/>
      <c r="OV122" s="18"/>
      <c r="OW122" s="18"/>
      <c r="OX122" s="18"/>
      <c r="OY122" s="18"/>
      <c r="OZ122" s="18"/>
      <c r="PA122" s="18"/>
      <c r="PB122" s="18"/>
      <c r="PC122" s="18"/>
      <c r="PD122" s="18"/>
      <c r="PE122" s="18"/>
      <c r="PF122" s="18"/>
      <c r="PG122" s="18"/>
      <c r="PH122" s="18"/>
      <c r="PI122" s="18"/>
      <c r="PJ122" s="18"/>
      <c r="PK122" s="18"/>
      <c r="PL122" s="18"/>
      <c r="PM122" s="18"/>
      <c r="PN122" s="18"/>
      <c r="PO122" s="18"/>
      <c r="PP122" s="18"/>
      <c r="PQ122" s="18"/>
      <c r="PR122" s="18"/>
      <c r="PS122" s="18"/>
      <c r="PT122" s="18"/>
      <c r="PU122" s="18"/>
      <c r="PV122" s="18"/>
      <c r="PW122" s="18"/>
      <c r="PX122" s="18"/>
      <c r="PY122" s="18"/>
      <c r="PZ122" s="18"/>
      <c r="QA122" s="18"/>
      <c r="QB122" s="18"/>
      <c r="QC122" s="18"/>
      <c r="QD122" s="18"/>
      <c r="QE122" s="18"/>
      <c r="QF122" s="18"/>
      <c r="QG122" s="18"/>
      <c r="QH122" s="18"/>
      <c r="QI122" s="18"/>
      <c r="QJ122" s="18"/>
      <c r="QK122" s="18"/>
      <c r="QL122" s="18"/>
      <c r="QM122" s="18"/>
      <c r="QN122" s="18"/>
      <c r="QO122" s="18"/>
      <c r="QP122" s="18"/>
      <c r="QQ122" s="18"/>
      <c r="QR122" s="18"/>
      <c r="QS122" s="18"/>
      <c r="QT122" s="18"/>
      <c r="QU122" s="18"/>
      <c r="QV122" s="18"/>
      <c r="QW122" s="18"/>
      <c r="QX122" s="18"/>
      <c r="QY122" s="18"/>
      <c r="QZ122" s="18"/>
      <c r="RA122" s="18"/>
      <c r="RB122" s="18"/>
      <c r="RC122" s="18"/>
      <c r="RD122" s="18"/>
      <c r="RE122" s="18"/>
      <c r="RF122" s="18"/>
      <c r="RG122" s="18"/>
      <c r="RH122" s="18"/>
      <c r="RI122" s="18"/>
      <c r="RJ122" s="18"/>
      <c r="RK122" s="18"/>
      <c r="RL122" s="18"/>
      <c r="RM122" s="18"/>
      <c r="RN122" s="18"/>
      <c r="RO122" s="18"/>
      <c r="RP122" s="18"/>
      <c r="RQ122" s="18"/>
      <c r="RR122" s="18"/>
      <c r="RS122" s="18"/>
      <c r="RT122" s="18"/>
      <c r="RU122" s="18"/>
      <c r="RV122" s="18"/>
      <c r="RW122" s="18"/>
      <c r="RX122" s="18"/>
      <c r="RY122" s="18"/>
      <c r="RZ122" s="18"/>
      <c r="SA122" s="18"/>
      <c r="SB122" s="18"/>
      <c r="SC122" s="18"/>
      <c r="SD122" s="18"/>
      <c r="SE122" s="18"/>
      <c r="SF122" s="18"/>
      <c r="SG122" s="18"/>
      <c r="SH122" s="18"/>
      <c r="SI122" s="18"/>
      <c r="SJ122" s="18"/>
      <c r="SK122" s="18"/>
      <c r="SL122" s="18"/>
      <c r="SM122" s="18"/>
      <c r="SN122" s="18"/>
      <c r="SO122" s="18"/>
      <c r="SP122" s="18"/>
      <c r="SQ122" s="18"/>
      <c r="SR122" s="18"/>
      <c r="SS122" s="18"/>
      <c r="ST122" s="18"/>
      <c r="SU122" s="18"/>
      <c r="SV122" s="18"/>
      <c r="SW122" s="18"/>
      <c r="SX122" s="18"/>
      <c r="SY122" s="18"/>
      <c r="SZ122" s="18"/>
      <c r="TA122" s="18"/>
      <c r="TB122" s="18"/>
      <c r="TC122" s="18"/>
      <c r="TD122" s="18"/>
      <c r="TE122" s="18"/>
      <c r="TF122" s="18"/>
      <c r="TG122" s="18"/>
      <c r="TH122" s="18"/>
      <c r="TI122" s="18"/>
      <c r="TJ122" s="18"/>
      <c r="TK122" s="18"/>
      <c r="TL122" s="18"/>
      <c r="TM122" s="18"/>
      <c r="TN122" s="18"/>
      <c r="TO122" s="18"/>
      <c r="TP122" s="18"/>
      <c r="TQ122" s="18"/>
      <c r="TR122" s="18"/>
      <c r="TS122" s="18"/>
      <c r="TT122" s="18"/>
      <c r="TU122" s="18"/>
      <c r="TV122" s="18"/>
      <c r="TW122" s="18"/>
      <c r="TX122" s="18"/>
      <c r="TY122" s="18"/>
      <c r="TZ122" s="18"/>
      <c r="UA122" s="18"/>
      <c r="UB122" s="18"/>
      <c r="UC122" s="18"/>
      <c r="UD122" s="18"/>
      <c r="UE122" s="18"/>
      <c r="UF122" s="18"/>
      <c r="UG122" s="18"/>
      <c r="UH122" s="18"/>
      <c r="UI122" s="18"/>
      <c r="UJ122" s="18"/>
      <c r="UK122" s="18"/>
      <c r="UL122" s="18"/>
      <c r="UM122" s="18"/>
      <c r="UN122" s="18"/>
      <c r="UO122" s="18"/>
      <c r="UP122" s="18"/>
      <c r="UQ122" s="18"/>
      <c r="UR122" s="18"/>
      <c r="US122" s="18"/>
      <c r="UT122" s="18"/>
      <c r="UU122" s="18"/>
      <c r="UV122" s="18"/>
      <c r="UW122" s="18"/>
      <c r="UX122" s="18"/>
      <c r="UY122" s="18"/>
      <c r="UZ122" s="18"/>
      <c r="VA122" s="18"/>
      <c r="VB122" s="18"/>
      <c r="VC122" s="18"/>
      <c r="VD122" s="18"/>
      <c r="VE122" s="18"/>
      <c r="VF122" s="18"/>
      <c r="VG122" s="18"/>
      <c r="VH122" s="18"/>
      <c r="VI122" s="18"/>
      <c r="VJ122" s="18"/>
      <c r="VK122" s="18"/>
      <c r="VL122" s="18"/>
      <c r="VM122" s="18"/>
      <c r="VN122" s="18"/>
      <c r="VO122" s="18"/>
      <c r="VP122" s="18"/>
      <c r="VQ122" s="18"/>
      <c r="VR122" s="18"/>
      <c r="VS122" s="18"/>
      <c r="VT122" s="18"/>
      <c r="VU122" s="18"/>
      <c r="VV122" s="18"/>
      <c r="VW122" s="18"/>
      <c r="VX122" s="18"/>
      <c r="VY122" s="18"/>
      <c r="VZ122" s="18"/>
      <c r="WA122" s="18"/>
      <c r="WB122" s="18"/>
      <c r="WC122" s="18"/>
      <c r="WD122" s="18"/>
      <c r="WE122" s="18"/>
      <c r="WF122" s="18"/>
      <c r="WG122" s="18"/>
      <c r="WH122" s="18"/>
      <c r="WI122" s="18"/>
      <c r="WJ122" s="18"/>
      <c r="WK122" s="18"/>
      <c r="WL122" s="18"/>
      <c r="WM122" s="18"/>
      <c r="WN122" s="18"/>
      <c r="WO122" s="18"/>
      <c r="WP122" s="18"/>
      <c r="WQ122" s="18"/>
      <c r="WR122" s="18"/>
      <c r="WS122" s="18"/>
      <c r="WT122" s="18"/>
      <c r="WU122" s="18"/>
      <c r="WV122" s="18"/>
      <c r="WW122" s="18"/>
      <c r="WX122" s="18"/>
      <c r="WY122" s="18"/>
      <c r="WZ122" s="18"/>
      <c r="XA122" s="18"/>
      <c r="XB122" s="18"/>
      <c r="XC122" s="18"/>
      <c r="XD122" s="18"/>
      <c r="XE122" s="18"/>
      <c r="XF122" s="18"/>
      <c r="XG122" s="18"/>
      <c r="XH122" s="18"/>
      <c r="XI122" s="18"/>
      <c r="XJ122" s="18"/>
      <c r="XK122" s="18"/>
      <c r="XL122" s="18"/>
      <c r="XM122" s="18"/>
      <c r="XN122" s="18"/>
      <c r="XO122" s="18"/>
      <c r="XP122" s="18"/>
      <c r="XQ122" s="18"/>
      <c r="XR122" s="18"/>
      <c r="XS122" s="18"/>
      <c r="XT122" s="18"/>
      <c r="XU122" s="18"/>
      <c r="XV122" s="18"/>
      <c r="XW122" s="18"/>
      <c r="XX122" s="18"/>
      <c r="XY122" s="18"/>
      <c r="XZ122" s="18"/>
      <c r="YA122" s="18"/>
      <c r="YB122" s="18"/>
      <c r="YC122" s="18"/>
      <c r="YD122" s="18"/>
      <c r="YE122" s="18"/>
      <c r="YF122" s="18"/>
      <c r="YG122" s="18"/>
      <c r="YH122" s="18"/>
      <c r="YI122" s="18"/>
      <c r="YJ122" s="18"/>
      <c r="YK122" s="18"/>
      <c r="YL122" s="18"/>
      <c r="YM122" s="18"/>
      <c r="YN122" s="18"/>
      <c r="YO122" s="18"/>
      <c r="YP122" s="18"/>
      <c r="YQ122" s="18"/>
      <c r="YR122" s="18"/>
      <c r="YS122" s="18"/>
      <c r="YT122" s="18"/>
      <c r="YU122" s="18"/>
      <c r="YV122" s="18"/>
      <c r="YW122" s="18"/>
      <c r="YX122" s="18"/>
      <c r="YY122" s="18"/>
      <c r="YZ122" s="18"/>
      <c r="ZA122" s="18"/>
      <c r="ZB122" s="18"/>
      <c r="ZC122" s="18"/>
      <c r="ZD122" s="18"/>
      <c r="ZE122" s="18"/>
      <c r="ZF122" s="18"/>
      <c r="ZG122" s="18"/>
      <c r="ZH122" s="18"/>
      <c r="ZI122" s="18"/>
      <c r="ZJ122" s="18"/>
      <c r="ZK122" s="18"/>
      <c r="ZL122" s="18"/>
      <c r="ZM122" s="18"/>
      <c r="ZN122" s="18"/>
      <c r="ZO122" s="18"/>
      <c r="ZP122" s="18"/>
      <c r="ZQ122" s="18"/>
      <c r="ZR122" s="18"/>
      <c r="ZS122" s="18"/>
      <c r="ZT122" s="18"/>
      <c r="ZU122" s="18"/>
      <c r="ZV122" s="18"/>
      <c r="ZW122" s="18"/>
      <c r="ZX122" s="18"/>
      <c r="ZY122" s="18"/>
      <c r="ZZ122" s="18"/>
      <c r="AAA122" s="18"/>
      <c r="AAB122" s="18"/>
      <c r="AAC122" s="18"/>
      <c r="AAD122" s="18"/>
      <c r="AAE122" s="18"/>
      <c r="AAF122" s="18"/>
      <c r="AAG122" s="18"/>
      <c r="AAH122" s="18"/>
      <c r="AAI122" s="18"/>
      <c r="AAJ122" s="18"/>
      <c r="AAK122" s="18"/>
      <c r="AAL122" s="18"/>
      <c r="AAM122" s="18"/>
      <c r="AAN122" s="18"/>
      <c r="AAO122" s="18"/>
      <c r="AAP122" s="18"/>
      <c r="AAQ122" s="18"/>
      <c r="AAR122" s="18"/>
      <c r="AAS122" s="18"/>
      <c r="AAT122" s="18"/>
      <c r="AAU122" s="18"/>
      <c r="AAV122" s="18"/>
      <c r="AAW122" s="18"/>
      <c r="AAX122" s="18"/>
      <c r="AAY122" s="18"/>
      <c r="AAZ122" s="18"/>
      <c r="ABA122" s="18"/>
      <c r="ABB122" s="18"/>
      <c r="ABC122" s="18"/>
      <c r="ABD122" s="18"/>
      <c r="ABE122" s="18"/>
      <c r="ABF122" s="18"/>
      <c r="ABG122" s="18"/>
      <c r="ABH122" s="18"/>
      <c r="ABI122" s="18"/>
      <c r="ABJ122" s="18"/>
      <c r="ABK122" s="18"/>
      <c r="ABL122" s="18"/>
      <c r="ABM122" s="18"/>
      <c r="ABN122" s="18"/>
      <c r="ABO122" s="18"/>
      <c r="ABP122" s="18"/>
      <c r="ABQ122" s="18"/>
      <c r="ABR122" s="18"/>
      <c r="ABS122" s="18"/>
      <c r="ABT122" s="18"/>
      <c r="ABU122" s="18"/>
      <c r="ABV122" s="18"/>
      <c r="ABW122" s="18"/>
      <c r="ABX122" s="18"/>
      <c r="ABY122" s="18"/>
      <c r="ABZ122" s="18"/>
      <c r="ACA122" s="18"/>
      <c r="ACB122" s="18"/>
      <c r="ACC122" s="18"/>
      <c r="ACD122" s="18"/>
      <c r="ACE122" s="18"/>
      <c r="ACF122" s="18"/>
      <c r="ACG122" s="18"/>
      <c r="ACH122" s="18"/>
      <c r="ACI122" s="18"/>
      <c r="ACJ122" s="18"/>
      <c r="ACK122" s="18"/>
      <c r="ACL122" s="18"/>
      <c r="ACM122" s="18"/>
      <c r="ACN122" s="18"/>
      <c r="ACO122" s="18"/>
      <c r="ACP122" s="18"/>
      <c r="ACQ122" s="18"/>
      <c r="ACR122" s="18"/>
      <c r="ACS122" s="18"/>
      <c r="ACT122" s="18"/>
      <c r="ACU122" s="18"/>
      <c r="ACV122" s="18"/>
      <c r="ACW122" s="18"/>
      <c r="ACX122" s="18"/>
      <c r="ACY122" s="18"/>
      <c r="ACZ122" s="18"/>
      <c r="ADA122" s="18"/>
      <c r="ADB122" s="18"/>
      <c r="ADC122" s="18"/>
      <c r="ADD122" s="18"/>
      <c r="ADE122" s="18"/>
      <c r="ADF122" s="18"/>
      <c r="ADG122" s="18"/>
      <c r="ADH122" s="18"/>
      <c r="ADI122" s="18"/>
      <c r="ADJ122" s="18"/>
      <c r="ADK122" s="18"/>
      <c r="ADL122" s="18"/>
      <c r="ADM122" s="18"/>
      <c r="ADN122" s="18"/>
      <c r="ADO122" s="18"/>
      <c r="ADP122" s="18"/>
      <c r="ADQ122" s="18"/>
      <c r="ADR122" s="18"/>
      <c r="ADS122" s="18"/>
      <c r="ADT122" s="18"/>
      <c r="ADU122" s="18"/>
      <c r="ADV122" s="18"/>
      <c r="ADW122" s="18"/>
      <c r="ADX122" s="18"/>
      <c r="ADY122" s="18"/>
      <c r="ADZ122" s="18"/>
      <c r="AEA122" s="18"/>
      <c r="AEB122" s="18"/>
      <c r="AEC122" s="18"/>
      <c r="AED122" s="18"/>
      <c r="AEE122" s="18"/>
      <c r="AEF122" s="18"/>
      <c r="AEG122" s="18"/>
      <c r="AEH122" s="18"/>
      <c r="AEI122" s="18"/>
      <c r="AEJ122" s="18"/>
      <c r="AEK122" s="18"/>
      <c r="AEL122" s="18"/>
      <c r="AEM122" s="18"/>
      <c r="AEN122" s="18"/>
      <c r="AEO122" s="18"/>
      <c r="AEP122" s="18"/>
      <c r="AEQ122" s="18"/>
      <c r="AER122" s="18"/>
      <c r="AES122" s="18"/>
      <c r="AET122" s="18"/>
      <c r="AEU122" s="18"/>
      <c r="AEV122" s="18"/>
      <c r="AEW122" s="18"/>
      <c r="AEX122" s="18"/>
      <c r="AEY122" s="18"/>
      <c r="AEZ122" s="18"/>
      <c r="AFA122" s="18"/>
      <c r="AFB122" s="18"/>
      <c r="AFC122" s="18"/>
      <c r="AFD122" s="18"/>
      <c r="AFE122" s="18"/>
      <c r="AFF122" s="18"/>
      <c r="AFG122" s="18"/>
      <c r="AFH122" s="18"/>
      <c r="AFI122" s="18"/>
      <c r="AFJ122" s="18"/>
      <c r="AFK122" s="18"/>
      <c r="AFL122" s="18"/>
      <c r="AFM122" s="18"/>
      <c r="AFN122" s="18"/>
      <c r="AFO122" s="18"/>
      <c r="AFP122" s="18"/>
      <c r="AFQ122" s="18"/>
      <c r="AFR122" s="18"/>
      <c r="AFS122" s="18"/>
      <c r="AFT122" s="18"/>
      <c r="AFU122" s="18"/>
      <c r="AFV122" s="18"/>
      <c r="AFW122" s="18"/>
      <c r="AFX122" s="18"/>
      <c r="AFY122" s="18"/>
      <c r="AFZ122" s="18"/>
      <c r="AGA122" s="18"/>
      <c r="AGB122" s="18"/>
      <c r="AGC122" s="18"/>
      <c r="AGD122" s="18"/>
      <c r="AGE122" s="18"/>
      <c r="AGF122" s="18"/>
      <c r="AGG122" s="18"/>
      <c r="AGH122" s="18"/>
      <c r="AGI122" s="18"/>
      <c r="AGJ122" s="18"/>
      <c r="AGK122" s="18"/>
      <c r="AGL122" s="18"/>
      <c r="AGM122" s="18"/>
      <c r="AGN122" s="18"/>
      <c r="AGO122" s="18"/>
      <c r="AGP122" s="18"/>
      <c r="AGQ122" s="18"/>
      <c r="AGR122" s="18"/>
      <c r="AGS122" s="18"/>
      <c r="AGT122" s="18"/>
      <c r="AGU122" s="18"/>
      <c r="AGV122" s="18"/>
      <c r="AGW122" s="18"/>
      <c r="AGX122" s="18"/>
      <c r="AGY122" s="18"/>
      <c r="AGZ122" s="18"/>
      <c r="AHA122" s="18"/>
      <c r="AHB122" s="18"/>
      <c r="AHC122" s="18"/>
      <c r="AHD122" s="18"/>
      <c r="AHE122" s="18"/>
      <c r="AHF122" s="18"/>
      <c r="AHG122" s="18"/>
      <c r="AHH122" s="18"/>
      <c r="AHI122" s="18"/>
      <c r="AHJ122" s="18"/>
      <c r="AHK122" s="18"/>
      <c r="AHL122" s="18"/>
      <c r="AHM122" s="18"/>
      <c r="AHN122" s="18"/>
      <c r="AHO122" s="18"/>
      <c r="AHP122" s="18"/>
      <c r="AHQ122" s="18"/>
      <c r="AHR122" s="18"/>
      <c r="AHS122" s="18"/>
      <c r="AHT122" s="18"/>
      <c r="AHU122" s="18"/>
      <c r="AHV122" s="18"/>
      <c r="AHW122" s="18"/>
      <c r="AHX122" s="18"/>
      <c r="AHY122" s="18"/>
      <c r="AHZ122" s="18"/>
      <c r="AIA122" s="18"/>
      <c r="AIB122" s="18"/>
      <c r="AIC122" s="18"/>
      <c r="AID122" s="18"/>
      <c r="AIE122" s="18"/>
      <c r="AIF122" s="18"/>
      <c r="AIG122" s="18"/>
      <c r="AIH122" s="18"/>
      <c r="AII122" s="18"/>
      <c r="AIJ122" s="18"/>
      <c r="AIK122" s="18"/>
      <c r="AIL122" s="18"/>
      <c r="AIM122" s="18"/>
      <c r="AIN122" s="18"/>
      <c r="AIO122" s="18"/>
      <c r="AIP122" s="18"/>
      <c r="AIQ122" s="18"/>
      <c r="AIR122" s="18"/>
      <c r="AIS122" s="18"/>
      <c r="AIT122" s="18"/>
      <c r="AIU122" s="18"/>
      <c r="AIV122" s="18"/>
      <c r="AIW122" s="18"/>
      <c r="AIX122" s="18"/>
      <c r="AIY122" s="18"/>
      <c r="AIZ122" s="18"/>
      <c r="AJA122" s="18"/>
      <c r="AJB122" s="18"/>
      <c r="AJC122" s="18"/>
      <c r="AJD122" s="18"/>
      <c r="AJE122" s="18"/>
      <c r="AJF122" s="18"/>
      <c r="AJG122" s="18"/>
      <c r="AJH122" s="18"/>
      <c r="AJI122" s="18"/>
      <c r="AJJ122" s="18"/>
      <c r="AJK122" s="18"/>
      <c r="AJL122" s="18"/>
      <c r="AJM122" s="18"/>
      <c r="AJN122" s="18"/>
      <c r="AJO122" s="18"/>
      <c r="AJP122" s="18"/>
      <c r="AJQ122" s="18"/>
      <c r="AJR122" s="18"/>
      <c r="AJS122" s="18"/>
      <c r="AJT122" s="18"/>
      <c r="AJU122" s="18"/>
      <c r="AJV122" s="18"/>
      <c r="AJW122" s="18"/>
      <c r="AJX122" s="18"/>
      <c r="AJY122" s="18"/>
      <c r="AJZ122" s="18"/>
      <c r="AKA122" s="18"/>
      <c r="AKB122" s="18"/>
      <c r="AKC122" s="18"/>
      <c r="AKD122" s="18"/>
      <c r="AKE122" s="18"/>
      <c r="AKF122" s="18"/>
      <c r="AKG122" s="18"/>
      <c r="AKH122" s="18"/>
      <c r="AKI122" s="18"/>
      <c r="AKJ122" s="18"/>
      <c r="AKK122" s="18"/>
      <c r="AKL122" s="18"/>
      <c r="AKM122" s="18"/>
      <c r="AKN122" s="18"/>
      <c r="AKO122" s="18"/>
      <c r="AKP122" s="18"/>
      <c r="AKQ122" s="18"/>
      <c r="AKR122" s="18"/>
      <c r="AKS122" s="18"/>
      <c r="AKT122" s="18"/>
      <c r="AKU122" s="18"/>
      <c r="AKV122" s="18"/>
      <c r="AKW122" s="18"/>
      <c r="AKX122" s="18"/>
      <c r="AKY122" s="18"/>
      <c r="AKZ122" s="18"/>
      <c r="ALA122" s="18"/>
      <c r="ALB122" s="18"/>
      <c r="ALC122" s="18"/>
      <c r="ALD122" s="18"/>
      <c r="ALE122" s="18"/>
      <c r="ALF122" s="18"/>
      <c r="ALG122" s="18"/>
      <c r="ALH122" s="18"/>
      <c r="ALI122" s="18"/>
      <c r="ALJ122" s="18"/>
      <c r="ALK122" s="18"/>
      <c r="ALL122" s="18"/>
      <c r="ALM122" s="18"/>
      <c r="ALN122" s="18"/>
      <c r="ALO122" s="18"/>
      <c r="ALP122" s="18"/>
      <c r="ALQ122" s="18"/>
      <c r="ALR122" s="18"/>
      <c r="ALS122" s="18"/>
      <c r="ALT122" s="18"/>
      <c r="ALU122" s="18"/>
      <c r="ALV122" s="18"/>
      <c r="ALW122" s="18"/>
      <c r="ALX122" s="18"/>
      <c r="ALY122" s="18"/>
      <c r="ALZ122" s="18"/>
      <c r="AMA122" s="18"/>
      <c r="AMB122" s="18"/>
      <c r="AMC122" s="18"/>
      <c r="AMD122" s="18"/>
      <c r="AME122" s="18"/>
      <c r="AMF122" s="18"/>
      <c r="AMG122" s="18"/>
      <c r="AMH122" s="18"/>
    </row>
    <row r="123" spans="1:1022" s="23" customFormat="1" x14ac:dyDescent="0.3">
      <c r="A123" s="33">
        <v>219</v>
      </c>
      <c r="B123" s="19"/>
      <c r="C123" s="19"/>
      <c r="D123" s="34"/>
      <c r="E123" s="34"/>
      <c r="F123" s="19"/>
      <c r="G123" s="19"/>
      <c r="H123" s="18"/>
      <c r="I123" s="31"/>
      <c r="J123" s="31"/>
      <c r="K123" s="31"/>
      <c r="L123" s="31"/>
      <c r="M123" s="32"/>
      <c r="N123" s="32"/>
      <c r="O123" s="18"/>
      <c r="P123" s="36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18"/>
      <c r="BK123" s="18"/>
      <c r="BL123" s="18"/>
      <c r="BM123" s="18"/>
      <c r="BN123" s="18"/>
      <c r="BO123" s="18"/>
      <c r="BP123" s="18"/>
      <c r="BQ123" s="18"/>
      <c r="BR123" s="18"/>
      <c r="BS123" s="18"/>
      <c r="BT123" s="18"/>
      <c r="BU123" s="18"/>
      <c r="BV123" s="18"/>
      <c r="BW123" s="18"/>
      <c r="BX123" s="18"/>
      <c r="BY123" s="18"/>
      <c r="BZ123" s="18"/>
      <c r="CA123" s="18"/>
      <c r="CB123" s="18"/>
      <c r="CC123" s="18"/>
      <c r="CD123" s="18"/>
      <c r="CE123" s="18"/>
      <c r="CF123" s="18"/>
      <c r="CG123" s="18"/>
      <c r="CH123" s="18"/>
      <c r="CI123" s="18"/>
      <c r="CJ123" s="18"/>
      <c r="CK123" s="18"/>
      <c r="CL123" s="18"/>
      <c r="CM123" s="18"/>
      <c r="CN123" s="18"/>
      <c r="CO123" s="18"/>
      <c r="CP123" s="18"/>
      <c r="CQ123" s="18"/>
      <c r="CR123" s="18"/>
      <c r="CS123" s="18"/>
      <c r="CT123" s="18"/>
      <c r="CU123" s="18"/>
      <c r="CV123" s="18"/>
      <c r="CW123" s="18"/>
      <c r="CX123" s="18"/>
      <c r="CY123" s="18"/>
      <c r="CZ123" s="18"/>
      <c r="DA123" s="18"/>
      <c r="DB123" s="18"/>
      <c r="DC123" s="18"/>
      <c r="DD123" s="18"/>
      <c r="DE123" s="18"/>
      <c r="DF123" s="18"/>
      <c r="DG123" s="18"/>
      <c r="DH123" s="18"/>
      <c r="DI123" s="18"/>
      <c r="DJ123" s="18"/>
      <c r="DK123" s="18"/>
      <c r="DL123" s="18"/>
      <c r="DM123" s="18"/>
      <c r="DN123" s="18"/>
      <c r="DO123" s="18"/>
      <c r="DP123" s="18"/>
      <c r="DQ123" s="18"/>
      <c r="DR123" s="18"/>
      <c r="DS123" s="18"/>
      <c r="DT123" s="18"/>
      <c r="DU123" s="18"/>
      <c r="DV123" s="18"/>
      <c r="DW123" s="18"/>
      <c r="DX123" s="18"/>
      <c r="DY123" s="18"/>
      <c r="DZ123" s="18"/>
      <c r="EA123" s="18"/>
      <c r="EB123" s="18"/>
      <c r="EC123" s="18"/>
      <c r="ED123" s="18"/>
      <c r="EE123" s="18"/>
      <c r="EF123" s="18"/>
      <c r="EG123" s="18"/>
      <c r="EH123" s="18"/>
      <c r="EI123" s="18"/>
      <c r="EJ123" s="18"/>
      <c r="EK123" s="18"/>
      <c r="EL123" s="18"/>
      <c r="EM123" s="18"/>
      <c r="EN123" s="18"/>
      <c r="EO123" s="18"/>
      <c r="EP123" s="18"/>
      <c r="EQ123" s="18"/>
      <c r="ER123" s="18"/>
      <c r="ES123" s="18"/>
      <c r="ET123" s="18"/>
      <c r="EU123" s="18"/>
      <c r="EV123" s="18"/>
      <c r="EW123" s="18"/>
      <c r="EX123" s="18"/>
      <c r="EY123" s="18"/>
      <c r="EZ123" s="18"/>
      <c r="FA123" s="18"/>
      <c r="FB123" s="18"/>
      <c r="FC123" s="18"/>
      <c r="FD123" s="18"/>
      <c r="FE123" s="18"/>
      <c r="FF123" s="18"/>
      <c r="FG123" s="18"/>
      <c r="FH123" s="18"/>
      <c r="FI123" s="18"/>
      <c r="FJ123" s="18"/>
      <c r="FK123" s="18"/>
      <c r="FL123" s="18"/>
      <c r="FM123" s="18"/>
      <c r="FN123" s="18"/>
      <c r="FO123" s="18"/>
      <c r="FP123" s="18"/>
      <c r="FQ123" s="18"/>
      <c r="FR123" s="18"/>
      <c r="FS123" s="18"/>
      <c r="FT123" s="18"/>
      <c r="FU123" s="18"/>
      <c r="FV123" s="18"/>
      <c r="FW123" s="18"/>
      <c r="FX123" s="18"/>
      <c r="FY123" s="18"/>
      <c r="FZ123" s="18"/>
      <c r="GA123" s="18"/>
      <c r="GB123" s="18"/>
      <c r="GC123" s="18"/>
      <c r="GD123" s="18"/>
      <c r="GE123" s="18"/>
      <c r="GF123" s="18"/>
      <c r="GG123" s="18"/>
      <c r="GH123" s="18"/>
      <c r="GI123" s="18"/>
      <c r="GJ123" s="18"/>
      <c r="GK123" s="18"/>
      <c r="GL123" s="18"/>
      <c r="GM123" s="18"/>
      <c r="GN123" s="18"/>
      <c r="GO123" s="18"/>
      <c r="GP123" s="18"/>
      <c r="GQ123" s="18"/>
      <c r="GR123" s="18"/>
      <c r="GS123" s="18"/>
      <c r="GT123" s="18"/>
      <c r="GU123" s="18"/>
      <c r="GV123" s="18"/>
      <c r="GW123" s="18"/>
      <c r="GX123" s="18"/>
      <c r="GY123" s="18"/>
      <c r="GZ123" s="18"/>
      <c r="HA123" s="18"/>
      <c r="HB123" s="18"/>
      <c r="HC123" s="18"/>
      <c r="HD123" s="18"/>
      <c r="HE123" s="18"/>
      <c r="HF123" s="18"/>
      <c r="HG123" s="18"/>
      <c r="HH123" s="18"/>
      <c r="HI123" s="18"/>
      <c r="HJ123" s="18"/>
      <c r="HK123" s="18"/>
      <c r="HL123" s="18"/>
      <c r="HM123" s="18"/>
      <c r="HN123" s="18"/>
      <c r="HO123" s="18"/>
      <c r="HP123" s="18"/>
      <c r="HQ123" s="18"/>
      <c r="HR123" s="18"/>
      <c r="HS123" s="18"/>
      <c r="HT123" s="18"/>
      <c r="HU123" s="18"/>
      <c r="HV123" s="18"/>
      <c r="HW123" s="18"/>
      <c r="HX123" s="18"/>
      <c r="HY123" s="18"/>
      <c r="HZ123" s="18"/>
      <c r="IA123" s="18"/>
      <c r="IB123" s="18"/>
      <c r="IC123" s="18"/>
      <c r="ID123" s="18"/>
      <c r="IE123" s="18"/>
      <c r="IF123" s="18"/>
      <c r="IG123" s="18"/>
      <c r="IH123" s="18"/>
      <c r="II123" s="18"/>
      <c r="IJ123" s="18"/>
      <c r="IK123" s="18"/>
      <c r="IL123" s="18"/>
      <c r="IM123" s="18"/>
      <c r="IN123" s="18"/>
      <c r="IO123" s="18"/>
      <c r="IP123" s="18"/>
      <c r="IQ123" s="18"/>
      <c r="IR123" s="18"/>
      <c r="IS123" s="18"/>
      <c r="IT123" s="18"/>
      <c r="IU123" s="18"/>
      <c r="IV123" s="18"/>
      <c r="IW123" s="18"/>
      <c r="IX123" s="18"/>
      <c r="IY123" s="18"/>
      <c r="IZ123" s="18"/>
      <c r="JA123" s="18"/>
      <c r="JB123" s="18"/>
      <c r="JC123" s="18"/>
      <c r="JD123" s="18"/>
      <c r="JE123" s="18"/>
      <c r="JF123" s="18"/>
      <c r="JG123" s="18"/>
      <c r="JH123" s="18"/>
      <c r="JI123" s="18"/>
      <c r="JJ123" s="18"/>
      <c r="JK123" s="18"/>
      <c r="JL123" s="18"/>
      <c r="JM123" s="18"/>
      <c r="JN123" s="18"/>
      <c r="JO123" s="18"/>
      <c r="JP123" s="18"/>
      <c r="JQ123" s="18"/>
      <c r="JR123" s="18"/>
      <c r="JS123" s="18"/>
      <c r="JT123" s="18"/>
      <c r="JU123" s="18"/>
      <c r="JV123" s="18"/>
      <c r="JW123" s="18"/>
      <c r="JX123" s="18"/>
      <c r="JY123" s="18"/>
      <c r="JZ123" s="18"/>
      <c r="KA123" s="18"/>
      <c r="KB123" s="18"/>
      <c r="KC123" s="18"/>
      <c r="KD123" s="18"/>
      <c r="KE123" s="18"/>
      <c r="KF123" s="18"/>
      <c r="KG123" s="18"/>
      <c r="KH123" s="18"/>
      <c r="KI123" s="18"/>
      <c r="KJ123" s="18"/>
      <c r="KK123" s="18"/>
      <c r="KL123" s="18"/>
      <c r="KM123" s="18"/>
      <c r="KN123" s="18"/>
      <c r="KO123" s="18"/>
      <c r="KP123" s="18"/>
      <c r="KQ123" s="18"/>
      <c r="KR123" s="18"/>
      <c r="KS123" s="18"/>
      <c r="KT123" s="18"/>
      <c r="KU123" s="18"/>
      <c r="KV123" s="18"/>
      <c r="KW123" s="18"/>
      <c r="KX123" s="18"/>
      <c r="KY123" s="18"/>
      <c r="KZ123" s="18"/>
      <c r="LA123" s="18"/>
      <c r="LB123" s="18"/>
      <c r="LC123" s="18"/>
      <c r="LD123" s="18"/>
      <c r="LE123" s="18"/>
      <c r="LF123" s="18"/>
      <c r="LG123" s="18"/>
      <c r="LH123" s="18"/>
      <c r="LI123" s="18"/>
      <c r="LJ123" s="18"/>
      <c r="LK123" s="18"/>
      <c r="LL123" s="18"/>
      <c r="LM123" s="18"/>
      <c r="LN123" s="18"/>
      <c r="LO123" s="18"/>
      <c r="LP123" s="18"/>
      <c r="LQ123" s="18"/>
      <c r="LR123" s="18"/>
      <c r="LS123" s="18"/>
      <c r="LT123" s="18"/>
      <c r="LU123" s="18"/>
      <c r="LV123" s="18"/>
      <c r="LW123" s="18"/>
      <c r="LX123" s="18"/>
      <c r="LY123" s="18"/>
      <c r="LZ123" s="18"/>
      <c r="MA123" s="18"/>
      <c r="MB123" s="18"/>
      <c r="MC123" s="18"/>
      <c r="MD123" s="18"/>
      <c r="ME123" s="18"/>
      <c r="MF123" s="18"/>
      <c r="MG123" s="18"/>
      <c r="MH123" s="18"/>
      <c r="MI123" s="18"/>
      <c r="MJ123" s="18"/>
      <c r="MK123" s="18"/>
      <c r="ML123" s="18"/>
      <c r="MM123" s="18"/>
      <c r="MN123" s="18"/>
      <c r="MO123" s="18"/>
      <c r="MP123" s="18"/>
      <c r="MQ123" s="18"/>
      <c r="MR123" s="18"/>
      <c r="MS123" s="18"/>
      <c r="MT123" s="18"/>
      <c r="MU123" s="18"/>
      <c r="MV123" s="18"/>
      <c r="MW123" s="18"/>
      <c r="MX123" s="18"/>
      <c r="MY123" s="18"/>
      <c r="MZ123" s="18"/>
      <c r="NA123" s="18"/>
      <c r="NB123" s="18"/>
      <c r="NC123" s="18"/>
      <c r="ND123" s="18"/>
      <c r="NE123" s="18"/>
      <c r="NF123" s="18"/>
      <c r="NG123" s="18"/>
      <c r="NH123" s="18"/>
      <c r="NI123" s="18"/>
      <c r="NJ123" s="18"/>
      <c r="NK123" s="18"/>
      <c r="NL123" s="18"/>
      <c r="NM123" s="18"/>
      <c r="NN123" s="18"/>
      <c r="NO123" s="18"/>
      <c r="NP123" s="18"/>
      <c r="NQ123" s="18"/>
      <c r="NR123" s="18"/>
      <c r="NS123" s="18"/>
      <c r="NT123" s="18"/>
      <c r="NU123" s="18"/>
      <c r="NV123" s="18"/>
      <c r="NW123" s="18"/>
      <c r="NX123" s="18"/>
      <c r="NY123" s="18"/>
      <c r="NZ123" s="18"/>
      <c r="OA123" s="18"/>
      <c r="OB123" s="18"/>
      <c r="OC123" s="18"/>
      <c r="OD123" s="18"/>
      <c r="OE123" s="18"/>
      <c r="OF123" s="18"/>
      <c r="OG123" s="18"/>
      <c r="OH123" s="18"/>
      <c r="OI123" s="18"/>
      <c r="OJ123" s="18"/>
      <c r="OK123" s="18"/>
      <c r="OL123" s="18"/>
      <c r="OM123" s="18"/>
      <c r="ON123" s="18"/>
      <c r="OO123" s="18"/>
      <c r="OP123" s="18"/>
      <c r="OQ123" s="18"/>
      <c r="OR123" s="18"/>
      <c r="OS123" s="18"/>
      <c r="OT123" s="18"/>
      <c r="OU123" s="18"/>
      <c r="OV123" s="18"/>
      <c r="OW123" s="18"/>
      <c r="OX123" s="18"/>
      <c r="OY123" s="18"/>
      <c r="OZ123" s="18"/>
      <c r="PA123" s="18"/>
      <c r="PB123" s="18"/>
      <c r="PC123" s="18"/>
      <c r="PD123" s="18"/>
      <c r="PE123" s="18"/>
      <c r="PF123" s="18"/>
      <c r="PG123" s="18"/>
      <c r="PH123" s="18"/>
      <c r="PI123" s="18"/>
      <c r="PJ123" s="18"/>
      <c r="PK123" s="18"/>
      <c r="PL123" s="18"/>
      <c r="PM123" s="18"/>
      <c r="PN123" s="18"/>
      <c r="PO123" s="18"/>
      <c r="PP123" s="18"/>
      <c r="PQ123" s="18"/>
      <c r="PR123" s="18"/>
      <c r="PS123" s="18"/>
      <c r="PT123" s="18"/>
      <c r="PU123" s="18"/>
      <c r="PV123" s="18"/>
      <c r="PW123" s="18"/>
      <c r="PX123" s="18"/>
      <c r="PY123" s="18"/>
      <c r="PZ123" s="18"/>
      <c r="QA123" s="18"/>
      <c r="QB123" s="18"/>
      <c r="QC123" s="18"/>
      <c r="QD123" s="18"/>
      <c r="QE123" s="18"/>
      <c r="QF123" s="18"/>
      <c r="QG123" s="18"/>
      <c r="QH123" s="18"/>
      <c r="QI123" s="18"/>
      <c r="QJ123" s="18"/>
      <c r="QK123" s="18"/>
      <c r="QL123" s="18"/>
      <c r="QM123" s="18"/>
      <c r="QN123" s="18"/>
      <c r="QO123" s="18"/>
      <c r="QP123" s="18"/>
      <c r="QQ123" s="18"/>
      <c r="QR123" s="18"/>
      <c r="QS123" s="18"/>
      <c r="QT123" s="18"/>
      <c r="QU123" s="18"/>
      <c r="QV123" s="18"/>
      <c r="QW123" s="18"/>
      <c r="QX123" s="18"/>
      <c r="QY123" s="18"/>
      <c r="QZ123" s="18"/>
      <c r="RA123" s="18"/>
      <c r="RB123" s="18"/>
      <c r="RC123" s="18"/>
      <c r="RD123" s="18"/>
      <c r="RE123" s="18"/>
      <c r="RF123" s="18"/>
      <c r="RG123" s="18"/>
      <c r="RH123" s="18"/>
      <c r="RI123" s="18"/>
      <c r="RJ123" s="18"/>
      <c r="RK123" s="18"/>
      <c r="RL123" s="18"/>
      <c r="RM123" s="18"/>
      <c r="RN123" s="18"/>
      <c r="RO123" s="18"/>
      <c r="RP123" s="18"/>
      <c r="RQ123" s="18"/>
      <c r="RR123" s="18"/>
      <c r="RS123" s="18"/>
      <c r="RT123" s="18"/>
      <c r="RU123" s="18"/>
      <c r="RV123" s="18"/>
      <c r="RW123" s="18"/>
      <c r="RX123" s="18"/>
      <c r="RY123" s="18"/>
      <c r="RZ123" s="18"/>
      <c r="SA123" s="18"/>
      <c r="SB123" s="18"/>
      <c r="SC123" s="18"/>
      <c r="SD123" s="18"/>
      <c r="SE123" s="18"/>
      <c r="SF123" s="18"/>
      <c r="SG123" s="18"/>
      <c r="SH123" s="18"/>
      <c r="SI123" s="18"/>
      <c r="SJ123" s="18"/>
      <c r="SK123" s="18"/>
      <c r="SL123" s="18"/>
      <c r="SM123" s="18"/>
      <c r="SN123" s="18"/>
      <c r="SO123" s="18"/>
      <c r="SP123" s="18"/>
      <c r="SQ123" s="18"/>
      <c r="SR123" s="18"/>
      <c r="SS123" s="18"/>
      <c r="ST123" s="18"/>
      <c r="SU123" s="18"/>
      <c r="SV123" s="18"/>
      <c r="SW123" s="18"/>
      <c r="SX123" s="18"/>
      <c r="SY123" s="18"/>
      <c r="SZ123" s="18"/>
      <c r="TA123" s="18"/>
      <c r="TB123" s="18"/>
      <c r="TC123" s="18"/>
      <c r="TD123" s="18"/>
      <c r="TE123" s="18"/>
      <c r="TF123" s="18"/>
      <c r="TG123" s="18"/>
      <c r="TH123" s="18"/>
      <c r="TI123" s="18"/>
      <c r="TJ123" s="18"/>
      <c r="TK123" s="18"/>
      <c r="TL123" s="18"/>
      <c r="TM123" s="18"/>
      <c r="TN123" s="18"/>
      <c r="TO123" s="18"/>
      <c r="TP123" s="18"/>
      <c r="TQ123" s="18"/>
      <c r="TR123" s="18"/>
      <c r="TS123" s="18"/>
      <c r="TT123" s="18"/>
      <c r="TU123" s="18"/>
      <c r="TV123" s="18"/>
      <c r="TW123" s="18"/>
      <c r="TX123" s="18"/>
      <c r="TY123" s="18"/>
      <c r="TZ123" s="18"/>
      <c r="UA123" s="18"/>
      <c r="UB123" s="18"/>
      <c r="UC123" s="18"/>
      <c r="UD123" s="18"/>
      <c r="UE123" s="18"/>
      <c r="UF123" s="18"/>
      <c r="UG123" s="18"/>
      <c r="UH123" s="18"/>
      <c r="UI123" s="18"/>
      <c r="UJ123" s="18"/>
      <c r="UK123" s="18"/>
      <c r="UL123" s="18"/>
      <c r="UM123" s="18"/>
      <c r="UN123" s="18"/>
      <c r="UO123" s="18"/>
      <c r="UP123" s="18"/>
      <c r="UQ123" s="18"/>
      <c r="UR123" s="18"/>
      <c r="US123" s="18"/>
      <c r="UT123" s="18"/>
      <c r="UU123" s="18"/>
      <c r="UV123" s="18"/>
      <c r="UW123" s="18"/>
      <c r="UX123" s="18"/>
      <c r="UY123" s="18"/>
      <c r="UZ123" s="18"/>
      <c r="VA123" s="18"/>
      <c r="VB123" s="18"/>
      <c r="VC123" s="18"/>
      <c r="VD123" s="18"/>
      <c r="VE123" s="18"/>
      <c r="VF123" s="18"/>
      <c r="VG123" s="18"/>
      <c r="VH123" s="18"/>
      <c r="VI123" s="18"/>
      <c r="VJ123" s="18"/>
      <c r="VK123" s="18"/>
      <c r="VL123" s="18"/>
      <c r="VM123" s="18"/>
      <c r="VN123" s="18"/>
      <c r="VO123" s="18"/>
      <c r="VP123" s="18"/>
      <c r="VQ123" s="18"/>
      <c r="VR123" s="18"/>
      <c r="VS123" s="18"/>
      <c r="VT123" s="18"/>
      <c r="VU123" s="18"/>
      <c r="VV123" s="18"/>
      <c r="VW123" s="18"/>
      <c r="VX123" s="18"/>
      <c r="VY123" s="18"/>
      <c r="VZ123" s="18"/>
      <c r="WA123" s="18"/>
      <c r="WB123" s="18"/>
      <c r="WC123" s="18"/>
      <c r="WD123" s="18"/>
      <c r="WE123" s="18"/>
      <c r="WF123" s="18"/>
      <c r="WG123" s="18"/>
      <c r="WH123" s="18"/>
      <c r="WI123" s="18"/>
      <c r="WJ123" s="18"/>
      <c r="WK123" s="18"/>
      <c r="WL123" s="18"/>
      <c r="WM123" s="18"/>
      <c r="WN123" s="18"/>
      <c r="WO123" s="18"/>
      <c r="WP123" s="18"/>
      <c r="WQ123" s="18"/>
      <c r="WR123" s="18"/>
      <c r="WS123" s="18"/>
      <c r="WT123" s="18"/>
      <c r="WU123" s="18"/>
      <c r="WV123" s="18"/>
      <c r="WW123" s="18"/>
      <c r="WX123" s="18"/>
      <c r="WY123" s="18"/>
      <c r="WZ123" s="18"/>
      <c r="XA123" s="18"/>
      <c r="XB123" s="18"/>
      <c r="XC123" s="18"/>
      <c r="XD123" s="18"/>
      <c r="XE123" s="18"/>
      <c r="XF123" s="18"/>
      <c r="XG123" s="18"/>
      <c r="XH123" s="18"/>
      <c r="XI123" s="18"/>
      <c r="XJ123" s="18"/>
      <c r="XK123" s="18"/>
      <c r="XL123" s="18"/>
      <c r="XM123" s="18"/>
      <c r="XN123" s="18"/>
      <c r="XO123" s="18"/>
      <c r="XP123" s="18"/>
      <c r="XQ123" s="18"/>
      <c r="XR123" s="18"/>
      <c r="XS123" s="18"/>
      <c r="XT123" s="18"/>
      <c r="XU123" s="18"/>
      <c r="XV123" s="18"/>
      <c r="XW123" s="18"/>
      <c r="XX123" s="18"/>
      <c r="XY123" s="18"/>
      <c r="XZ123" s="18"/>
      <c r="YA123" s="18"/>
      <c r="YB123" s="18"/>
      <c r="YC123" s="18"/>
      <c r="YD123" s="18"/>
      <c r="YE123" s="18"/>
      <c r="YF123" s="18"/>
      <c r="YG123" s="18"/>
      <c r="YH123" s="18"/>
      <c r="YI123" s="18"/>
      <c r="YJ123" s="18"/>
      <c r="YK123" s="18"/>
      <c r="YL123" s="18"/>
      <c r="YM123" s="18"/>
      <c r="YN123" s="18"/>
      <c r="YO123" s="18"/>
      <c r="YP123" s="18"/>
      <c r="YQ123" s="18"/>
      <c r="YR123" s="18"/>
      <c r="YS123" s="18"/>
      <c r="YT123" s="18"/>
      <c r="YU123" s="18"/>
      <c r="YV123" s="18"/>
      <c r="YW123" s="18"/>
      <c r="YX123" s="18"/>
      <c r="YY123" s="18"/>
      <c r="YZ123" s="18"/>
      <c r="ZA123" s="18"/>
      <c r="ZB123" s="18"/>
      <c r="ZC123" s="18"/>
      <c r="ZD123" s="18"/>
      <c r="ZE123" s="18"/>
      <c r="ZF123" s="18"/>
      <c r="ZG123" s="18"/>
      <c r="ZH123" s="18"/>
      <c r="ZI123" s="18"/>
      <c r="ZJ123" s="18"/>
      <c r="ZK123" s="18"/>
      <c r="ZL123" s="18"/>
      <c r="ZM123" s="18"/>
      <c r="ZN123" s="18"/>
      <c r="ZO123" s="18"/>
      <c r="ZP123" s="18"/>
      <c r="ZQ123" s="18"/>
      <c r="ZR123" s="18"/>
      <c r="ZS123" s="18"/>
      <c r="ZT123" s="18"/>
      <c r="ZU123" s="18"/>
      <c r="ZV123" s="18"/>
      <c r="ZW123" s="18"/>
      <c r="ZX123" s="18"/>
      <c r="ZY123" s="18"/>
      <c r="ZZ123" s="18"/>
      <c r="AAA123" s="18"/>
      <c r="AAB123" s="18"/>
      <c r="AAC123" s="18"/>
      <c r="AAD123" s="18"/>
      <c r="AAE123" s="18"/>
      <c r="AAF123" s="18"/>
      <c r="AAG123" s="18"/>
      <c r="AAH123" s="18"/>
      <c r="AAI123" s="18"/>
      <c r="AAJ123" s="18"/>
      <c r="AAK123" s="18"/>
      <c r="AAL123" s="18"/>
      <c r="AAM123" s="18"/>
      <c r="AAN123" s="18"/>
      <c r="AAO123" s="18"/>
      <c r="AAP123" s="18"/>
      <c r="AAQ123" s="18"/>
      <c r="AAR123" s="18"/>
      <c r="AAS123" s="18"/>
      <c r="AAT123" s="18"/>
      <c r="AAU123" s="18"/>
      <c r="AAV123" s="18"/>
      <c r="AAW123" s="18"/>
      <c r="AAX123" s="18"/>
      <c r="AAY123" s="18"/>
      <c r="AAZ123" s="18"/>
      <c r="ABA123" s="18"/>
      <c r="ABB123" s="18"/>
      <c r="ABC123" s="18"/>
      <c r="ABD123" s="18"/>
      <c r="ABE123" s="18"/>
      <c r="ABF123" s="18"/>
      <c r="ABG123" s="18"/>
      <c r="ABH123" s="18"/>
      <c r="ABI123" s="18"/>
      <c r="ABJ123" s="18"/>
      <c r="ABK123" s="18"/>
      <c r="ABL123" s="18"/>
      <c r="ABM123" s="18"/>
      <c r="ABN123" s="18"/>
      <c r="ABO123" s="18"/>
      <c r="ABP123" s="18"/>
      <c r="ABQ123" s="18"/>
      <c r="ABR123" s="18"/>
      <c r="ABS123" s="18"/>
      <c r="ABT123" s="18"/>
      <c r="ABU123" s="18"/>
      <c r="ABV123" s="18"/>
      <c r="ABW123" s="18"/>
      <c r="ABX123" s="18"/>
      <c r="ABY123" s="18"/>
      <c r="ABZ123" s="18"/>
      <c r="ACA123" s="18"/>
      <c r="ACB123" s="18"/>
      <c r="ACC123" s="18"/>
      <c r="ACD123" s="18"/>
      <c r="ACE123" s="18"/>
      <c r="ACF123" s="18"/>
      <c r="ACG123" s="18"/>
      <c r="ACH123" s="18"/>
      <c r="ACI123" s="18"/>
      <c r="ACJ123" s="18"/>
      <c r="ACK123" s="18"/>
      <c r="ACL123" s="18"/>
      <c r="ACM123" s="18"/>
      <c r="ACN123" s="18"/>
      <c r="ACO123" s="18"/>
      <c r="ACP123" s="18"/>
      <c r="ACQ123" s="18"/>
      <c r="ACR123" s="18"/>
      <c r="ACS123" s="18"/>
      <c r="ACT123" s="18"/>
      <c r="ACU123" s="18"/>
      <c r="ACV123" s="18"/>
      <c r="ACW123" s="18"/>
      <c r="ACX123" s="18"/>
      <c r="ACY123" s="18"/>
      <c r="ACZ123" s="18"/>
      <c r="ADA123" s="18"/>
      <c r="ADB123" s="18"/>
      <c r="ADC123" s="18"/>
      <c r="ADD123" s="18"/>
      <c r="ADE123" s="18"/>
      <c r="ADF123" s="18"/>
      <c r="ADG123" s="18"/>
      <c r="ADH123" s="18"/>
      <c r="ADI123" s="18"/>
      <c r="ADJ123" s="18"/>
      <c r="ADK123" s="18"/>
      <c r="ADL123" s="18"/>
      <c r="ADM123" s="18"/>
      <c r="ADN123" s="18"/>
      <c r="ADO123" s="18"/>
      <c r="ADP123" s="18"/>
      <c r="ADQ123" s="18"/>
      <c r="ADR123" s="18"/>
      <c r="ADS123" s="18"/>
      <c r="ADT123" s="18"/>
      <c r="ADU123" s="18"/>
      <c r="ADV123" s="18"/>
      <c r="ADW123" s="18"/>
      <c r="ADX123" s="18"/>
      <c r="ADY123" s="18"/>
      <c r="ADZ123" s="18"/>
      <c r="AEA123" s="18"/>
      <c r="AEB123" s="18"/>
      <c r="AEC123" s="18"/>
      <c r="AED123" s="18"/>
      <c r="AEE123" s="18"/>
      <c r="AEF123" s="18"/>
      <c r="AEG123" s="18"/>
      <c r="AEH123" s="18"/>
      <c r="AEI123" s="18"/>
      <c r="AEJ123" s="18"/>
      <c r="AEK123" s="18"/>
      <c r="AEL123" s="18"/>
      <c r="AEM123" s="18"/>
      <c r="AEN123" s="18"/>
      <c r="AEO123" s="18"/>
      <c r="AEP123" s="18"/>
      <c r="AEQ123" s="18"/>
      <c r="AER123" s="18"/>
      <c r="AES123" s="18"/>
      <c r="AET123" s="18"/>
      <c r="AEU123" s="18"/>
      <c r="AEV123" s="18"/>
      <c r="AEW123" s="18"/>
      <c r="AEX123" s="18"/>
      <c r="AEY123" s="18"/>
      <c r="AEZ123" s="18"/>
      <c r="AFA123" s="18"/>
      <c r="AFB123" s="18"/>
      <c r="AFC123" s="18"/>
      <c r="AFD123" s="18"/>
      <c r="AFE123" s="18"/>
      <c r="AFF123" s="18"/>
      <c r="AFG123" s="18"/>
      <c r="AFH123" s="18"/>
      <c r="AFI123" s="18"/>
      <c r="AFJ123" s="18"/>
      <c r="AFK123" s="18"/>
      <c r="AFL123" s="18"/>
      <c r="AFM123" s="18"/>
      <c r="AFN123" s="18"/>
      <c r="AFO123" s="18"/>
      <c r="AFP123" s="18"/>
      <c r="AFQ123" s="18"/>
      <c r="AFR123" s="18"/>
      <c r="AFS123" s="18"/>
      <c r="AFT123" s="18"/>
      <c r="AFU123" s="18"/>
      <c r="AFV123" s="18"/>
      <c r="AFW123" s="18"/>
      <c r="AFX123" s="18"/>
      <c r="AFY123" s="18"/>
      <c r="AFZ123" s="18"/>
      <c r="AGA123" s="18"/>
      <c r="AGB123" s="18"/>
      <c r="AGC123" s="18"/>
      <c r="AGD123" s="18"/>
      <c r="AGE123" s="18"/>
      <c r="AGF123" s="18"/>
      <c r="AGG123" s="18"/>
      <c r="AGH123" s="18"/>
      <c r="AGI123" s="18"/>
      <c r="AGJ123" s="18"/>
      <c r="AGK123" s="18"/>
      <c r="AGL123" s="18"/>
      <c r="AGM123" s="18"/>
      <c r="AGN123" s="18"/>
      <c r="AGO123" s="18"/>
      <c r="AGP123" s="18"/>
      <c r="AGQ123" s="18"/>
      <c r="AGR123" s="18"/>
      <c r="AGS123" s="18"/>
      <c r="AGT123" s="18"/>
      <c r="AGU123" s="18"/>
      <c r="AGV123" s="18"/>
      <c r="AGW123" s="18"/>
      <c r="AGX123" s="18"/>
      <c r="AGY123" s="18"/>
      <c r="AGZ123" s="18"/>
      <c r="AHA123" s="18"/>
      <c r="AHB123" s="18"/>
      <c r="AHC123" s="18"/>
      <c r="AHD123" s="18"/>
      <c r="AHE123" s="18"/>
      <c r="AHF123" s="18"/>
      <c r="AHG123" s="18"/>
      <c r="AHH123" s="18"/>
      <c r="AHI123" s="18"/>
      <c r="AHJ123" s="18"/>
      <c r="AHK123" s="18"/>
      <c r="AHL123" s="18"/>
      <c r="AHM123" s="18"/>
      <c r="AHN123" s="18"/>
      <c r="AHO123" s="18"/>
      <c r="AHP123" s="18"/>
      <c r="AHQ123" s="18"/>
      <c r="AHR123" s="18"/>
      <c r="AHS123" s="18"/>
      <c r="AHT123" s="18"/>
      <c r="AHU123" s="18"/>
      <c r="AHV123" s="18"/>
      <c r="AHW123" s="18"/>
      <c r="AHX123" s="18"/>
      <c r="AHY123" s="18"/>
      <c r="AHZ123" s="18"/>
      <c r="AIA123" s="18"/>
      <c r="AIB123" s="18"/>
      <c r="AIC123" s="18"/>
      <c r="AID123" s="18"/>
      <c r="AIE123" s="18"/>
      <c r="AIF123" s="18"/>
      <c r="AIG123" s="18"/>
      <c r="AIH123" s="18"/>
      <c r="AII123" s="18"/>
      <c r="AIJ123" s="18"/>
      <c r="AIK123" s="18"/>
      <c r="AIL123" s="18"/>
      <c r="AIM123" s="18"/>
      <c r="AIN123" s="18"/>
      <c r="AIO123" s="18"/>
      <c r="AIP123" s="18"/>
      <c r="AIQ123" s="18"/>
      <c r="AIR123" s="18"/>
      <c r="AIS123" s="18"/>
      <c r="AIT123" s="18"/>
      <c r="AIU123" s="18"/>
      <c r="AIV123" s="18"/>
      <c r="AIW123" s="18"/>
      <c r="AIX123" s="18"/>
      <c r="AIY123" s="18"/>
      <c r="AIZ123" s="18"/>
      <c r="AJA123" s="18"/>
      <c r="AJB123" s="18"/>
      <c r="AJC123" s="18"/>
      <c r="AJD123" s="18"/>
      <c r="AJE123" s="18"/>
      <c r="AJF123" s="18"/>
      <c r="AJG123" s="18"/>
      <c r="AJH123" s="18"/>
      <c r="AJI123" s="18"/>
      <c r="AJJ123" s="18"/>
      <c r="AJK123" s="18"/>
      <c r="AJL123" s="18"/>
      <c r="AJM123" s="18"/>
      <c r="AJN123" s="18"/>
      <c r="AJO123" s="18"/>
      <c r="AJP123" s="18"/>
      <c r="AJQ123" s="18"/>
      <c r="AJR123" s="18"/>
      <c r="AJS123" s="18"/>
      <c r="AJT123" s="18"/>
      <c r="AJU123" s="18"/>
      <c r="AJV123" s="18"/>
      <c r="AJW123" s="18"/>
      <c r="AJX123" s="18"/>
      <c r="AJY123" s="18"/>
      <c r="AJZ123" s="18"/>
      <c r="AKA123" s="18"/>
      <c r="AKB123" s="18"/>
      <c r="AKC123" s="18"/>
      <c r="AKD123" s="18"/>
      <c r="AKE123" s="18"/>
      <c r="AKF123" s="18"/>
      <c r="AKG123" s="18"/>
      <c r="AKH123" s="18"/>
      <c r="AKI123" s="18"/>
      <c r="AKJ123" s="18"/>
      <c r="AKK123" s="18"/>
      <c r="AKL123" s="18"/>
      <c r="AKM123" s="18"/>
      <c r="AKN123" s="18"/>
      <c r="AKO123" s="18"/>
      <c r="AKP123" s="18"/>
      <c r="AKQ123" s="18"/>
      <c r="AKR123" s="18"/>
      <c r="AKS123" s="18"/>
      <c r="AKT123" s="18"/>
      <c r="AKU123" s="18"/>
      <c r="AKV123" s="18"/>
      <c r="AKW123" s="18"/>
      <c r="AKX123" s="18"/>
      <c r="AKY123" s="18"/>
      <c r="AKZ123" s="18"/>
      <c r="ALA123" s="18"/>
      <c r="ALB123" s="18"/>
      <c r="ALC123" s="18"/>
      <c r="ALD123" s="18"/>
      <c r="ALE123" s="18"/>
      <c r="ALF123" s="18"/>
      <c r="ALG123" s="18"/>
      <c r="ALH123" s="18"/>
      <c r="ALI123" s="18"/>
      <c r="ALJ123" s="18"/>
      <c r="ALK123" s="18"/>
      <c r="ALL123" s="18"/>
      <c r="ALM123" s="18"/>
      <c r="ALN123" s="18"/>
      <c r="ALO123" s="18"/>
      <c r="ALP123" s="18"/>
      <c r="ALQ123" s="18"/>
      <c r="ALR123" s="18"/>
      <c r="ALS123" s="18"/>
      <c r="ALT123" s="18"/>
      <c r="ALU123" s="18"/>
      <c r="ALV123" s="18"/>
      <c r="ALW123" s="18"/>
      <c r="ALX123" s="18"/>
      <c r="ALY123" s="18"/>
      <c r="ALZ123" s="18"/>
      <c r="AMA123" s="18"/>
      <c r="AMB123" s="18"/>
      <c r="AMC123" s="18"/>
      <c r="AMD123" s="18"/>
      <c r="AME123" s="18"/>
      <c r="AMF123" s="18"/>
      <c r="AMG123" s="18"/>
      <c r="AMH123" s="18"/>
    </row>
    <row r="124" spans="1:1022" s="23" customFormat="1" x14ac:dyDescent="0.3">
      <c r="A124" s="33">
        <v>220</v>
      </c>
      <c r="B124" s="19"/>
      <c r="C124" s="19"/>
      <c r="D124" s="34"/>
      <c r="E124" s="34"/>
      <c r="F124" s="19"/>
      <c r="G124" s="19"/>
      <c r="H124" s="18"/>
      <c r="I124" s="31"/>
      <c r="J124" s="31"/>
      <c r="K124" s="31"/>
      <c r="L124" s="31"/>
      <c r="M124" s="32"/>
      <c r="N124" s="32"/>
      <c r="O124" s="18"/>
      <c r="P124" s="36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18"/>
      <c r="BK124" s="18"/>
      <c r="BL124" s="18"/>
      <c r="BM124" s="18"/>
      <c r="BN124" s="18"/>
      <c r="BO124" s="18"/>
      <c r="BP124" s="18"/>
      <c r="BQ124" s="18"/>
      <c r="BR124" s="18"/>
      <c r="BS124" s="18"/>
      <c r="BT124" s="18"/>
      <c r="BU124" s="18"/>
      <c r="BV124" s="18"/>
      <c r="BW124" s="18"/>
      <c r="BX124" s="18"/>
      <c r="BY124" s="18"/>
      <c r="BZ124" s="18"/>
      <c r="CA124" s="18"/>
      <c r="CB124" s="18"/>
      <c r="CC124" s="18"/>
      <c r="CD124" s="18"/>
      <c r="CE124" s="18"/>
      <c r="CF124" s="18"/>
      <c r="CG124" s="18"/>
      <c r="CH124" s="18"/>
      <c r="CI124" s="18"/>
      <c r="CJ124" s="18"/>
      <c r="CK124" s="18"/>
      <c r="CL124" s="18"/>
      <c r="CM124" s="18"/>
      <c r="CN124" s="18"/>
      <c r="CO124" s="18"/>
      <c r="CP124" s="18"/>
      <c r="CQ124" s="18"/>
      <c r="CR124" s="18"/>
      <c r="CS124" s="18"/>
      <c r="CT124" s="18"/>
      <c r="CU124" s="18"/>
      <c r="CV124" s="18"/>
      <c r="CW124" s="18"/>
      <c r="CX124" s="18"/>
      <c r="CY124" s="18"/>
      <c r="CZ124" s="18"/>
      <c r="DA124" s="18"/>
      <c r="DB124" s="18"/>
      <c r="DC124" s="18"/>
      <c r="DD124" s="18"/>
      <c r="DE124" s="18"/>
      <c r="DF124" s="18"/>
      <c r="DG124" s="18"/>
      <c r="DH124" s="18"/>
      <c r="DI124" s="18"/>
      <c r="DJ124" s="18"/>
      <c r="DK124" s="18"/>
      <c r="DL124" s="18"/>
      <c r="DM124" s="18"/>
      <c r="DN124" s="18"/>
      <c r="DO124" s="18"/>
      <c r="DP124" s="18"/>
      <c r="DQ124" s="18"/>
      <c r="DR124" s="18"/>
      <c r="DS124" s="18"/>
      <c r="DT124" s="18"/>
      <c r="DU124" s="18"/>
      <c r="DV124" s="18"/>
      <c r="DW124" s="18"/>
      <c r="DX124" s="18"/>
      <c r="DY124" s="18"/>
      <c r="DZ124" s="18"/>
      <c r="EA124" s="18"/>
      <c r="EB124" s="18"/>
      <c r="EC124" s="18"/>
      <c r="ED124" s="18"/>
      <c r="EE124" s="18"/>
      <c r="EF124" s="18"/>
      <c r="EG124" s="18"/>
      <c r="EH124" s="18"/>
      <c r="EI124" s="18"/>
      <c r="EJ124" s="18"/>
      <c r="EK124" s="18"/>
      <c r="EL124" s="18"/>
      <c r="EM124" s="18"/>
      <c r="EN124" s="18"/>
      <c r="EO124" s="18"/>
      <c r="EP124" s="18"/>
      <c r="EQ124" s="18"/>
      <c r="ER124" s="18"/>
      <c r="ES124" s="18"/>
      <c r="ET124" s="18"/>
      <c r="EU124" s="18"/>
      <c r="EV124" s="18"/>
      <c r="EW124" s="18"/>
      <c r="EX124" s="18"/>
      <c r="EY124" s="18"/>
      <c r="EZ124" s="18"/>
      <c r="FA124" s="18"/>
      <c r="FB124" s="18"/>
      <c r="FC124" s="18"/>
      <c r="FD124" s="18"/>
      <c r="FE124" s="18"/>
      <c r="FF124" s="18"/>
      <c r="FG124" s="18"/>
      <c r="FH124" s="18"/>
      <c r="FI124" s="18"/>
      <c r="FJ124" s="18"/>
      <c r="FK124" s="18"/>
      <c r="FL124" s="18"/>
      <c r="FM124" s="18"/>
      <c r="FN124" s="18"/>
      <c r="FO124" s="18"/>
      <c r="FP124" s="18"/>
      <c r="FQ124" s="18"/>
      <c r="FR124" s="18"/>
      <c r="FS124" s="18"/>
      <c r="FT124" s="18"/>
      <c r="FU124" s="18"/>
      <c r="FV124" s="18"/>
      <c r="FW124" s="18"/>
      <c r="FX124" s="18"/>
      <c r="FY124" s="18"/>
      <c r="FZ124" s="18"/>
      <c r="GA124" s="18"/>
      <c r="GB124" s="18"/>
      <c r="GC124" s="18"/>
      <c r="GD124" s="18"/>
      <c r="GE124" s="18"/>
      <c r="GF124" s="18"/>
      <c r="GG124" s="18"/>
      <c r="GH124" s="18"/>
      <c r="GI124" s="18"/>
      <c r="GJ124" s="18"/>
      <c r="GK124" s="18"/>
      <c r="GL124" s="18"/>
      <c r="GM124" s="18"/>
      <c r="GN124" s="18"/>
      <c r="GO124" s="18"/>
      <c r="GP124" s="18"/>
      <c r="GQ124" s="18"/>
      <c r="GR124" s="18"/>
      <c r="GS124" s="18"/>
      <c r="GT124" s="18"/>
      <c r="GU124" s="18"/>
      <c r="GV124" s="18"/>
      <c r="GW124" s="18"/>
      <c r="GX124" s="18"/>
      <c r="GY124" s="18"/>
      <c r="GZ124" s="18"/>
      <c r="HA124" s="18"/>
      <c r="HB124" s="18"/>
      <c r="HC124" s="18"/>
      <c r="HD124" s="18"/>
      <c r="HE124" s="18"/>
      <c r="HF124" s="18"/>
      <c r="HG124" s="18"/>
      <c r="HH124" s="18"/>
      <c r="HI124" s="18"/>
      <c r="HJ124" s="18"/>
      <c r="HK124" s="18"/>
      <c r="HL124" s="18"/>
      <c r="HM124" s="18"/>
      <c r="HN124" s="18"/>
      <c r="HO124" s="18"/>
      <c r="HP124" s="18"/>
      <c r="HQ124" s="18"/>
      <c r="HR124" s="18"/>
      <c r="HS124" s="18"/>
      <c r="HT124" s="18"/>
      <c r="HU124" s="18"/>
      <c r="HV124" s="18"/>
      <c r="HW124" s="18"/>
      <c r="HX124" s="18"/>
      <c r="HY124" s="18"/>
      <c r="HZ124" s="18"/>
      <c r="IA124" s="18"/>
      <c r="IB124" s="18"/>
      <c r="IC124" s="18"/>
      <c r="ID124" s="18"/>
      <c r="IE124" s="18"/>
      <c r="IF124" s="18"/>
      <c r="IG124" s="18"/>
      <c r="IH124" s="18"/>
      <c r="II124" s="18"/>
      <c r="IJ124" s="18"/>
      <c r="IK124" s="18"/>
      <c r="IL124" s="18"/>
      <c r="IM124" s="18"/>
      <c r="IN124" s="18"/>
      <c r="IO124" s="18"/>
      <c r="IP124" s="18"/>
      <c r="IQ124" s="18"/>
      <c r="IR124" s="18"/>
      <c r="IS124" s="18"/>
      <c r="IT124" s="18"/>
      <c r="IU124" s="18"/>
      <c r="IV124" s="18"/>
      <c r="IW124" s="18"/>
      <c r="IX124" s="18"/>
      <c r="IY124" s="18"/>
      <c r="IZ124" s="18"/>
      <c r="JA124" s="18"/>
      <c r="JB124" s="18"/>
      <c r="JC124" s="18"/>
      <c r="JD124" s="18"/>
      <c r="JE124" s="18"/>
      <c r="JF124" s="18"/>
      <c r="JG124" s="18"/>
      <c r="JH124" s="18"/>
      <c r="JI124" s="18"/>
      <c r="JJ124" s="18"/>
      <c r="JK124" s="18"/>
      <c r="JL124" s="18"/>
      <c r="JM124" s="18"/>
      <c r="JN124" s="18"/>
      <c r="JO124" s="18"/>
      <c r="JP124" s="18"/>
      <c r="JQ124" s="18"/>
      <c r="JR124" s="18"/>
      <c r="JS124" s="18"/>
      <c r="JT124" s="18"/>
      <c r="JU124" s="18"/>
      <c r="JV124" s="18"/>
      <c r="JW124" s="18"/>
      <c r="JX124" s="18"/>
      <c r="JY124" s="18"/>
      <c r="JZ124" s="18"/>
      <c r="KA124" s="18"/>
      <c r="KB124" s="18"/>
      <c r="KC124" s="18"/>
      <c r="KD124" s="18"/>
      <c r="KE124" s="18"/>
      <c r="KF124" s="18"/>
      <c r="KG124" s="18"/>
      <c r="KH124" s="18"/>
      <c r="KI124" s="18"/>
      <c r="KJ124" s="18"/>
      <c r="KK124" s="18"/>
      <c r="KL124" s="18"/>
      <c r="KM124" s="18"/>
      <c r="KN124" s="18"/>
      <c r="KO124" s="18"/>
      <c r="KP124" s="18"/>
      <c r="KQ124" s="18"/>
      <c r="KR124" s="18"/>
      <c r="KS124" s="18"/>
      <c r="KT124" s="18"/>
      <c r="KU124" s="18"/>
      <c r="KV124" s="18"/>
      <c r="KW124" s="18"/>
      <c r="KX124" s="18"/>
      <c r="KY124" s="18"/>
      <c r="KZ124" s="18"/>
      <c r="LA124" s="18"/>
      <c r="LB124" s="18"/>
      <c r="LC124" s="18"/>
      <c r="LD124" s="18"/>
      <c r="LE124" s="18"/>
      <c r="LF124" s="18"/>
      <c r="LG124" s="18"/>
      <c r="LH124" s="18"/>
      <c r="LI124" s="18"/>
      <c r="LJ124" s="18"/>
      <c r="LK124" s="18"/>
      <c r="LL124" s="18"/>
      <c r="LM124" s="18"/>
      <c r="LN124" s="18"/>
      <c r="LO124" s="18"/>
      <c r="LP124" s="18"/>
      <c r="LQ124" s="18"/>
      <c r="LR124" s="18"/>
      <c r="LS124" s="18"/>
      <c r="LT124" s="18"/>
      <c r="LU124" s="18"/>
      <c r="LV124" s="18"/>
      <c r="LW124" s="18"/>
      <c r="LX124" s="18"/>
      <c r="LY124" s="18"/>
      <c r="LZ124" s="18"/>
      <c r="MA124" s="18"/>
      <c r="MB124" s="18"/>
      <c r="MC124" s="18"/>
      <c r="MD124" s="18"/>
      <c r="ME124" s="18"/>
      <c r="MF124" s="18"/>
      <c r="MG124" s="18"/>
      <c r="MH124" s="18"/>
      <c r="MI124" s="18"/>
      <c r="MJ124" s="18"/>
      <c r="MK124" s="18"/>
      <c r="ML124" s="18"/>
      <c r="MM124" s="18"/>
      <c r="MN124" s="18"/>
      <c r="MO124" s="18"/>
      <c r="MP124" s="18"/>
      <c r="MQ124" s="18"/>
      <c r="MR124" s="18"/>
      <c r="MS124" s="18"/>
      <c r="MT124" s="18"/>
      <c r="MU124" s="18"/>
      <c r="MV124" s="18"/>
      <c r="MW124" s="18"/>
      <c r="MX124" s="18"/>
      <c r="MY124" s="18"/>
      <c r="MZ124" s="18"/>
      <c r="NA124" s="18"/>
      <c r="NB124" s="18"/>
      <c r="NC124" s="18"/>
      <c r="ND124" s="18"/>
      <c r="NE124" s="18"/>
      <c r="NF124" s="18"/>
      <c r="NG124" s="18"/>
      <c r="NH124" s="18"/>
      <c r="NI124" s="18"/>
      <c r="NJ124" s="18"/>
      <c r="NK124" s="18"/>
      <c r="NL124" s="18"/>
      <c r="NM124" s="18"/>
      <c r="NN124" s="18"/>
      <c r="NO124" s="18"/>
      <c r="NP124" s="18"/>
      <c r="NQ124" s="18"/>
      <c r="NR124" s="18"/>
      <c r="NS124" s="18"/>
      <c r="NT124" s="18"/>
      <c r="NU124" s="18"/>
      <c r="NV124" s="18"/>
      <c r="NW124" s="18"/>
      <c r="NX124" s="18"/>
      <c r="NY124" s="18"/>
      <c r="NZ124" s="18"/>
      <c r="OA124" s="18"/>
      <c r="OB124" s="18"/>
      <c r="OC124" s="18"/>
      <c r="OD124" s="18"/>
      <c r="OE124" s="18"/>
      <c r="OF124" s="18"/>
      <c r="OG124" s="18"/>
      <c r="OH124" s="18"/>
      <c r="OI124" s="18"/>
      <c r="OJ124" s="18"/>
      <c r="OK124" s="18"/>
      <c r="OL124" s="18"/>
      <c r="OM124" s="18"/>
      <c r="ON124" s="18"/>
      <c r="OO124" s="18"/>
      <c r="OP124" s="18"/>
      <c r="OQ124" s="18"/>
      <c r="OR124" s="18"/>
      <c r="OS124" s="18"/>
      <c r="OT124" s="18"/>
      <c r="OU124" s="18"/>
      <c r="OV124" s="18"/>
      <c r="OW124" s="18"/>
      <c r="OX124" s="18"/>
      <c r="OY124" s="18"/>
      <c r="OZ124" s="18"/>
      <c r="PA124" s="18"/>
      <c r="PB124" s="18"/>
      <c r="PC124" s="18"/>
      <c r="PD124" s="18"/>
      <c r="PE124" s="18"/>
      <c r="PF124" s="18"/>
      <c r="PG124" s="18"/>
      <c r="PH124" s="18"/>
      <c r="PI124" s="18"/>
      <c r="PJ124" s="18"/>
      <c r="PK124" s="18"/>
      <c r="PL124" s="18"/>
      <c r="PM124" s="18"/>
      <c r="PN124" s="18"/>
      <c r="PO124" s="18"/>
      <c r="PP124" s="18"/>
      <c r="PQ124" s="18"/>
      <c r="PR124" s="18"/>
      <c r="PS124" s="18"/>
      <c r="PT124" s="18"/>
      <c r="PU124" s="18"/>
      <c r="PV124" s="18"/>
      <c r="PW124" s="18"/>
      <c r="PX124" s="18"/>
      <c r="PY124" s="18"/>
      <c r="PZ124" s="18"/>
      <c r="QA124" s="18"/>
      <c r="QB124" s="18"/>
      <c r="QC124" s="18"/>
      <c r="QD124" s="18"/>
      <c r="QE124" s="18"/>
      <c r="QF124" s="18"/>
      <c r="QG124" s="18"/>
      <c r="QH124" s="18"/>
      <c r="QI124" s="18"/>
      <c r="QJ124" s="18"/>
      <c r="QK124" s="18"/>
      <c r="QL124" s="18"/>
      <c r="QM124" s="18"/>
      <c r="QN124" s="18"/>
      <c r="QO124" s="18"/>
      <c r="QP124" s="18"/>
      <c r="QQ124" s="18"/>
      <c r="QR124" s="18"/>
      <c r="QS124" s="18"/>
      <c r="QT124" s="18"/>
      <c r="QU124" s="18"/>
      <c r="QV124" s="18"/>
      <c r="QW124" s="18"/>
      <c r="QX124" s="18"/>
      <c r="QY124" s="18"/>
      <c r="QZ124" s="18"/>
      <c r="RA124" s="18"/>
      <c r="RB124" s="18"/>
      <c r="RC124" s="18"/>
      <c r="RD124" s="18"/>
      <c r="RE124" s="18"/>
      <c r="RF124" s="18"/>
      <c r="RG124" s="18"/>
      <c r="RH124" s="18"/>
      <c r="RI124" s="18"/>
      <c r="RJ124" s="18"/>
      <c r="RK124" s="18"/>
      <c r="RL124" s="18"/>
      <c r="RM124" s="18"/>
      <c r="RN124" s="18"/>
      <c r="RO124" s="18"/>
      <c r="RP124" s="18"/>
      <c r="RQ124" s="18"/>
      <c r="RR124" s="18"/>
      <c r="RS124" s="18"/>
      <c r="RT124" s="18"/>
      <c r="RU124" s="18"/>
      <c r="RV124" s="18"/>
      <c r="RW124" s="18"/>
      <c r="RX124" s="18"/>
      <c r="RY124" s="18"/>
      <c r="RZ124" s="18"/>
      <c r="SA124" s="18"/>
      <c r="SB124" s="18"/>
      <c r="SC124" s="18"/>
      <c r="SD124" s="18"/>
      <c r="SE124" s="18"/>
      <c r="SF124" s="18"/>
      <c r="SG124" s="18"/>
      <c r="SH124" s="18"/>
      <c r="SI124" s="18"/>
      <c r="SJ124" s="18"/>
      <c r="SK124" s="18"/>
      <c r="SL124" s="18"/>
      <c r="SM124" s="18"/>
      <c r="SN124" s="18"/>
      <c r="SO124" s="18"/>
      <c r="SP124" s="18"/>
      <c r="SQ124" s="18"/>
      <c r="SR124" s="18"/>
      <c r="SS124" s="18"/>
      <c r="ST124" s="18"/>
      <c r="SU124" s="18"/>
      <c r="SV124" s="18"/>
      <c r="SW124" s="18"/>
      <c r="SX124" s="18"/>
      <c r="SY124" s="18"/>
      <c r="SZ124" s="18"/>
      <c r="TA124" s="18"/>
      <c r="TB124" s="18"/>
      <c r="TC124" s="18"/>
      <c r="TD124" s="18"/>
      <c r="TE124" s="18"/>
      <c r="TF124" s="18"/>
      <c r="TG124" s="18"/>
      <c r="TH124" s="18"/>
      <c r="TI124" s="18"/>
      <c r="TJ124" s="18"/>
      <c r="TK124" s="18"/>
      <c r="TL124" s="18"/>
      <c r="TM124" s="18"/>
      <c r="TN124" s="18"/>
      <c r="TO124" s="18"/>
      <c r="TP124" s="18"/>
      <c r="TQ124" s="18"/>
      <c r="TR124" s="18"/>
      <c r="TS124" s="18"/>
      <c r="TT124" s="18"/>
      <c r="TU124" s="18"/>
      <c r="TV124" s="18"/>
      <c r="TW124" s="18"/>
      <c r="TX124" s="18"/>
      <c r="TY124" s="18"/>
      <c r="TZ124" s="18"/>
      <c r="UA124" s="18"/>
      <c r="UB124" s="18"/>
      <c r="UC124" s="18"/>
      <c r="UD124" s="18"/>
      <c r="UE124" s="18"/>
      <c r="UF124" s="18"/>
      <c r="UG124" s="18"/>
      <c r="UH124" s="18"/>
      <c r="UI124" s="18"/>
      <c r="UJ124" s="18"/>
      <c r="UK124" s="18"/>
      <c r="UL124" s="18"/>
      <c r="UM124" s="18"/>
      <c r="UN124" s="18"/>
      <c r="UO124" s="18"/>
      <c r="UP124" s="18"/>
      <c r="UQ124" s="18"/>
      <c r="UR124" s="18"/>
      <c r="US124" s="18"/>
      <c r="UT124" s="18"/>
      <c r="UU124" s="18"/>
      <c r="UV124" s="18"/>
      <c r="UW124" s="18"/>
      <c r="UX124" s="18"/>
      <c r="UY124" s="18"/>
      <c r="UZ124" s="18"/>
      <c r="VA124" s="18"/>
      <c r="VB124" s="18"/>
      <c r="VC124" s="18"/>
      <c r="VD124" s="18"/>
      <c r="VE124" s="18"/>
      <c r="VF124" s="18"/>
      <c r="VG124" s="18"/>
      <c r="VH124" s="18"/>
      <c r="VI124" s="18"/>
      <c r="VJ124" s="18"/>
      <c r="VK124" s="18"/>
      <c r="VL124" s="18"/>
      <c r="VM124" s="18"/>
      <c r="VN124" s="18"/>
      <c r="VO124" s="18"/>
      <c r="VP124" s="18"/>
      <c r="VQ124" s="18"/>
      <c r="VR124" s="18"/>
      <c r="VS124" s="18"/>
      <c r="VT124" s="18"/>
      <c r="VU124" s="18"/>
      <c r="VV124" s="18"/>
      <c r="VW124" s="18"/>
      <c r="VX124" s="18"/>
      <c r="VY124" s="18"/>
      <c r="VZ124" s="18"/>
      <c r="WA124" s="18"/>
      <c r="WB124" s="18"/>
      <c r="WC124" s="18"/>
      <c r="WD124" s="18"/>
      <c r="WE124" s="18"/>
      <c r="WF124" s="18"/>
      <c r="WG124" s="18"/>
      <c r="WH124" s="18"/>
      <c r="WI124" s="18"/>
      <c r="WJ124" s="18"/>
      <c r="WK124" s="18"/>
      <c r="WL124" s="18"/>
      <c r="WM124" s="18"/>
      <c r="WN124" s="18"/>
      <c r="WO124" s="18"/>
      <c r="WP124" s="18"/>
      <c r="WQ124" s="18"/>
      <c r="WR124" s="18"/>
      <c r="WS124" s="18"/>
      <c r="WT124" s="18"/>
      <c r="WU124" s="18"/>
      <c r="WV124" s="18"/>
      <c r="WW124" s="18"/>
      <c r="WX124" s="18"/>
      <c r="WY124" s="18"/>
      <c r="WZ124" s="18"/>
      <c r="XA124" s="18"/>
      <c r="XB124" s="18"/>
      <c r="XC124" s="18"/>
      <c r="XD124" s="18"/>
      <c r="XE124" s="18"/>
      <c r="XF124" s="18"/>
      <c r="XG124" s="18"/>
      <c r="XH124" s="18"/>
      <c r="XI124" s="18"/>
      <c r="XJ124" s="18"/>
      <c r="XK124" s="18"/>
      <c r="XL124" s="18"/>
      <c r="XM124" s="18"/>
      <c r="XN124" s="18"/>
      <c r="XO124" s="18"/>
      <c r="XP124" s="18"/>
      <c r="XQ124" s="18"/>
      <c r="XR124" s="18"/>
      <c r="XS124" s="18"/>
      <c r="XT124" s="18"/>
      <c r="XU124" s="18"/>
      <c r="XV124" s="18"/>
      <c r="XW124" s="18"/>
      <c r="XX124" s="18"/>
      <c r="XY124" s="18"/>
      <c r="XZ124" s="18"/>
      <c r="YA124" s="18"/>
      <c r="YB124" s="18"/>
      <c r="YC124" s="18"/>
      <c r="YD124" s="18"/>
      <c r="YE124" s="18"/>
      <c r="YF124" s="18"/>
      <c r="YG124" s="18"/>
      <c r="YH124" s="18"/>
      <c r="YI124" s="18"/>
      <c r="YJ124" s="18"/>
      <c r="YK124" s="18"/>
      <c r="YL124" s="18"/>
      <c r="YM124" s="18"/>
      <c r="YN124" s="18"/>
      <c r="YO124" s="18"/>
      <c r="YP124" s="18"/>
      <c r="YQ124" s="18"/>
      <c r="YR124" s="18"/>
      <c r="YS124" s="18"/>
      <c r="YT124" s="18"/>
      <c r="YU124" s="18"/>
      <c r="YV124" s="18"/>
      <c r="YW124" s="18"/>
      <c r="YX124" s="18"/>
      <c r="YY124" s="18"/>
      <c r="YZ124" s="18"/>
      <c r="ZA124" s="18"/>
      <c r="ZB124" s="18"/>
      <c r="ZC124" s="18"/>
      <c r="ZD124" s="18"/>
      <c r="ZE124" s="18"/>
      <c r="ZF124" s="18"/>
      <c r="ZG124" s="18"/>
      <c r="ZH124" s="18"/>
      <c r="ZI124" s="18"/>
      <c r="ZJ124" s="18"/>
      <c r="ZK124" s="18"/>
      <c r="ZL124" s="18"/>
      <c r="ZM124" s="18"/>
      <c r="ZN124" s="18"/>
      <c r="ZO124" s="18"/>
      <c r="ZP124" s="18"/>
      <c r="ZQ124" s="18"/>
      <c r="ZR124" s="18"/>
      <c r="ZS124" s="18"/>
      <c r="ZT124" s="18"/>
      <c r="ZU124" s="18"/>
      <c r="ZV124" s="18"/>
      <c r="ZW124" s="18"/>
      <c r="ZX124" s="18"/>
      <c r="ZY124" s="18"/>
      <c r="ZZ124" s="18"/>
      <c r="AAA124" s="18"/>
      <c r="AAB124" s="18"/>
      <c r="AAC124" s="18"/>
      <c r="AAD124" s="18"/>
      <c r="AAE124" s="18"/>
      <c r="AAF124" s="18"/>
      <c r="AAG124" s="18"/>
      <c r="AAH124" s="18"/>
      <c r="AAI124" s="18"/>
      <c r="AAJ124" s="18"/>
      <c r="AAK124" s="18"/>
      <c r="AAL124" s="18"/>
      <c r="AAM124" s="18"/>
      <c r="AAN124" s="18"/>
      <c r="AAO124" s="18"/>
      <c r="AAP124" s="18"/>
      <c r="AAQ124" s="18"/>
      <c r="AAR124" s="18"/>
      <c r="AAS124" s="18"/>
      <c r="AAT124" s="18"/>
      <c r="AAU124" s="18"/>
      <c r="AAV124" s="18"/>
      <c r="AAW124" s="18"/>
      <c r="AAX124" s="18"/>
      <c r="AAY124" s="18"/>
      <c r="AAZ124" s="18"/>
      <c r="ABA124" s="18"/>
      <c r="ABB124" s="18"/>
      <c r="ABC124" s="18"/>
      <c r="ABD124" s="18"/>
      <c r="ABE124" s="18"/>
      <c r="ABF124" s="18"/>
      <c r="ABG124" s="18"/>
      <c r="ABH124" s="18"/>
      <c r="ABI124" s="18"/>
      <c r="ABJ124" s="18"/>
      <c r="ABK124" s="18"/>
      <c r="ABL124" s="18"/>
      <c r="ABM124" s="18"/>
      <c r="ABN124" s="18"/>
      <c r="ABO124" s="18"/>
      <c r="ABP124" s="18"/>
      <c r="ABQ124" s="18"/>
      <c r="ABR124" s="18"/>
      <c r="ABS124" s="18"/>
      <c r="ABT124" s="18"/>
      <c r="ABU124" s="18"/>
      <c r="ABV124" s="18"/>
      <c r="ABW124" s="18"/>
      <c r="ABX124" s="18"/>
      <c r="ABY124" s="18"/>
      <c r="ABZ124" s="18"/>
      <c r="ACA124" s="18"/>
      <c r="ACB124" s="18"/>
      <c r="ACC124" s="18"/>
      <c r="ACD124" s="18"/>
      <c r="ACE124" s="18"/>
      <c r="ACF124" s="18"/>
      <c r="ACG124" s="18"/>
      <c r="ACH124" s="18"/>
      <c r="ACI124" s="18"/>
      <c r="ACJ124" s="18"/>
      <c r="ACK124" s="18"/>
      <c r="ACL124" s="18"/>
      <c r="ACM124" s="18"/>
      <c r="ACN124" s="18"/>
      <c r="ACO124" s="18"/>
      <c r="ACP124" s="18"/>
      <c r="ACQ124" s="18"/>
      <c r="ACR124" s="18"/>
      <c r="ACS124" s="18"/>
      <c r="ACT124" s="18"/>
      <c r="ACU124" s="18"/>
      <c r="ACV124" s="18"/>
      <c r="ACW124" s="18"/>
      <c r="ACX124" s="18"/>
      <c r="ACY124" s="18"/>
      <c r="ACZ124" s="18"/>
      <c r="ADA124" s="18"/>
      <c r="ADB124" s="18"/>
      <c r="ADC124" s="18"/>
      <c r="ADD124" s="18"/>
      <c r="ADE124" s="18"/>
      <c r="ADF124" s="18"/>
      <c r="ADG124" s="18"/>
      <c r="ADH124" s="18"/>
      <c r="ADI124" s="18"/>
      <c r="ADJ124" s="18"/>
      <c r="ADK124" s="18"/>
      <c r="ADL124" s="18"/>
      <c r="ADM124" s="18"/>
      <c r="ADN124" s="18"/>
      <c r="ADO124" s="18"/>
      <c r="ADP124" s="18"/>
      <c r="ADQ124" s="18"/>
      <c r="ADR124" s="18"/>
      <c r="ADS124" s="18"/>
      <c r="ADT124" s="18"/>
      <c r="ADU124" s="18"/>
      <c r="ADV124" s="18"/>
      <c r="ADW124" s="18"/>
      <c r="ADX124" s="18"/>
      <c r="ADY124" s="18"/>
      <c r="ADZ124" s="18"/>
      <c r="AEA124" s="18"/>
      <c r="AEB124" s="18"/>
      <c r="AEC124" s="18"/>
      <c r="AED124" s="18"/>
      <c r="AEE124" s="18"/>
      <c r="AEF124" s="18"/>
      <c r="AEG124" s="18"/>
      <c r="AEH124" s="18"/>
      <c r="AEI124" s="18"/>
      <c r="AEJ124" s="18"/>
      <c r="AEK124" s="18"/>
      <c r="AEL124" s="18"/>
      <c r="AEM124" s="18"/>
      <c r="AEN124" s="18"/>
      <c r="AEO124" s="18"/>
      <c r="AEP124" s="18"/>
      <c r="AEQ124" s="18"/>
      <c r="AER124" s="18"/>
      <c r="AES124" s="18"/>
      <c r="AET124" s="18"/>
      <c r="AEU124" s="18"/>
      <c r="AEV124" s="18"/>
      <c r="AEW124" s="18"/>
      <c r="AEX124" s="18"/>
      <c r="AEY124" s="18"/>
      <c r="AEZ124" s="18"/>
      <c r="AFA124" s="18"/>
      <c r="AFB124" s="18"/>
      <c r="AFC124" s="18"/>
      <c r="AFD124" s="18"/>
      <c r="AFE124" s="18"/>
      <c r="AFF124" s="18"/>
      <c r="AFG124" s="18"/>
      <c r="AFH124" s="18"/>
      <c r="AFI124" s="18"/>
      <c r="AFJ124" s="18"/>
      <c r="AFK124" s="18"/>
      <c r="AFL124" s="18"/>
      <c r="AFM124" s="18"/>
      <c r="AFN124" s="18"/>
      <c r="AFO124" s="18"/>
      <c r="AFP124" s="18"/>
      <c r="AFQ124" s="18"/>
      <c r="AFR124" s="18"/>
      <c r="AFS124" s="18"/>
      <c r="AFT124" s="18"/>
      <c r="AFU124" s="18"/>
      <c r="AFV124" s="18"/>
      <c r="AFW124" s="18"/>
      <c r="AFX124" s="18"/>
      <c r="AFY124" s="18"/>
      <c r="AFZ124" s="18"/>
      <c r="AGA124" s="18"/>
      <c r="AGB124" s="18"/>
      <c r="AGC124" s="18"/>
      <c r="AGD124" s="18"/>
      <c r="AGE124" s="18"/>
      <c r="AGF124" s="18"/>
      <c r="AGG124" s="18"/>
      <c r="AGH124" s="18"/>
      <c r="AGI124" s="18"/>
      <c r="AGJ124" s="18"/>
      <c r="AGK124" s="18"/>
      <c r="AGL124" s="18"/>
      <c r="AGM124" s="18"/>
      <c r="AGN124" s="18"/>
      <c r="AGO124" s="18"/>
      <c r="AGP124" s="18"/>
      <c r="AGQ124" s="18"/>
      <c r="AGR124" s="18"/>
      <c r="AGS124" s="18"/>
      <c r="AGT124" s="18"/>
      <c r="AGU124" s="18"/>
      <c r="AGV124" s="18"/>
      <c r="AGW124" s="18"/>
      <c r="AGX124" s="18"/>
      <c r="AGY124" s="18"/>
      <c r="AGZ124" s="18"/>
      <c r="AHA124" s="18"/>
      <c r="AHB124" s="18"/>
      <c r="AHC124" s="18"/>
      <c r="AHD124" s="18"/>
      <c r="AHE124" s="18"/>
      <c r="AHF124" s="18"/>
      <c r="AHG124" s="18"/>
      <c r="AHH124" s="18"/>
      <c r="AHI124" s="18"/>
      <c r="AHJ124" s="18"/>
      <c r="AHK124" s="18"/>
      <c r="AHL124" s="18"/>
      <c r="AHM124" s="18"/>
      <c r="AHN124" s="18"/>
      <c r="AHO124" s="18"/>
      <c r="AHP124" s="18"/>
      <c r="AHQ124" s="18"/>
      <c r="AHR124" s="18"/>
      <c r="AHS124" s="18"/>
      <c r="AHT124" s="18"/>
      <c r="AHU124" s="18"/>
      <c r="AHV124" s="18"/>
      <c r="AHW124" s="18"/>
      <c r="AHX124" s="18"/>
      <c r="AHY124" s="18"/>
      <c r="AHZ124" s="18"/>
      <c r="AIA124" s="18"/>
      <c r="AIB124" s="18"/>
      <c r="AIC124" s="18"/>
      <c r="AID124" s="18"/>
      <c r="AIE124" s="18"/>
      <c r="AIF124" s="18"/>
      <c r="AIG124" s="18"/>
      <c r="AIH124" s="18"/>
      <c r="AII124" s="18"/>
      <c r="AIJ124" s="18"/>
      <c r="AIK124" s="18"/>
      <c r="AIL124" s="18"/>
      <c r="AIM124" s="18"/>
      <c r="AIN124" s="18"/>
      <c r="AIO124" s="18"/>
      <c r="AIP124" s="18"/>
      <c r="AIQ124" s="18"/>
      <c r="AIR124" s="18"/>
      <c r="AIS124" s="18"/>
      <c r="AIT124" s="18"/>
      <c r="AIU124" s="18"/>
      <c r="AIV124" s="18"/>
      <c r="AIW124" s="18"/>
      <c r="AIX124" s="18"/>
      <c r="AIY124" s="18"/>
      <c r="AIZ124" s="18"/>
      <c r="AJA124" s="18"/>
      <c r="AJB124" s="18"/>
      <c r="AJC124" s="18"/>
      <c r="AJD124" s="18"/>
      <c r="AJE124" s="18"/>
      <c r="AJF124" s="18"/>
      <c r="AJG124" s="18"/>
      <c r="AJH124" s="18"/>
      <c r="AJI124" s="18"/>
      <c r="AJJ124" s="18"/>
      <c r="AJK124" s="18"/>
      <c r="AJL124" s="18"/>
      <c r="AJM124" s="18"/>
      <c r="AJN124" s="18"/>
      <c r="AJO124" s="18"/>
      <c r="AJP124" s="18"/>
      <c r="AJQ124" s="18"/>
      <c r="AJR124" s="18"/>
      <c r="AJS124" s="18"/>
      <c r="AJT124" s="18"/>
      <c r="AJU124" s="18"/>
      <c r="AJV124" s="18"/>
      <c r="AJW124" s="18"/>
      <c r="AJX124" s="18"/>
      <c r="AJY124" s="18"/>
      <c r="AJZ124" s="18"/>
      <c r="AKA124" s="18"/>
      <c r="AKB124" s="18"/>
      <c r="AKC124" s="18"/>
      <c r="AKD124" s="18"/>
      <c r="AKE124" s="18"/>
      <c r="AKF124" s="18"/>
      <c r="AKG124" s="18"/>
      <c r="AKH124" s="18"/>
      <c r="AKI124" s="18"/>
      <c r="AKJ124" s="18"/>
      <c r="AKK124" s="18"/>
      <c r="AKL124" s="18"/>
      <c r="AKM124" s="18"/>
      <c r="AKN124" s="18"/>
      <c r="AKO124" s="18"/>
      <c r="AKP124" s="18"/>
      <c r="AKQ124" s="18"/>
      <c r="AKR124" s="18"/>
      <c r="AKS124" s="18"/>
      <c r="AKT124" s="18"/>
      <c r="AKU124" s="18"/>
      <c r="AKV124" s="18"/>
      <c r="AKW124" s="18"/>
      <c r="AKX124" s="18"/>
      <c r="AKY124" s="18"/>
      <c r="AKZ124" s="18"/>
      <c r="ALA124" s="18"/>
      <c r="ALB124" s="18"/>
      <c r="ALC124" s="18"/>
      <c r="ALD124" s="18"/>
      <c r="ALE124" s="18"/>
      <c r="ALF124" s="18"/>
      <c r="ALG124" s="18"/>
      <c r="ALH124" s="18"/>
      <c r="ALI124" s="18"/>
      <c r="ALJ124" s="18"/>
      <c r="ALK124" s="18"/>
      <c r="ALL124" s="18"/>
      <c r="ALM124" s="18"/>
      <c r="ALN124" s="18"/>
      <c r="ALO124" s="18"/>
      <c r="ALP124" s="18"/>
      <c r="ALQ124" s="18"/>
      <c r="ALR124" s="18"/>
      <c r="ALS124" s="18"/>
      <c r="ALT124" s="18"/>
      <c r="ALU124" s="18"/>
      <c r="ALV124" s="18"/>
      <c r="ALW124" s="18"/>
      <c r="ALX124" s="18"/>
      <c r="ALY124" s="18"/>
      <c r="ALZ124" s="18"/>
      <c r="AMA124" s="18"/>
      <c r="AMB124" s="18"/>
      <c r="AMC124" s="18"/>
      <c r="AMD124" s="18"/>
      <c r="AME124" s="18"/>
      <c r="AMF124" s="18"/>
      <c r="AMG124" s="18"/>
      <c r="AMH124" s="18"/>
    </row>
    <row r="125" spans="1:1022" s="23" customFormat="1" x14ac:dyDescent="0.3">
      <c r="A125" s="33">
        <v>221</v>
      </c>
      <c r="B125" s="19"/>
      <c r="C125" s="19"/>
      <c r="D125" s="34"/>
      <c r="E125" s="34"/>
      <c r="F125" s="19"/>
      <c r="G125" s="19"/>
      <c r="H125" s="18"/>
      <c r="I125" s="31"/>
      <c r="J125" s="31"/>
      <c r="K125" s="31"/>
      <c r="L125" s="31"/>
      <c r="M125" s="32"/>
      <c r="N125" s="32"/>
      <c r="O125" s="18"/>
      <c r="P125" s="36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18"/>
      <c r="BK125" s="18"/>
      <c r="BL125" s="18"/>
      <c r="BM125" s="18"/>
      <c r="BN125" s="18"/>
      <c r="BO125" s="18"/>
      <c r="BP125" s="18"/>
      <c r="BQ125" s="18"/>
      <c r="BR125" s="18"/>
      <c r="BS125" s="18"/>
      <c r="BT125" s="18"/>
      <c r="BU125" s="18"/>
      <c r="BV125" s="18"/>
      <c r="BW125" s="18"/>
      <c r="BX125" s="18"/>
      <c r="BY125" s="18"/>
      <c r="BZ125" s="18"/>
      <c r="CA125" s="18"/>
      <c r="CB125" s="18"/>
      <c r="CC125" s="18"/>
      <c r="CD125" s="18"/>
      <c r="CE125" s="18"/>
      <c r="CF125" s="18"/>
      <c r="CG125" s="18"/>
      <c r="CH125" s="18"/>
      <c r="CI125" s="18"/>
      <c r="CJ125" s="18"/>
      <c r="CK125" s="18"/>
      <c r="CL125" s="18"/>
      <c r="CM125" s="18"/>
      <c r="CN125" s="18"/>
      <c r="CO125" s="18"/>
      <c r="CP125" s="18"/>
      <c r="CQ125" s="18"/>
      <c r="CR125" s="18"/>
      <c r="CS125" s="18"/>
      <c r="CT125" s="18"/>
      <c r="CU125" s="18"/>
      <c r="CV125" s="18"/>
      <c r="CW125" s="18"/>
      <c r="CX125" s="18"/>
      <c r="CY125" s="18"/>
      <c r="CZ125" s="18"/>
      <c r="DA125" s="18"/>
      <c r="DB125" s="18"/>
      <c r="DC125" s="18"/>
      <c r="DD125" s="18"/>
      <c r="DE125" s="18"/>
      <c r="DF125" s="18"/>
      <c r="DG125" s="18"/>
      <c r="DH125" s="18"/>
      <c r="DI125" s="18"/>
      <c r="DJ125" s="18"/>
      <c r="DK125" s="18"/>
      <c r="DL125" s="18"/>
      <c r="DM125" s="18"/>
      <c r="DN125" s="18"/>
      <c r="DO125" s="18"/>
      <c r="DP125" s="18"/>
      <c r="DQ125" s="18"/>
      <c r="DR125" s="18"/>
      <c r="DS125" s="18"/>
      <c r="DT125" s="18"/>
      <c r="DU125" s="18"/>
      <c r="DV125" s="18"/>
      <c r="DW125" s="18"/>
      <c r="DX125" s="18"/>
      <c r="DY125" s="18"/>
      <c r="DZ125" s="18"/>
      <c r="EA125" s="18"/>
      <c r="EB125" s="18"/>
      <c r="EC125" s="18"/>
      <c r="ED125" s="18"/>
      <c r="EE125" s="18"/>
      <c r="EF125" s="18"/>
      <c r="EG125" s="18"/>
      <c r="EH125" s="18"/>
      <c r="EI125" s="18"/>
      <c r="EJ125" s="18"/>
      <c r="EK125" s="18"/>
      <c r="EL125" s="18"/>
      <c r="EM125" s="18"/>
      <c r="EN125" s="18"/>
      <c r="EO125" s="18"/>
      <c r="EP125" s="18"/>
      <c r="EQ125" s="18"/>
      <c r="ER125" s="18"/>
      <c r="ES125" s="18"/>
      <c r="ET125" s="18"/>
      <c r="EU125" s="18"/>
      <c r="EV125" s="18"/>
      <c r="EW125" s="18"/>
      <c r="EX125" s="18"/>
      <c r="EY125" s="18"/>
      <c r="EZ125" s="18"/>
      <c r="FA125" s="18"/>
      <c r="FB125" s="18"/>
      <c r="FC125" s="18"/>
      <c r="FD125" s="18"/>
      <c r="FE125" s="18"/>
      <c r="FF125" s="18"/>
      <c r="FG125" s="18"/>
      <c r="FH125" s="18"/>
      <c r="FI125" s="18"/>
      <c r="FJ125" s="18"/>
      <c r="FK125" s="18"/>
      <c r="FL125" s="18"/>
      <c r="FM125" s="18"/>
      <c r="FN125" s="18"/>
      <c r="FO125" s="18"/>
      <c r="FP125" s="18"/>
      <c r="FQ125" s="18"/>
      <c r="FR125" s="18"/>
      <c r="FS125" s="18"/>
      <c r="FT125" s="18"/>
      <c r="FU125" s="18"/>
      <c r="FV125" s="18"/>
      <c r="FW125" s="18"/>
      <c r="FX125" s="18"/>
      <c r="FY125" s="18"/>
      <c r="FZ125" s="18"/>
      <c r="GA125" s="18"/>
      <c r="GB125" s="18"/>
      <c r="GC125" s="18"/>
      <c r="GD125" s="18"/>
      <c r="GE125" s="18"/>
      <c r="GF125" s="18"/>
      <c r="GG125" s="18"/>
      <c r="GH125" s="18"/>
      <c r="GI125" s="18"/>
      <c r="GJ125" s="18"/>
      <c r="GK125" s="18"/>
      <c r="GL125" s="18"/>
      <c r="GM125" s="18"/>
      <c r="GN125" s="18"/>
      <c r="GO125" s="18"/>
      <c r="GP125" s="18"/>
      <c r="GQ125" s="18"/>
      <c r="GR125" s="18"/>
      <c r="GS125" s="18"/>
      <c r="GT125" s="18"/>
      <c r="GU125" s="18"/>
      <c r="GV125" s="18"/>
      <c r="GW125" s="18"/>
      <c r="GX125" s="18"/>
      <c r="GY125" s="18"/>
      <c r="GZ125" s="18"/>
      <c r="HA125" s="18"/>
      <c r="HB125" s="18"/>
      <c r="HC125" s="18"/>
      <c r="HD125" s="18"/>
      <c r="HE125" s="18"/>
      <c r="HF125" s="18"/>
      <c r="HG125" s="18"/>
      <c r="HH125" s="18"/>
      <c r="HI125" s="18"/>
      <c r="HJ125" s="18"/>
      <c r="HK125" s="18"/>
      <c r="HL125" s="18"/>
      <c r="HM125" s="18"/>
      <c r="HN125" s="18"/>
      <c r="HO125" s="18"/>
      <c r="HP125" s="18"/>
      <c r="HQ125" s="18"/>
      <c r="HR125" s="18"/>
      <c r="HS125" s="18"/>
      <c r="HT125" s="18"/>
      <c r="HU125" s="18"/>
      <c r="HV125" s="18"/>
      <c r="HW125" s="18"/>
      <c r="HX125" s="18"/>
      <c r="HY125" s="18"/>
      <c r="HZ125" s="18"/>
      <c r="IA125" s="18"/>
      <c r="IB125" s="18"/>
      <c r="IC125" s="18"/>
      <c r="ID125" s="18"/>
      <c r="IE125" s="18"/>
      <c r="IF125" s="18"/>
      <c r="IG125" s="18"/>
      <c r="IH125" s="18"/>
      <c r="II125" s="18"/>
      <c r="IJ125" s="18"/>
      <c r="IK125" s="18"/>
      <c r="IL125" s="18"/>
      <c r="IM125" s="18"/>
      <c r="IN125" s="18"/>
      <c r="IO125" s="18"/>
      <c r="IP125" s="18"/>
      <c r="IQ125" s="18"/>
      <c r="IR125" s="18"/>
      <c r="IS125" s="18"/>
      <c r="IT125" s="18"/>
      <c r="IU125" s="18"/>
      <c r="IV125" s="18"/>
      <c r="IW125" s="18"/>
      <c r="IX125" s="18"/>
      <c r="IY125" s="18"/>
      <c r="IZ125" s="18"/>
      <c r="JA125" s="18"/>
      <c r="JB125" s="18"/>
      <c r="JC125" s="18"/>
      <c r="JD125" s="18"/>
      <c r="JE125" s="18"/>
      <c r="JF125" s="18"/>
      <c r="JG125" s="18"/>
      <c r="JH125" s="18"/>
      <c r="JI125" s="18"/>
      <c r="JJ125" s="18"/>
      <c r="JK125" s="18"/>
      <c r="JL125" s="18"/>
      <c r="JM125" s="18"/>
      <c r="JN125" s="18"/>
      <c r="JO125" s="18"/>
      <c r="JP125" s="18"/>
      <c r="JQ125" s="18"/>
      <c r="JR125" s="18"/>
      <c r="JS125" s="18"/>
      <c r="JT125" s="18"/>
      <c r="JU125" s="18"/>
      <c r="JV125" s="18"/>
      <c r="JW125" s="18"/>
      <c r="JX125" s="18"/>
      <c r="JY125" s="18"/>
      <c r="JZ125" s="18"/>
      <c r="KA125" s="18"/>
      <c r="KB125" s="18"/>
      <c r="KC125" s="18"/>
      <c r="KD125" s="18"/>
      <c r="KE125" s="18"/>
      <c r="KF125" s="18"/>
      <c r="KG125" s="18"/>
      <c r="KH125" s="18"/>
      <c r="KI125" s="18"/>
      <c r="KJ125" s="18"/>
      <c r="KK125" s="18"/>
      <c r="KL125" s="18"/>
      <c r="KM125" s="18"/>
      <c r="KN125" s="18"/>
      <c r="KO125" s="18"/>
      <c r="KP125" s="18"/>
      <c r="KQ125" s="18"/>
      <c r="KR125" s="18"/>
      <c r="KS125" s="18"/>
      <c r="KT125" s="18"/>
      <c r="KU125" s="18"/>
      <c r="KV125" s="18"/>
      <c r="KW125" s="18"/>
      <c r="KX125" s="18"/>
      <c r="KY125" s="18"/>
      <c r="KZ125" s="18"/>
      <c r="LA125" s="18"/>
      <c r="LB125" s="18"/>
      <c r="LC125" s="18"/>
      <c r="LD125" s="18"/>
      <c r="LE125" s="18"/>
      <c r="LF125" s="18"/>
      <c r="LG125" s="18"/>
      <c r="LH125" s="18"/>
      <c r="LI125" s="18"/>
      <c r="LJ125" s="18"/>
      <c r="LK125" s="18"/>
      <c r="LL125" s="18"/>
      <c r="LM125" s="18"/>
      <c r="LN125" s="18"/>
      <c r="LO125" s="18"/>
      <c r="LP125" s="18"/>
      <c r="LQ125" s="18"/>
      <c r="LR125" s="18"/>
      <c r="LS125" s="18"/>
      <c r="LT125" s="18"/>
      <c r="LU125" s="18"/>
      <c r="LV125" s="18"/>
      <c r="LW125" s="18"/>
      <c r="LX125" s="18"/>
      <c r="LY125" s="18"/>
      <c r="LZ125" s="18"/>
      <c r="MA125" s="18"/>
      <c r="MB125" s="18"/>
      <c r="MC125" s="18"/>
      <c r="MD125" s="18"/>
      <c r="ME125" s="18"/>
      <c r="MF125" s="18"/>
      <c r="MG125" s="18"/>
      <c r="MH125" s="18"/>
      <c r="MI125" s="18"/>
      <c r="MJ125" s="18"/>
      <c r="MK125" s="18"/>
      <c r="ML125" s="18"/>
      <c r="MM125" s="18"/>
      <c r="MN125" s="18"/>
      <c r="MO125" s="18"/>
      <c r="MP125" s="18"/>
      <c r="MQ125" s="18"/>
      <c r="MR125" s="18"/>
      <c r="MS125" s="18"/>
      <c r="MT125" s="18"/>
      <c r="MU125" s="18"/>
      <c r="MV125" s="18"/>
      <c r="MW125" s="18"/>
      <c r="MX125" s="18"/>
      <c r="MY125" s="18"/>
      <c r="MZ125" s="18"/>
      <c r="NA125" s="18"/>
      <c r="NB125" s="18"/>
      <c r="NC125" s="18"/>
      <c r="ND125" s="18"/>
      <c r="NE125" s="18"/>
      <c r="NF125" s="18"/>
      <c r="NG125" s="18"/>
      <c r="NH125" s="18"/>
      <c r="NI125" s="18"/>
      <c r="NJ125" s="18"/>
      <c r="NK125" s="18"/>
      <c r="NL125" s="18"/>
      <c r="NM125" s="18"/>
      <c r="NN125" s="18"/>
      <c r="NO125" s="18"/>
      <c r="NP125" s="18"/>
      <c r="NQ125" s="18"/>
      <c r="NR125" s="18"/>
      <c r="NS125" s="18"/>
      <c r="NT125" s="18"/>
      <c r="NU125" s="18"/>
      <c r="NV125" s="18"/>
      <c r="NW125" s="18"/>
      <c r="NX125" s="18"/>
      <c r="NY125" s="18"/>
      <c r="NZ125" s="18"/>
      <c r="OA125" s="18"/>
      <c r="OB125" s="18"/>
      <c r="OC125" s="18"/>
      <c r="OD125" s="18"/>
      <c r="OE125" s="18"/>
      <c r="OF125" s="18"/>
      <c r="OG125" s="18"/>
      <c r="OH125" s="18"/>
      <c r="OI125" s="18"/>
      <c r="OJ125" s="18"/>
      <c r="OK125" s="18"/>
      <c r="OL125" s="18"/>
      <c r="OM125" s="18"/>
      <c r="ON125" s="18"/>
      <c r="OO125" s="18"/>
      <c r="OP125" s="18"/>
      <c r="OQ125" s="18"/>
      <c r="OR125" s="18"/>
      <c r="OS125" s="18"/>
      <c r="OT125" s="18"/>
      <c r="OU125" s="18"/>
      <c r="OV125" s="18"/>
      <c r="OW125" s="18"/>
      <c r="OX125" s="18"/>
      <c r="OY125" s="18"/>
      <c r="OZ125" s="18"/>
      <c r="PA125" s="18"/>
      <c r="PB125" s="18"/>
      <c r="PC125" s="18"/>
      <c r="PD125" s="18"/>
      <c r="PE125" s="18"/>
      <c r="PF125" s="18"/>
      <c r="PG125" s="18"/>
      <c r="PH125" s="18"/>
      <c r="PI125" s="18"/>
      <c r="PJ125" s="18"/>
      <c r="PK125" s="18"/>
      <c r="PL125" s="18"/>
      <c r="PM125" s="18"/>
      <c r="PN125" s="18"/>
      <c r="PO125" s="18"/>
      <c r="PP125" s="18"/>
      <c r="PQ125" s="18"/>
      <c r="PR125" s="18"/>
      <c r="PS125" s="18"/>
      <c r="PT125" s="18"/>
      <c r="PU125" s="18"/>
      <c r="PV125" s="18"/>
      <c r="PW125" s="18"/>
      <c r="PX125" s="18"/>
      <c r="PY125" s="18"/>
      <c r="PZ125" s="18"/>
      <c r="QA125" s="18"/>
      <c r="QB125" s="18"/>
      <c r="QC125" s="18"/>
      <c r="QD125" s="18"/>
      <c r="QE125" s="18"/>
      <c r="QF125" s="18"/>
      <c r="QG125" s="18"/>
      <c r="QH125" s="18"/>
      <c r="QI125" s="18"/>
      <c r="QJ125" s="18"/>
      <c r="QK125" s="18"/>
      <c r="QL125" s="18"/>
      <c r="QM125" s="18"/>
      <c r="QN125" s="18"/>
      <c r="QO125" s="18"/>
      <c r="QP125" s="18"/>
      <c r="QQ125" s="18"/>
      <c r="QR125" s="18"/>
      <c r="QS125" s="18"/>
      <c r="QT125" s="18"/>
      <c r="QU125" s="18"/>
      <c r="QV125" s="18"/>
      <c r="QW125" s="18"/>
      <c r="QX125" s="18"/>
      <c r="QY125" s="18"/>
      <c r="QZ125" s="18"/>
      <c r="RA125" s="18"/>
      <c r="RB125" s="18"/>
      <c r="RC125" s="18"/>
      <c r="RD125" s="18"/>
      <c r="RE125" s="18"/>
      <c r="RF125" s="18"/>
      <c r="RG125" s="18"/>
      <c r="RH125" s="18"/>
      <c r="RI125" s="18"/>
      <c r="RJ125" s="18"/>
      <c r="RK125" s="18"/>
      <c r="RL125" s="18"/>
      <c r="RM125" s="18"/>
      <c r="RN125" s="18"/>
      <c r="RO125" s="18"/>
      <c r="RP125" s="18"/>
      <c r="RQ125" s="18"/>
      <c r="RR125" s="18"/>
      <c r="RS125" s="18"/>
      <c r="RT125" s="18"/>
      <c r="RU125" s="18"/>
      <c r="RV125" s="18"/>
      <c r="RW125" s="18"/>
      <c r="RX125" s="18"/>
      <c r="RY125" s="18"/>
      <c r="RZ125" s="18"/>
      <c r="SA125" s="18"/>
      <c r="SB125" s="18"/>
      <c r="SC125" s="18"/>
      <c r="SD125" s="18"/>
      <c r="SE125" s="18"/>
      <c r="SF125" s="18"/>
      <c r="SG125" s="18"/>
      <c r="SH125" s="18"/>
      <c r="SI125" s="18"/>
      <c r="SJ125" s="18"/>
      <c r="SK125" s="18"/>
      <c r="SL125" s="18"/>
      <c r="SM125" s="18"/>
      <c r="SN125" s="18"/>
      <c r="SO125" s="18"/>
      <c r="SP125" s="18"/>
      <c r="SQ125" s="18"/>
      <c r="SR125" s="18"/>
      <c r="SS125" s="18"/>
      <c r="ST125" s="18"/>
      <c r="SU125" s="18"/>
      <c r="SV125" s="18"/>
      <c r="SW125" s="18"/>
      <c r="SX125" s="18"/>
      <c r="SY125" s="18"/>
      <c r="SZ125" s="18"/>
      <c r="TA125" s="18"/>
      <c r="TB125" s="18"/>
      <c r="TC125" s="18"/>
      <c r="TD125" s="18"/>
      <c r="TE125" s="18"/>
      <c r="TF125" s="18"/>
      <c r="TG125" s="18"/>
      <c r="TH125" s="18"/>
      <c r="TI125" s="18"/>
      <c r="TJ125" s="18"/>
      <c r="TK125" s="18"/>
      <c r="TL125" s="18"/>
      <c r="TM125" s="18"/>
      <c r="TN125" s="18"/>
      <c r="TO125" s="18"/>
      <c r="TP125" s="18"/>
      <c r="TQ125" s="18"/>
      <c r="TR125" s="18"/>
      <c r="TS125" s="18"/>
      <c r="TT125" s="18"/>
      <c r="TU125" s="18"/>
      <c r="TV125" s="18"/>
      <c r="TW125" s="18"/>
      <c r="TX125" s="18"/>
      <c r="TY125" s="18"/>
      <c r="TZ125" s="18"/>
      <c r="UA125" s="18"/>
      <c r="UB125" s="18"/>
      <c r="UC125" s="18"/>
      <c r="UD125" s="18"/>
      <c r="UE125" s="18"/>
      <c r="UF125" s="18"/>
      <c r="UG125" s="18"/>
      <c r="UH125" s="18"/>
      <c r="UI125" s="18"/>
      <c r="UJ125" s="18"/>
      <c r="UK125" s="18"/>
      <c r="UL125" s="18"/>
      <c r="UM125" s="18"/>
      <c r="UN125" s="18"/>
      <c r="UO125" s="18"/>
      <c r="UP125" s="18"/>
      <c r="UQ125" s="18"/>
      <c r="UR125" s="18"/>
      <c r="US125" s="18"/>
      <c r="UT125" s="18"/>
      <c r="UU125" s="18"/>
      <c r="UV125" s="18"/>
      <c r="UW125" s="18"/>
      <c r="UX125" s="18"/>
      <c r="UY125" s="18"/>
      <c r="UZ125" s="18"/>
      <c r="VA125" s="18"/>
      <c r="VB125" s="18"/>
      <c r="VC125" s="18"/>
      <c r="VD125" s="18"/>
      <c r="VE125" s="18"/>
      <c r="VF125" s="18"/>
      <c r="VG125" s="18"/>
      <c r="VH125" s="18"/>
      <c r="VI125" s="18"/>
      <c r="VJ125" s="18"/>
      <c r="VK125" s="18"/>
      <c r="VL125" s="18"/>
      <c r="VM125" s="18"/>
      <c r="VN125" s="18"/>
      <c r="VO125" s="18"/>
      <c r="VP125" s="18"/>
      <c r="VQ125" s="18"/>
      <c r="VR125" s="18"/>
      <c r="VS125" s="18"/>
      <c r="VT125" s="18"/>
      <c r="VU125" s="18"/>
      <c r="VV125" s="18"/>
      <c r="VW125" s="18"/>
      <c r="VX125" s="18"/>
      <c r="VY125" s="18"/>
      <c r="VZ125" s="18"/>
      <c r="WA125" s="18"/>
      <c r="WB125" s="18"/>
      <c r="WC125" s="18"/>
      <c r="WD125" s="18"/>
      <c r="WE125" s="18"/>
      <c r="WF125" s="18"/>
      <c r="WG125" s="18"/>
      <c r="WH125" s="18"/>
      <c r="WI125" s="18"/>
      <c r="WJ125" s="18"/>
      <c r="WK125" s="18"/>
      <c r="WL125" s="18"/>
      <c r="WM125" s="18"/>
      <c r="WN125" s="18"/>
      <c r="WO125" s="18"/>
      <c r="WP125" s="18"/>
      <c r="WQ125" s="18"/>
      <c r="WR125" s="18"/>
      <c r="WS125" s="18"/>
      <c r="WT125" s="18"/>
      <c r="WU125" s="18"/>
      <c r="WV125" s="18"/>
      <c r="WW125" s="18"/>
      <c r="WX125" s="18"/>
      <c r="WY125" s="18"/>
      <c r="WZ125" s="18"/>
      <c r="XA125" s="18"/>
      <c r="XB125" s="18"/>
      <c r="XC125" s="18"/>
      <c r="XD125" s="18"/>
      <c r="XE125" s="18"/>
      <c r="XF125" s="18"/>
      <c r="XG125" s="18"/>
      <c r="XH125" s="18"/>
      <c r="XI125" s="18"/>
      <c r="XJ125" s="18"/>
      <c r="XK125" s="18"/>
      <c r="XL125" s="18"/>
      <c r="XM125" s="18"/>
      <c r="XN125" s="18"/>
      <c r="XO125" s="18"/>
      <c r="XP125" s="18"/>
      <c r="XQ125" s="18"/>
      <c r="XR125" s="18"/>
      <c r="XS125" s="18"/>
      <c r="XT125" s="18"/>
      <c r="XU125" s="18"/>
      <c r="XV125" s="18"/>
      <c r="XW125" s="18"/>
      <c r="XX125" s="18"/>
      <c r="XY125" s="18"/>
      <c r="XZ125" s="18"/>
      <c r="YA125" s="18"/>
      <c r="YB125" s="18"/>
      <c r="YC125" s="18"/>
      <c r="YD125" s="18"/>
      <c r="YE125" s="18"/>
      <c r="YF125" s="18"/>
      <c r="YG125" s="18"/>
      <c r="YH125" s="18"/>
      <c r="YI125" s="18"/>
      <c r="YJ125" s="18"/>
      <c r="YK125" s="18"/>
      <c r="YL125" s="18"/>
      <c r="YM125" s="18"/>
      <c r="YN125" s="18"/>
      <c r="YO125" s="18"/>
      <c r="YP125" s="18"/>
      <c r="YQ125" s="18"/>
      <c r="YR125" s="18"/>
      <c r="YS125" s="18"/>
      <c r="YT125" s="18"/>
      <c r="YU125" s="18"/>
      <c r="YV125" s="18"/>
      <c r="YW125" s="18"/>
      <c r="YX125" s="18"/>
      <c r="YY125" s="18"/>
      <c r="YZ125" s="18"/>
      <c r="ZA125" s="18"/>
      <c r="ZB125" s="18"/>
      <c r="ZC125" s="18"/>
      <c r="ZD125" s="18"/>
      <c r="ZE125" s="18"/>
      <c r="ZF125" s="18"/>
      <c r="ZG125" s="18"/>
      <c r="ZH125" s="18"/>
      <c r="ZI125" s="18"/>
      <c r="ZJ125" s="18"/>
      <c r="ZK125" s="18"/>
      <c r="ZL125" s="18"/>
      <c r="ZM125" s="18"/>
      <c r="ZN125" s="18"/>
      <c r="ZO125" s="18"/>
      <c r="ZP125" s="18"/>
      <c r="ZQ125" s="18"/>
      <c r="ZR125" s="18"/>
      <c r="ZS125" s="18"/>
      <c r="ZT125" s="18"/>
      <c r="ZU125" s="18"/>
      <c r="ZV125" s="18"/>
      <c r="ZW125" s="18"/>
      <c r="ZX125" s="18"/>
      <c r="ZY125" s="18"/>
      <c r="ZZ125" s="18"/>
      <c r="AAA125" s="18"/>
      <c r="AAB125" s="18"/>
      <c r="AAC125" s="18"/>
      <c r="AAD125" s="18"/>
      <c r="AAE125" s="18"/>
      <c r="AAF125" s="18"/>
      <c r="AAG125" s="18"/>
      <c r="AAH125" s="18"/>
      <c r="AAI125" s="18"/>
      <c r="AAJ125" s="18"/>
      <c r="AAK125" s="18"/>
      <c r="AAL125" s="18"/>
      <c r="AAM125" s="18"/>
      <c r="AAN125" s="18"/>
      <c r="AAO125" s="18"/>
      <c r="AAP125" s="18"/>
      <c r="AAQ125" s="18"/>
      <c r="AAR125" s="18"/>
      <c r="AAS125" s="18"/>
      <c r="AAT125" s="18"/>
      <c r="AAU125" s="18"/>
      <c r="AAV125" s="18"/>
      <c r="AAW125" s="18"/>
      <c r="AAX125" s="18"/>
      <c r="AAY125" s="18"/>
      <c r="AAZ125" s="18"/>
      <c r="ABA125" s="18"/>
      <c r="ABB125" s="18"/>
      <c r="ABC125" s="18"/>
      <c r="ABD125" s="18"/>
      <c r="ABE125" s="18"/>
      <c r="ABF125" s="18"/>
      <c r="ABG125" s="18"/>
      <c r="ABH125" s="18"/>
      <c r="ABI125" s="18"/>
      <c r="ABJ125" s="18"/>
      <c r="ABK125" s="18"/>
      <c r="ABL125" s="18"/>
      <c r="ABM125" s="18"/>
      <c r="ABN125" s="18"/>
      <c r="ABO125" s="18"/>
      <c r="ABP125" s="18"/>
      <c r="ABQ125" s="18"/>
      <c r="ABR125" s="18"/>
      <c r="ABS125" s="18"/>
      <c r="ABT125" s="18"/>
      <c r="ABU125" s="18"/>
      <c r="ABV125" s="18"/>
      <c r="ABW125" s="18"/>
      <c r="ABX125" s="18"/>
      <c r="ABY125" s="18"/>
      <c r="ABZ125" s="18"/>
      <c r="ACA125" s="18"/>
      <c r="ACB125" s="18"/>
      <c r="ACC125" s="18"/>
      <c r="ACD125" s="18"/>
      <c r="ACE125" s="18"/>
      <c r="ACF125" s="18"/>
      <c r="ACG125" s="18"/>
      <c r="ACH125" s="18"/>
      <c r="ACI125" s="18"/>
      <c r="ACJ125" s="18"/>
      <c r="ACK125" s="18"/>
      <c r="ACL125" s="18"/>
      <c r="ACM125" s="18"/>
      <c r="ACN125" s="18"/>
      <c r="ACO125" s="18"/>
      <c r="ACP125" s="18"/>
      <c r="ACQ125" s="18"/>
      <c r="ACR125" s="18"/>
      <c r="ACS125" s="18"/>
      <c r="ACT125" s="18"/>
      <c r="ACU125" s="18"/>
      <c r="ACV125" s="18"/>
      <c r="ACW125" s="18"/>
      <c r="ACX125" s="18"/>
      <c r="ACY125" s="18"/>
      <c r="ACZ125" s="18"/>
      <c r="ADA125" s="18"/>
      <c r="ADB125" s="18"/>
      <c r="ADC125" s="18"/>
      <c r="ADD125" s="18"/>
      <c r="ADE125" s="18"/>
      <c r="ADF125" s="18"/>
      <c r="ADG125" s="18"/>
      <c r="ADH125" s="18"/>
      <c r="ADI125" s="18"/>
      <c r="ADJ125" s="18"/>
      <c r="ADK125" s="18"/>
      <c r="ADL125" s="18"/>
      <c r="ADM125" s="18"/>
      <c r="ADN125" s="18"/>
      <c r="ADO125" s="18"/>
      <c r="ADP125" s="18"/>
      <c r="ADQ125" s="18"/>
      <c r="ADR125" s="18"/>
      <c r="ADS125" s="18"/>
      <c r="ADT125" s="18"/>
      <c r="ADU125" s="18"/>
      <c r="ADV125" s="18"/>
      <c r="ADW125" s="18"/>
      <c r="ADX125" s="18"/>
      <c r="ADY125" s="18"/>
      <c r="ADZ125" s="18"/>
      <c r="AEA125" s="18"/>
      <c r="AEB125" s="18"/>
      <c r="AEC125" s="18"/>
      <c r="AED125" s="18"/>
      <c r="AEE125" s="18"/>
      <c r="AEF125" s="18"/>
      <c r="AEG125" s="18"/>
      <c r="AEH125" s="18"/>
      <c r="AEI125" s="18"/>
      <c r="AEJ125" s="18"/>
      <c r="AEK125" s="18"/>
      <c r="AEL125" s="18"/>
      <c r="AEM125" s="18"/>
      <c r="AEN125" s="18"/>
      <c r="AEO125" s="18"/>
      <c r="AEP125" s="18"/>
      <c r="AEQ125" s="18"/>
      <c r="AER125" s="18"/>
      <c r="AES125" s="18"/>
      <c r="AET125" s="18"/>
      <c r="AEU125" s="18"/>
      <c r="AEV125" s="18"/>
      <c r="AEW125" s="18"/>
      <c r="AEX125" s="18"/>
      <c r="AEY125" s="18"/>
      <c r="AEZ125" s="18"/>
      <c r="AFA125" s="18"/>
      <c r="AFB125" s="18"/>
      <c r="AFC125" s="18"/>
      <c r="AFD125" s="18"/>
      <c r="AFE125" s="18"/>
      <c r="AFF125" s="18"/>
      <c r="AFG125" s="18"/>
      <c r="AFH125" s="18"/>
      <c r="AFI125" s="18"/>
      <c r="AFJ125" s="18"/>
      <c r="AFK125" s="18"/>
      <c r="AFL125" s="18"/>
      <c r="AFM125" s="18"/>
      <c r="AFN125" s="18"/>
      <c r="AFO125" s="18"/>
      <c r="AFP125" s="18"/>
      <c r="AFQ125" s="18"/>
      <c r="AFR125" s="18"/>
      <c r="AFS125" s="18"/>
      <c r="AFT125" s="18"/>
      <c r="AFU125" s="18"/>
      <c r="AFV125" s="18"/>
      <c r="AFW125" s="18"/>
      <c r="AFX125" s="18"/>
      <c r="AFY125" s="18"/>
      <c r="AFZ125" s="18"/>
      <c r="AGA125" s="18"/>
      <c r="AGB125" s="18"/>
      <c r="AGC125" s="18"/>
      <c r="AGD125" s="18"/>
      <c r="AGE125" s="18"/>
      <c r="AGF125" s="18"/>
      <c r="AGG125" s="18"/>
      <c r="AGH125" s="18"/>
      <c r="AGI125" s="18"/>
      <c r="AGJ125" s="18"/>
      <c r="AGK125" s="18"/>
      <c r="AGL125" s="18"/>
      <c r="AGM125" s="18"/>
      <c r="AGN125" s="18"/>
      <c r="AGO125" s="18"/>
      <c r="AGP125" s="18"/>
      <c r="AGQ125" s="18"/>
      <c r="AGR125" s="18"/>
      <c r="AGS125" s="18"/>
      <c r="AGT125" s="18"/>
      <c r="AGU125" s="18"/>
      <c r="AGV125" s="18"/>
      <c r="AGW125" s="18"/>
      <c r="AGX125" s="18"/>
      <c r="AGY125" s="18"/>
      <c r="AGZ125" s="18"/>
      <c r="AHA125" s="18"/>
      <c r="AHB125" s="18"/>
      <c r="AHC125" s="18"/>
      <c r="AHD125" s="18"/>
      <c r="AHE125" s="18"/>
      <c r="AHF125" s="18"/>
      <c r="AHG125" s="18"/>
      <c r="AHH125" s="18"/>
      <c r="AHI125" s="18"/>
      <c r="AHJ125" s="18"/>
      <c r="AHK125" s="18"/>
      <c r="AHL125" s="18"/>
      <c r="AHM125" s="18"/>
      <c r="AHN125" s="18"/>
      <c r="AHO125" s="18"/>
      <c r="AHP125" s="18"/>
      <c r="AHQ125" s="18"/>
      <c r="AHR125" s="18"/>
      <c r="AHS125" s="18"/>
      <c r="AHT125" s="18"/>
      <c r="AHU125" s="18"/>
      <c r="AHV125" s="18"/>
      <c r="AHW125" s="18"/>
      <c r="AHX125" s="18"/>
      <c r="AHY125" s="18"/>
      <c r="AHZ125" s="18"/>
      <c r="AIA125" s="18"/>
      <c r="AIB125" s="18"/>
      <c r="AIC125" s="18"/>
      <c r="AID125" s="18"/>
      <c r="AIE125" s="18"/>
      <c r="AIF125" s="18"/>
      <c r="AIG125" s="18"/>
      <c r="AIH125" s="18"/>
      <c r="AII125" s="18"/>
      <c r="AIJ125" s="18"/>
      <c r="AIK125" s="18"/>
      <c r="AIL125" s="18"/>
      <c r="AIM125" s="18"/>
      <c r="AIN125" s="18"/>
      <c r="AIO125" s="18"/>
      <c r="AIP125" s="18"/>
      <c r="AIQ125" s="18"/>
      <c r="AIR125" s="18"/>
      <c r="AIS125" s="18"/>
      <c r="AIT125" s="18"/>
      <c r="AIU125" s="18"/>
      <c r="AIV125" s="18"/>
      <c r="AIW125" s="18"/>
      <c r="AIX125" s="18"/>
      <c r="AIY125" s="18"/>
      <c r="AIZ125" s="18"/>
      <c r="AJA125" s="18"/>
      <c r="AJB125" s="18"/>
      <c r="AJC125" s="18"/>
      <c r="AJD125" s="18"/>
      <c r="AJE125" s="18"/>
      <c r="AJF125" s="18"/>
      <c r="AJG125" s="18"/>
      <c r="AJH125" s="18"/>
      <c r="AJI125" s="18"/>
      <c r="AJJ125" s="18"/>
      <c r="AJK125" s="18"/>
      <c r="AJL125" s="18"/>
      <c r="AJM125" s="18"/>
      <c r="AJN125" s="18"/>
      <c r="AJO125" s="18"/>
      <c r="AJP125" s="18"/>
      <c r="AJQ125" s="18"/>
      <c r="AJR125" s="18"/>
      <c r="AJS125" s="18"/>
      <c r="AJT125" s="18"/>
      <c r="AJU125" s="18"/>
      <c r="AJV125" s="18"/>
      <c r="AJW125" s="18"/>
      <c r="AJX125" s="18"/>
      <c r="AJY125" s="18"/>
      <c r="AJZ125" s="18"/>
      <c r="AKA125" s="18"/>
      <c r="AKB125" s="18"/>
      <c r="AKC125" s="18"/>
      <c r="AKD125" s="18"/>
      <c r="AKE125" s="18"/>
      <c r="AKF125" s="18"/>
      <c r="AKG125" s="18"/>
      <c r="AKH125" s="18"/>
      <c r="AKI125" s="18"/>
      <c r="AKJ125" s="18"/>
      <c r="AKK125" s="18"/>
      <c r="AKL125" s="18"/>
      <c r="AKM125" s="18"/>
      <c r="AKN125" s="18"/>
      <c r="AKO125" s="18"/>
      <c r="AKP125" s="18"/>
      <c r="AKQ125" s="18"/>
      <c r="AKR125" s="18"/>
      <c r="AKS125" s="18"/>
      <c r="AKT125" s="18"/>
      <c r="AKU125" s="18"/>
      <c r="AKV125" s="18"/>
      <c r="AKW125" s="18"/>
      <c r="AKX125" s="18"/>
      <c r="AKY125" s="18"/>
      <c r="AKZ125" s="18"/>
      <c r="ALA125" s="18"/>
      <c r="ALB125" s="18"/>
      <c r="ALC125" s="18"/>
      <c r="ALD125" s="18"/>
      <c r="ALE125" s="18"/>
      <c r="ALF125" s="18"/>
      <c r="ALG125" s="18"/>
      <c r="ALH125" s="18"/>
      <c r="ALI125" s="18"/>
      <c r="ALJ125" s="18"/>
      <c r="ALK125" s="18"/>
      <c r="ALL125" s="18"/>
      <c r="ALM125" s="18"/>
      <c r="ALN125" s="18"/>
      <c r="ALO125" s="18"/>
      <c r="ALP125" s="18"/>
      <c r="ALQ125" s="18"/>
      <c r="ALR125" s="18"/>
      <c r="ALS125" s="18"/>
      <c r="ALT125" s="18"/>
      <c r="ALU125" s="18"/>
      <c r="ALV125" s="18"/>
      <c r="ALW125" s="18"/>
      <c r="ALX125" s="18"/>
      <c r="ALY125" s="18"/>
      <c r="ALZ125" s="18"/>
      <c r="AMA125" s="18"/>
      <c r="AMB125" s="18"/>
      <c r="AMC125" s="18"/>
      <c r="AMD125" s="18"/>
      <c r="AME125" s="18"/>
      <c r="AMF125" s="18"/>
      <c r="AMG125" s="18"/>
      <c r="AMH125" s="18"/>
    </row>
    <row r="126" spans="1:1022" s="23" customFormat="1" x14ac:dyDescent="0.3">
      <c r="A126" s="33">
        <v>222</v>
      </c>
      <c r="B126" s="19"/>
      <c r="C126" s="19"/>
      <c r="D126" s="34"/>
      <c r="E126" s="34"/>
      <c r="F126" s="19"/>
      <c r="G126" s="19"/>
      <c r="H126" s="18"/>
      <c r="I126" s="31"/>
      <c r="J126" s="31"/>
      <c r="K126" s="31"/>
      <c r="L126" s="31"/>
      <c r="M126" s="32"/>
      <c r="N126" s="32"/>
      <c r="O126" s="18"/>
      <c r="P126" s="36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  <c r="BI126" s="18"/>
      <c r="BJ126" s="18"/>
      <c r="BK126" s="18"/>
      <c r="BL126" s="18"/>
      <c r="BM126" s="18"/>
      <c r="BN126" s="18"/>
      <c r="BO126" s="18"/>
      <c r="BP126" s="18"/>
      <c r="BQ126" s="18"/>
      <c r="BR126" s="18"/>
      <c r="BS126" s="18"/>
      <c r="BT126" s="18"/>
      <c r="BU126" s="18"/>
      <c r="BV126" s="18"/>
      <c r="BW126" s="18"/>
      <c r="BX126" s="18"/>
      <c r="BY126" s="18"/>
      <c r="BZ126" s="18"/>
      <c r="CA126" s="18"/>
      <c r="CB126" s="18"/>
      <c r="CC126" s="18"/>
      <c r="CD126" s="18"/>
      <c r="CE126" s="18"/>
      <c r="CF126" s="18"/>
      <c r="CG126" s="18"/>
      <c r="CH126" s="18"/>
      <c r="CI126" s="18"/>
      <c r="CJ126" s="18"/>
      <c r="CK126" s="18"/>
      <c r="CL126" s="18"/>
      <c r="CM126" s="18"/>
      <c r="CN126" s="18"/>
      <c r="CO126" s="18"/>
      <c r="CP126" s="18"/>
      <c r="CQ126" s="18"/>
      <c r="CR126" s="18"/>
      <c r="CS126" s="18"/>
      <c r="CT126" s="18"/>
      <c r="CU126" s="18"/>
      <c r="CV126" s="18"/>
      <c r="CW126" s="18"/>
      <c r="CX126" s="18"/>
      <c r="CY126" s="18"/>
      <c r="CZ126" s="18"/>
      <c r="DA126" s="18"/>
      <c r="DB126" s="18"/>
      <c r="DC126" s="18"/>
      <c r="DD126" s="18"/>
      <c r="DE126" s="18"/>
      <c r="DF126" s="18"/>
      <c r="DG126" s="18"/>
      <c r="DH126" s="18"/>
      <c r="DI126" s="18"/>
      <c r="DJ126" s="18"/>
      <c r="DK126" s="18"/>
      <c r="DL126" s="18"/>
      <c r="DM126" s="18"/>
      <c r="DN126" s="18"/>
      <c r="DO126" s="18"/>
      <c r="DP126" s="18"/>
      <c r="DQ126" s="18"/>
      <c r="DR126" s="18"/>
      <c r="DS126" s="18"/>
      <c r="DT126" s="18"/>
      <c r="DU126" s="18"/>
      <c r="DV126" s="18"/>
      <c r="DW126" s="18"/>
      <c r="DX126" s="18"/>
      <c r="DY126" s="18"/>
      <c r="DZ126" s="18"/>
      <c r="EA126" s="18"/>
      <c r="EB126" s="18"/>
      <c r="EC126" s="18"/>
      <c r="ED126" s="18"/>
      <c r="EE126" s="18"/>
      <c r="EF126" s="18"/>
      <c r="EG126" s="18"/>
      <c r="EH126" s="18"/>
      <c r="EI126" s="18"/>
      <c r="EJ126" s="18"/>
      <c r="EK126" s="18"/>
      <c r="EL126" s="18"/>
      <c r="EM126" s="18"/>
      <c r="EN126" s="18"/>
      <c r="EO126" s="18"/>
      <c r="EP126" s="18"/>
      <c r="EQ126" s="18"/>
      <c r="ER126" s="18"/>
      <c r="ES126" s="18"/>
      <c r="ET126" s="18"/>
      <c r="EU126" s="18"/>
      <c r="EV126" s="18"/>
      <c r="EW126" s="18"/>
      <c r="EX126" s="18"/>
      <c r="EY126" s="18"/>
      <c r="EZ126" s="18"/>
      <c r="FA126" s="18"/>
      <c r="FB126" s="18"/>
      <c r="FC126" s="18"/>
      <c r="FD126" s="18"/>
      <c r="FE126" s="18"/>
      <c r="FF126" s="18"/>
      <c r="FG126" s="18"/>
      <c r="FH126" s="18"/>
      <c r="FI126" s="18"/>
      <c r="FJ126" s="18"/>
      <c r="FK126" s="18"/>
      <c r="FL126" s="18"/>
      <c r="FM126" s="18"/>
      <c r="FN126" s="18"/>
      <c r="FO126" s="18"/>
      <c r="FP126" s="18"/>
      <c r="FQ126" s="18"/>
      <c r="FR126" s="18"/>
      <c r="FS126" s="18"/>
      <c r="FT126" s="18"/>
      <c r="FU126" s="18"/>
      <c r="FV126" s="18"/>
      <c r="FW126" s="18"/>
      <c r="FX126" s="18"/>
      <c r="FY126" s="18"/>
      <c r="FZ126" s="18"/>
      <c r="GA126" s="18"/>
      <c r="GB126" s="18"/>
      <c r="GC126" s="18"/>
      <c r="GD126" s="18"/>
      <c r="GE126" s="18"/>
      <c r="GF126" s="18"/>
      <c r="GG126" s="18"/>
      <c r="GH126" s="18"/>
      <c r="GI126" s="18"/>
      <c r="GJ126" s="18"/>
      <c r="GK126" s="18"/>
      <c r="GL126" s="18"/>
      <c r="GM126" s="18"/>
      <c r="GN126" s="18"/>
      <c r="GO126" s="18"/>
      <c r="GP126" s="18"/>
      <c r="GQ126" s="18"/>
      <c r="GR126" s="18"/>
      <c r="GS126" s="18"/>
      <c r="GT126" s="18"/>
      <c r="GU126" s="18"/>
      <c r="GV126" s="18"/>
      <c r="GW126" s="18"/>
      <c r="GX126" s="18"/>
      <c r="GY126" s="18"/>
      <c r="GZ126" s="18"/>
      <c r="HA126" s="18"/>
      <c r="HB126" s="18"/>
      <c r="HC126" s="18"/>
      <c r="HD126" s="18"/>
      <c r="HE126" s="18"/>
      <c r="HF126" s="18"/>
      <c r="HG126" s="18"/>
      <c r="HH126" s="18"/>
      <c r="HI126" s="18"/>
      <c r="HJ126" s="18"/>
      <c r="HK126" s="18"/>
      <c r="HL126" s="18"/>
      <c r="HM126" s="18"/>
      <c r="HN126" s="18"/>
      <c r="HO126" s="18"/>
      <c r="HP126" s="18"/>
      <c r="HQ126" s="18"/>
      <c r="HR126" s="18"/>
      <c r="HS126" s="18"/>
      <c r="HT126" s="18"/>
      <c r="HU126" s="18"/>
      <c r="HV126" s="18"/>
      <c r="HW126" s="18"/>
      <c r="HX126" s="18"/>
      <c r="HY126" s="18"/>
      <c r="HZ126" s="18"/>
      <c r="IA126" s="18"/>
      <c r="IB126" s="18"/>
      <c r="IC126" s="18"/>
      <c r="ID126" s="18"/>
      <c r="IE126" s="18"/>
      <c r="IF126" s="18"/>
      <c r="IG126" s="18"/>
      <c r="IH126" s="18"/>
      <c r="II126" s="18"/>
      <c r="IJ126" s="18"/>
      <c r="IK126" s="18"/>
      <c r="IL126" s="18"/>
      <c r="IM126" s="18"/>
      <c r="IN126" s="18"/>
      <c r="IO126" s="18"/>
      <c r="IP126" s="18"/>
      <c r="IQ126" s="18"/>
      <c r="IR126" s="18"/>
      <c r="IS126" s="18"/>
      <c r="IT126" s="18"/>
      <c r="IU126" s="18"/>
      <c r="IV126" s="18"/>
      <c r="IW126" s="18"/>
      <c r="IX126" s="18"/>
      <c r="IY126" s="18"/>
      <c r="IZ126" s="18"/>
      <c r="JA126" s="18"/>
      <c r="JB126" s="18"/>
      <c r="JC126" s="18"/>
      <c r="JD126" s="18"/>
      <c r="JE126" s="18"/>
      <c r="JF126" s="18"/>
      <c r="JG126" s="18"/>
      <c r="JH126" s="18"/>
      <c r="JI126" s="18"/>
      <c r="JJ126" s="18"/>
      <c r="JK126" s="18"/>
      <c r="JL126" s="18"/>
      <c r="JM126" s="18"/>
      <c r="JN126" s="18"/>
      <c r="JO126" s="18"/>
      <c r="JP126" s="18"/>
      <c r="JQ126" s="18"/>
      <c r="JR126" s="18"/>
      <c r="JS126" s="18"/>
      <c r="JT126" s="18"/>
      <c r="JU126" s="18"/>
      <c r="JV126" s="18"/>
      <c r="JW126" s="18"/>
      <c r="JX126" s="18"/>
      <c r="JY126" s="18"/>
      <c r="JZ126" s="18"/>
      <c r="KA126" s="18"/>
      <c r="KB126" s="18"/>
      <c r="KC126" s="18"/>
      <c r="KD126" s="18"/>
      <c r="KE126" s="18"/>
      <c r="KF126" s="18"/>
      <c r="KG126" s="18"/>
      <c r="KH126" s="18"/>
      <c r="KI126" s="18"/>
      <c r="KJ126" s="18"/>
      <c r="KK126" s="18"/>
      <c r="KL126" s="18"/>
      <c r="KM126" s="18"/>
      <c r="KN126" s="18"/>
      <c r="KO126" s="18"/>
      <c r="KP126" s="18"/>
      <c r="KQ126" s="18"/>
      <c r="KR126" s="18"/>
      <c r="KS126" s="18"/>
      <c r="KT126" s="18"/>
      <c r="KU126" s="18"/>
      <c r="KV126" s="18"/>
      <c r="KW126" s="18"/>
      <c r="KX126" s="18"/>
      <c r="KY126" s="18"/>
      <c r="KZ126" s="18"/>
      <c r="LA126" s="18"/>
      <c r="LB126" s="18"/>
      <c r="LC126" s="18"/>
      <c r="LD126" s="18"/>
      <c r="LE126" s="18"/>
      <c r="LF126" s="18"/>
      <c r="LG126" s="18"/>
      <c r="LH126" s="18"/>
      <c r="LI126" s="18"/>
      <c r="LJ126" s="18"/>
      <c r="LK126" s="18"/>
      <c r="LL126" s="18"/>
      <c r="LM126" s="18"/>
      <c r="LN126" s="18"/>
      <c r="LO126" s="18"/>
      <c r="LP126" s="18"/>
      <c r="LQ126" s="18"/>
      <c r="LR126" s="18"/>
      <c r="LS126" s="18"/>
      <c r="LT126" s="18"/>
      <c r="LU126" s="18"/>
      <c r="LV126" s="18"/>
      <c r="LW126" s="18"/>
      <c r="LX126" s="18"/>
      <c r="LY126" s="18"/>
      <c r="LZ126" s="18"/>
      <c r="MA126" s="18"/>
      <c r="MB126" s="18"/>
      <c r="MC126" s="18"/>
      <c r="MD126" s="18"/>
      <c r="ME126" s="18"/>
      <c r="MF126" s="18"/>
      <c r="MG126" s="18"/>
      <c r="MH126" s="18"/>
      <c r="MI126" s="18"/>
      <c r="MJ126" s="18"/>
      <c r="MK126" s="18"/>
      <c r="ML126" s="18"/>
      <c r="MM126" s="18"/>
      <c r="MN126" s="18"/>
      <c r="MO126" s="18"/>
      <c r="MP126" s="18"/>
      <c r="MQ126" s="18"/>
      <c r="MR126" s="18"/>
      <c r="MS126" s="18"/>
      <c r="MT126" s="18"/>
      <c r="MU126" s="18"/>
      <c r="MV126" s="18"/>
      <c r="MW126" s="18"/>
      <c r="MX126" s="18"/>
      <c r="MY126" s="18"/>
      <c r="MZ126" s="18"/>
      <c r="NA126" s="18"/>
      <c r="NB126" s="18"/>
      <c r="NC126" s="18"/>
      <c r="ND126" s="18"/>
      <c r="NE126" s="18"/>
      <c r="NF126" s="18"/>
      <c r="NG126" s="18"/>
      <c r="NH126" s="18"/>
      <c r="NI126" s="18"/>
      <c r="NJ126" s="18"/>
      <c r="NK126" s="18"/>
      <c r="NL126" s="18"/>
      <c r="NM126" s="18"/>
      <c r="NN126" s="18"/>
      <c r="NO126" s="18"/>
      <c r="NP126" s="18"/>
      <c r="NQ126" s="18"/>
      <c r="NR126" s="18"/>
      <c r="NS126" s="18"/>
      <c r="NT126" s="18"/>
      <c r="NU126" s="18"/>
      <c r="NV126" s="18"/>
      <c r="NW126" s="18"/>
      <c r="NX126" s="18"/>
      <c r="NY126" s="18"/>
      <c r="NZ126" s="18"/>
      <c r="OA126" s="18"/>
      <c r="OB126" s="18"/>
      <c r="OC126" s="18"/>
      <c r="OD126" s="18"/>
      <c r="OE126" s="18"/>
      <c r="OF126" s="18"/>
      <c r="OG126" s="18"/>
      <c r="OH126" s="18"/>
      <c r="OI126" s="18"/>
      <c r="OJ126" s="18"/>
      <c r="OK126" s="18"/>
      <c r="OL126" s="18"/>
      <c r="OM126" s="18"/>
      <c r="ON126" s="18"/>
      <c r="OO126" s="18"/>
      <c r="OP126" s="18"/>
      <c r="OQ126" s="18"/>
      <c r="OR126" s="18"/>
      <c r="OS126" s="18"/>
      <c r="OT126" s="18"/>
      <c r="OU126" s="18"/>
      <c r="OV126" s="18"/>
      <c r="OW126" s="18"/>
      <c r="OX126" s="18"/>
      <c r="OY126" s="18"/>
      <c r="OZ126" s="18"/>
      <c r="PA126" s="18"/>
      <c r="PB126" s="18"/>
      <c r="PC126" s="18"/>
      <c r="PD126" s="18"/>
      <c r="PE126" s="18"/>
      <c r="PF126" s="18"/>
      <c r="PG126" s="18"/>
      <c r="PH126" s="18"/>
      <c r="PI126" s="18"/>
      <c r="PJ126" s="18"/>
      <c r="PK126" s="18"/>
      <c r="PL126" s="18"/>
      <c r="PM126" s="18"/>
      <c r="PN126" s="18"/>
      <c r="PO126" s="18"/>
      <c r="PP126" s="18"/>
      <c r="PQ126" s="18"/>
      <c r="PR126" s="18"/>
      <c r="PS126" s="18"/>
      <c r="PT126" s="18"/>
      <c r="PU126" s="18"/>
      <c r="PV126" s="18"/>
      <c r="PW126" s="18"/>
      <c r="PX126" s="18"/>
      <c r="PY126" s="18"/>
      <c r="PZ126" s="18"/>
      <c r="QA126" s="18"/>
      <c r="QB126" s="18"/>
      <c r="QC126" s="18"/>
      <c r="QD126" s="18"/>
      <c r="QE126" s="18"/>
      <c r="QF126" s="18"/>
      <c r="QG126" s="18"/>
      <c r="QH126" s="18"/>
      <c r="QI126" s="18"/>
      <c r="QJ126" s="18"/>
      <c r="QK126" s="18"/>
      <c r="QL126" s="18"/>
      <c r="QM126" s="18"/>
      <c r="QN126" s="18"/>
      <c r="QO126" s="18"/>
      <c r="QP126" s="18"/>
      <c r="QQ126" s="18"/>
      <c r="QR126" s="18"/>
      <c r="QS126" s="18"/>
      <c r="QT126" s="18"/>
      <c r="QU126" s="18"/>
      <c r="QV126" s="18"/>
      <c r="QW126" s="18"/>
      <c r="QX126" s="18"/>
      <c r="QY126" s="18"/>
      <c r="QZ126" s="18"/>
      <c r="RA126" s="18"/>
      <c r="RB126" s="18"/>
      <c r="RC126" s="18"/>
      <c r="RD126" s="18"/>
      <c r="RE126" s="18"/>
      <c r="RF126" s="18"/>
      <c r="RG126" s="18"/>
      <c r="RH126" s="18"/>
      <c r="RI126" s="18"/>
      <c r="RJ126" s="18"/>
      <c r="RK126" s="18"/>
      <c r="RL126" s="18"/>
      <c r="RM126" s="18"/>
      <c r="RN126" s="18"/>
      <c r="RO126" s="18"/>
      <c r="RP126" s="18"/>
      <c r="RQ126" s="18"/>
      <c r="RR126" s="18"/>
      <c r="RS126" s="18"/>
      <c r="RT126" s="18"/>
      <c r="RU126" s="18"/>
      <c r="RV126" s="18"/>
      <c r="RW126" s="18"/>
      <c r="RX126" s="18"/>
      <c r="RY126" s="18"/>
      <c r="RZ126" s="18"/>
      <c r="SA126" s="18"/>
      <c r="SB126" s="18"/>
      <c r="SC126" s="18"/>
      <c r="SD126" s="18"/>
      <c r="SE126" s="18"/>
      <c r="SF126" s="18"/>
      <c r="SG126" s="18"/>
      <c r="SH126" s="18"/>
      <c r="SI126" s="18"/>
      <c r="SJ126" s="18"/>
      <c r="SK126" s="18"/>
      <c r="SL126" s="18"/>
      <c r="SM126" s="18"/>
      <c r="SN126" s="18"/>
      <c r="SO126" s="18"/>
      <c r="SP126" s="18"/>
      <c r="SQ126" s="18"/>
      <c r="SR126" s="18"/>
      <c r="SS126" s="18"/>
      <c r="ST126" s="18"/>
      <c r="SU126" s="18"/>
      <c r="SV126" s="18"/>
      <c r="SW126" s="18"/>
      <c r="SX126" s="18"/>
      <c r="SY126" s="18"/>
      <c r="SZ126" s="18"/>
      <c r="TA126" s="18"/>
      <c r="TB126" s="18"/>
      <c r="TC126" s="18"/>
      <c r="TD126" s="18"/>
      <c r="TE126" s="18"/>
      <c r="TF126" s="18"/>
      <c r="TG126" s="18"/>
      <c r="TH126" s="18"/>
      <c r="TI126" s="18"/>
      <c r="TJ126" s="18"/>
      <c r="TK126" s="18"/>
      <c r="TL126" s="18"/>
      <c r="TM126" s="18"/>
      <c r="TN126" s="18"/>
      <c r="TO126" s="18"/>
      <c r="TP126" s="18"/>
      <c r="TQ126" s="18"/>
      <c r="TR126" s="18"/>
      <c r="TS126" s="18"/>
      <c r="TT126" s="18"/>
      <c r="TU126" s="18"/>
      <c r="TV126" s="18"/>
      <c r="TW126" s="18"/>
      <c r="TX126" s="18"/>
      <c r="TY126" s="18"/>
      <c r="TZ126" s="18"/>
      <c r="UA126" s="18"/>
      <c r="UB126" s="18"/>
      <c r="UC126" s="18"/>
      <c r="UD126" s="18"/>
      <c r="UE126" s="18"/>
      <c r="UF126" s="18"/>
      <c r="UG126" s="18"/>
      <c r="UH126" s="18"/>
      <c r="UI126" s="18"/>
      <c r="UJ126" s="18"/>
      <c r="UK126" s="18"/>
      <c r="UL126" s="18"/>
      <c r="UM126" s="18"/>
      <c r="UN126" s="18"/>
      <c r="UO126" s="18"/>
      <c r="UP126" s="18"/>
      <c r="UQ126" s="18"/>
      <c r="UR126" s="18"/>
      <c r="US126" s="18"/>
      <c r="UT126" s="18"/>
      <c r="UU126" s="18"/>
      <c r="UV126" s="18"/>
      <c r="UW126" s="18"/>
      <c r="UX126" s="18"/>
      <c r="UY126" s="18"/>
      <c r="UZ126" s="18"/>
      <c r="VA126" s="18"/>
      <c r="VB126" s="18"/>
      <c r="VC126" s="18"/>
      <c r="VD126" s="18"/>
      <c r="VE126" s="18"/>
      <c r="VF126" s="18"/>
      <c r="VG126" s="18"/>
      <c r="VH126" s="18"/>
      <c r="VI126" s="18"/>
      <c r="VJ126" s="18"/>
      <c r="VK126" s="18"/>
      <c r="VL126" s="18"/>
      <c r="VM126" s="18"/>
      <c r="VN126" s="18"/>
      <c r="VO126" s="18"/>
      <c r="VP126" s="18"/>
      <c r="VQ126" s="18"/>
      <c r="VR126" s="18"/>
      <c r="VS126" s="18"/>
      <c r="VT126" s="18"/>
      <c r="VU126" s="18"/>
      <c r="VV126" s="18"/>
      <c r="VW126" s="18"/>
      <c r="VX126" s="18"/>
      <c r="VY126" s="18"/>
      <c r="VZ126" s="18"/>
      <c r="WA126" s="18"/>
      <c r="WB126" s="18"/>
      <c r="WC126" s="18"/>
      <c r="WD126" s="18"/>
      <c r="WE126" s="18"/>
      <c r="WF126" s="18"/>
      <c r="WG126" s="18"/>
      <c r="WH126" s="18"/>
      <c r="WI126" s="18"/>
      <c r="WJ126" s="18"/>
      <c r="WK126" s="18"/>
      <c r="WL126" s="18"/>
      <c r="WM126" s="18"/>
      <c r="WN126" s="18"/>
      <c r="WO126" s="18"/>
      <c r="WP126" s="18"/>
      <c r="WQ126" s="18"/>
      <c r="WR126" s="18"/>
      <c r="WS126" s="18"/>
      <c r="WT126" s="18"/>
      <c r="WU126" s="18"/>
      <c r="WV126" s="18"/>
      <c r="WW126" s="18"/>
      <c r="WX126" s="18"/>
      <c r="WY126" s="18"/>
      <c r="WZ126" s="18"/>
      <c r="XA126" s="18"/>
      <c r="XB126" s="18"/>
      <c r="XC126" s="18"/>
      <c r="XD126" s="18"/>
      <c r="XE126" s="18"/>
      <c r="XF126" s="18"/>
      <c r="XG126" s="18"/>
      <c r="XH126" s="18"/>
      <c r="XI126" s="18"/>
      <c r="XJ126" s="18"/>
      <c r="XK126" s="18"/>
      <c r="XL126" s="18"/>
      <c r="XM126" s="18"/>
      <c r="XN126" s="18"/>
      <c r="XO126" s="18"/>
      <c r="XP126" s="18"/>
      <c r="XQ126" s="18"/>
      <c r="XR126" s="18"/>
      <c r="XS126" s="18"/>
      <c r="XT126" s="18"/>
      <c r="XU126" s="18"/>
      <c r="XV126" s="18"/>
      <c r="XW126" s="18"/>
      <c r="XX126" s="18"/>
      <c r="XY126" s="18"/>
      <c r="XZ126" s="18"/>
      <c r="YA126" s="18"/>
      <c r="YB126" s="18"/>
      <c r="YC126" s="18"/>
      <c r="YD126" s="18"/>
      <c r="YE126" s="18"/>
      <c r="YF126" s="18"/>
      <c r="YG126" s="18"/>
      <c r="YH126" s="18"/>
      <c r="YI126" s="18"/>
      <c r="YJ126" s="18"/>
      <c r="YK126" s="18"/>
      <c r="YL126" s="18"/>
      <c r="YM126" s="18"/>
      <c r="YN126" s="18"/>
      <c r="YO126" s="18"/>
      <c r="YP126" s="18"/>
      <c r="YQ126" s="18"/>
      <c r="YR126" s="18"/>
      <c r="YS126" s="18"/>
      <c r="YT126" s="18"/>
      <c r="YU126" s="18"/>
      <c r="YV126" s="18"/>
      <c r="YW126" s="18"/>
      <c r="YX126" s="18"/>
      <c r="YY126" s="18"/>
      <c r="YZ126" s="18"/>
      <c r="ZA126" s="18"/>
      <c r="ZB126" s="18"/>
      <c r="ZC126" s="18"/>
      <c r="ZD126" s="18"/>
      <c r="ZE126" s="18"/>
      <c r="ZF126" s="18"/>
      <c r="ZG126" s="18"/>
      <c r="ZH126" s="18"/>
      <c r="ZI126" s="18"/>
      <c r="ZJ126" s="18"/>
      <c r="ZK126" s="18"/>
      <c r="ZL126" s="18"/>
      <c r="ZM126" s="18"/>
      <c r="ZN126" s="18"/>
      <c r="ZO126" s="18"/>
      <c r="ZP126" s="18"/>
      <c r="ZQ126" s="18"/>
      <c r="ZR126" s="18"/>
      <c r="ZS126" s="18"/>
      <c r="ZT126" s="18"/>
      <c r="ZU126" s="18"/>
      <c r="ZV126" s="18"/>
      <c r="ZW126" s="18"/>
      <c r="ZX126" s="18"/>
      <c r="ZY126" s="18"/>
      <c r="ZZ126" s="18"/>
      <c r="AAA126" s="18"/>
      <c r="AAB126" s="18"/>
      <c r="AAC126" s="18"/>
      <c r="AAD126" s="18"/>
      <c r="AAE126" s="18"/>
      <c r="AAF126" s="18"/>
      <c r="AAG126" s="18"/>
      <c r="AAH126" s="18"/>
      <c r="AAI126" s="18"/>
      <c r="AAJ126" s="18"/>
      <c r="AAK126" s="18"/>
      <c r="AAL126" s="18"/>
      <c r="AAM126" s="18"/>
      <c r="AAN126" s="18"/>
      <c r="AAO126" s="18"/>
      <c r="AAP126" s="18"/>
      <c r="AAQ126" s="18"/>
      <c r="AAR126" s="18"/>
      <c r="AAS126" s="18"/>
      <c r="AAT126" s="18"/>
      <c r="AAU126" s="18"/>
      <c r="AAV126" s="18"/>
      <c r="AAW126" s="18"/>
      <c r="AAX126" s="18"/>
      <c r="AAY126" s="18"/>
      <c r="AAZ126" s="18"/>
      <c r="ABA126" s="18"/>
      <c r="ABB126" s="18"/>
      <c r="ABC126" s="18"/>
      <c r="ABD126" s="18"/>
      <c r="ABE126" s="18"/>
      <c r="ABF126" s="18"/>
      <c r="ABG126" s="18"/>
      <c r="ABH126" s="18"/>
      <c r="ABI126" s="18"/>
      <c r="ABJ126" s="18"/>
      <c r="ABK126" s="18"/>
      <c r="ABL126" s="18"/>
      <c r="ABM126" s="18"/>
      <c r="ABN126" s="18"/>
      <c r="ABO126" s="18"/>
      <c r="ABP126" s="18"/>
      <c r="ABQ126" s="18"/>
      <c r="ABR126" s="18"/>
      <c r="ABS126" s="18"/>
      <c r="ABT126" s="18"/>
      <c r="ABU126" s="18"/>
      <c r="ABV126" s="18"/>
      <c r="ABW126" s="18"/>
      <c r="ABX126" s="18"/>
      <c r="ABY126" s="18"/>
      <c r="ABZ126" s="18"/>
      <c r="ACA126" s="18"/>
      <c r="ACB126" s="18"/>
      <c r="ACC126" s="18"/>
      <c r="ACD126" s="18"/>
      <c r="ACE126" s="18"/>
      <c r="ACF126" s="18"/>
      <c r="ACG126" s="18"/>
      <c r="ACH126" s="18"/>
      <c r="ACI126" s="18"/>
      <c r="ACJ126" s="18"/>
      <c r="ACK126" s="18"/>
      <c r="ACL126" s="18"/>
      <c r="ACM126" s="18"/>
      <c r="ACN126" s="18"/>
      <c r="ACO126" s="18"/>
      <c r="ACP126" s="18"/>
      <c r="ACQ126" s="18"/>
      <c r="ACR126" s="18"/>
      <c r="ACS126" s="18"/>
      <c r="ACT126" s="18"/>
      <c r="ACU126" s="18"/>
      <c r="ACV126" s="18"/>
      <c r="ACW126" s="18"/>
      <c r="ACX126" s="18"/>
      <c r="ACY126" s="18"/>
      <c r="ACZ126" s="18"/>
      <c r="ADA126" s="18"/>
      <c r="ADB126" s="18"/>
      <c r="ADC126" s="18"/>
      <c r="ADD126" s="18"/>
      <c r="ADE126" s="18"/>
      <c r="ADF126" s="18"/>
      <c r="ADG126" s="18"/>
      <c r="ADH126" s="18"/>
      <c r="ADI126" s="18"/>
      <c r="ADJ126" s="18"/>
      <c r="ADK126" s="18"/>
      <c r="ADL126" s="18"/>
      <c r="ADM126" s="18"/>
      <c r="ADN126" s="18"/>
      <c r="ADO126" s="18"/>
      <c r="ADP126" s="18"/>
      <c r="ADQ126" s="18"/>
      <c r="ADR126" s="18"/>
      <c r="ADS126" s="18"/>
      <c r="ADT126" s="18"/>
      <c r="ADU126" s="18"/>
      <c r="ADV126" s="18"/>
      <c r="ADW126" s="18"/>
      <c r="ADX126" s="18"/>
      <c r="ADY126" s="18"/>
      <c r="ADZ126" s="18"/>
      <c r="AEA126" s="18"/>
      <c r="AEB126" s="18"/>
      <c r="AEC126" s="18"/>
      <c r="AED126" s="18"/>
      <c r="AEE126" s="18"/>
      <c r="AEF126" s="18"/>
      <c r="AEG126" s="18"/>
      <c r="AEH126" s="18"/>
      <c r="AEI126" s="18"/>
      <c r="AEJ126" s="18"/>
      <c r="AEK126" s="18"/>
      <c r="AEL126" s="18"/>
      <c r="AEM126" s="18"/>
      <c r="AEN126" s="18"/>
      <c r="AEO126" s="18"/>
      <c r="AEP126" s="18"/>
      <c r="AEQ126" s="18"/>
      <c r="AER126" s="18"/>
      <c r="AES126" s="18"/>
      <c r="AET126" s="18"/>
      <c r="AEU126" s="18"/>
      <c r="AEV126" s="18"/>
      <c r="AEW126" s="18"/>
      <c r="AEX126" s="18"/>
      <c r="AEY126" s="18"/>
      <c r="AEZ126" s="18"/>
      <c r="AFA126" s="18"/>
      <c r="AFB126" s="18"/>
      <c r="AFC126" s="18"/>
      <c r="AFD126" s="18"/>
      <c r="AFE126" s="18"/>
      <c r="AFF126" s="18"/>
      <c r="AFG126" s="18"/>
      <c r="AFH126" s="18"/>
      <c r="AFI126" s="18"/>
      <c r="AFJ126" s="18"/>
      <c r="AFK126" s="18"/>
      <c r="AFL126" s="18"/>
      <c r="AFM126" s="18"/>
      <c r="AFN126" s="18"/>
      <c r="AFO126" s="18"/>
      <c r="AFP126" s="18"/>
      <c r="AFQ126" s="18"/>
      <c r="AFR126" s="18"/>
      <c r="AFS126" s="18"/>
      <c r="AFT126" s="18"/>
      <c r="AFU126" s="18"/>
      <c r="AFV126" s="18"/>
      <c r="AFW126" s="18"/>
      <c r="AFX126" s="18"/>
      <c r="AFY126" s="18"/>
      <c r="AFZ126" s="18"/>
      <c r="AGA126" s="18"/>
      <c r="AGB126" s="18"/>
      <c r="AGC126" s="18"/>
      <c r="AGD126" s="18"/>
      <c r="AGE126" s="18"/>
      <c r="AGF126" s="18"/>
      <c r="AGG126" s="18"/>
      <c r="AGH126" s="18"/>
      <c r="AGI126" s="18"/>
      <c r="AGJ126" s="18"/>
      <c r="AGK126" s="18"/>
      <c r="AGL126" s="18"/>
      <c r="AGM126" s="18"/>
      <c r="AGN126" s="18"/>
      <c r="AGO126" s="18"/>
      <c r="AGP126" s="18"/>
      <c r="AGQ126" s="18"/>
      <c r="AGR126" s="18"/>
      <c r="AGS126" s="18"/>
      <c r="AGT126" s="18"/>
      <c r="AGU126" s="18"/>
      <c r="AGV126" s="18"/>
      <c r="AGW126" s="18"/>
      <c r="AGX126" s="18"/>
      <c r="AGY126" s="18"/>
      <c r="AGZ126" s="18"/>
      <c r="AHA126" s="18"/>
      <c r="AHB126" s="18"/>
      <c r="AHC126" s="18"/>
      <c r="AHD126" s="18"/>
      <c r="AHE126" s="18"/>
      <c r="AHF126" s="18"/>
      <c r="AHG126" s="18"/>
      <c r="AHH126" s="18"/>
      <c r="AHI126" s="18"/>
      <c r="AHJ126" s="18"/>
      <c r="AHK126" s="18"/>
      <c r="AHL126" s="18"/>
      <c r="AHM126" s="18"/>
      <c r="AHN126" s="18"/>
      <c r="AHO126" s="18"/>
      <c r="AHP126" s="18"/>
      <c r="AHQ126" s="18"/>
      <c r="AHR126" s="18"/>
      <c r="AHS126" s="18"/>
      <c r="AHT126" s="18"/>
      <c r="AHU126" s="18"/>
      <c r="AHV126" s="18"/>
      <c r="AHW126" s="18"/>
      <c r="AHX126" s="18"/>
      <c r="AHY126" s="18"/>
      <c r="AHZ126" s="18"/>
      <c r="AIA126" s="18"/>
      <c r="AIB126" s="18"/>
      <c r="AIC126" s="18"/>
      <c r="AID126" s="18"/>
      <c r="AIE126" s="18"/>
      <c r="AIF126" s="18"/>
      <c r="AIG126" s="18"/>
      <c r="AIH126" s="18"/>
      <c r="AII126" s="18"/>
      <c r="AIJ126" s="18"/>
      <c r="AIK126" s="18"/>
      <c r="AIL126" s="18"/>
      <c r="AIM126" s="18"/>
      <c r="AIN126" s="18"/>
      <c r="AIO126" s="18"/>
      <c r="AIP126" s="18"/>
      <c r="AIQ126" s="18"/>
      <c r="AIR126" s="18"/>
      <c r="AIS126" s="18"/>
      <c r="AIT126" s="18"/>
      <c r="AIU126" s="18"/>
      <c r="AIV126" s="18"/>
      <c r="AIW126" s="18"/>
      <c r="AIX126" s="18"/>
      <c r="AIY126" s="18"/>
      <c r="AIZ126" s="18"/>
      <c r="AJA126" s="18"/>
      <c r="AJB126" s="18"/>
      <c r="AJC126" s="18"/>
      <c r="AJD126" s="18"/>
      <c r="AJE126" s="18"/>
      <c r="AJF126" s="18"/>
      <c r="AJG126" s="18"/>
      <c r="AJH126" s="18"/>
      <c r="AJI126" s="18"/>
      <c r="AJJ126" s="18"/>
      <c r="AJK126" s="18"/>
      <c r="AJL126" s="18"/>
      <c r="AJM126" s="18"/>
      <c r="AJN126" s="18"/>
      <c r="AJO126" s="18"/>
      <c r="AJP126" s="18"/>
      <c r="AJQ126" s="18"/>
      <c r="AJR126" s="18"/>
      <c r="AJS126" s="18"/>
      <c r="AJT126" s="18"/>
      <c r="AJU126" s="18"/>
      <c r="AJV126" s="18"/>
      <c r="AJW126" s="18"/>
      <c r="AJX126" s="18"/>
      <c r="AJY126" s="18"/>
      <c r="AJZ126" s="18"/>
      <c r="AKA126" s="18"/>
      <c r="AKB126" s="18"/>
      <c r="AKC126" s="18"/>
      <c r="AKD126" s="18"/>
      <c r="AKE126" s="18"/>
      <c r="AKF126" s="18"/>
      <c r="AKG126" s="18"/>
      <c r="AKH126" s="18"/>
      <c r="AKI126" s="18"/>
      <c r="AKJ126" s="18"/>
      <c r="AKK126" s="18"/>
      <c r="AKL126" s="18"/>
      <c r="AKM126" s="18"/>
      <c r="AKN126" s="18"/>
      <c r="AKO126" s="18"/>
      <c r="AKP126" s="18"/>
      <c r="AKQ126" s="18"/>
      <c r="AKR126" s="18"/>
      <c r="AKS126" s="18"/>
      <c r="AKT126" s="18"/>
      <c r="AKU126" s="18"/>
      <c r="AKV126" s="18"/>
      <c r="AKW126" s="18"/>
      <c r="AKX126" s="18"/>
      <c r="AKY126" s="18"/>
      <c r="AKZ126" s="18"/>
      <c r="ALA126" s="18"/>
      <c r="ALB126" s="18"/>
      <c r="ALC126" s="18"/>
      <c r="ALD126" s="18"/>
      <c r="ALE126" s="18"/>
      <c r="ALF126" s="18"/>
      <c r="ALG126" s="18"/>
      <c r="ALH126" s="18"/>
      <c r="ALI126" s="18"/>
      <c r="ALJ126" s="18"/>
      <c r="ALK126" s="18"/>
      <c r="ALL126" s="18"/>
      <c r="ALM126" s="18"/>
      <c r="ALN126" s="18"/>
      <c r="ALO126" s="18"/>
      <c r="ALP126" s="18"/>
      <c r="ALQ126" s="18"/>
      <c r="ALR126" s="18"/>
      <c r="ALS126" s="18"/>
      <c r="ALT126" s="18"/>
      <c r="ALU126" s="18"/>
      <c r="ALV126" s="18"/>
      <c r="ALW126" s="18"/>
      <c r="ALX126" s="18"/>
      <c r="ALY126" s="18"/>
      <c r="ALZ126" s="18"/>
      <c r="AMA126" s="18"/>
      <c r="AMB126" s="18"/>
      <c r="AMC126" s="18"/>
      <c r="AMD126" s="18"/>
      <c r="AME126" s="18"/>
      <c r="AMF126" s="18"/>
      <c r="AMG126" s="18"/>
      <c r="AMH126" s="18"/>
    </row>
    <row r="127" spans="1:1022" s="23" customFormat="1" x14ac:dyDescent="0.3">
      <c r="A127" s="33">
        <v>223</v>
      </c>
      <c r="B127" s="19"/>
      <c r="C127" s="19"/>
      <c r="D127" s="34"/>
      <c r="E127" s="34"/>
      <c r="F127" s="19"/>
      <c r="G127" s="19"/>
      <c r="H127" s="18"/>
      <c r="I127" s="31"/>
      <c r="J127" s="31"/>
      <c r="K127" s="31"/>
      <c r="L127" s="31"/>
      <c r="M127" s="32"/>
      <c r="N127" s="32"/>
      <c r="O127" s="18"/>
      <c r="P127" s="36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18"/>
      <c r="BK127" s="18"/>
      <c r="BL127" s="18"/>
      <c r="BM127" s="18"/>
      <c r="BN127" s="18"/>
      <c r="BO127" s="18"/>
      <c r="BP127" s="18"/>
      <c r="BQ127" s="18"/>
      <c r="BR127" s="18"/>
      <c r="BS127" s="18"/>
      <c r="BT127" s="18"/>
      <c r="BU127" s="18"/>
      <c r="BV127" s="18"/>
      <c r="BW127" s="18"/>
      <c r="BX127" s="18"/>
      <c r="BY127" s="18"/>
      <c r="BZ127" s="18"/>
      <c r="CA127" s="18"/>
      <c r="CB127" s="18"/>
      <c r="CC127" s="18"/>
      <c r="CD127" s="18"/>
      <c r="CE127" s="18"/>
      <c r="CF127" s="18"/>
      <c r="CG127" s="18"/>
      <c r="CH127" s="18"/>
      <c r="CI127" s="18"/>
      <c r="CJ127" s="18"/>
      <c r="CK127" s="18"/>
      <c r="CL127" s="18"/>
      <c r="CM127" s="18"/>
      <c r="CN127" s="18"/>
      <c r="CO127" s="18"/>
      <c r="CP127" s="18"/>
      <c r="CQ127" s="18"/>
      <c r="CR127" s="18"/>
      <c r="CS127" s="18"/>
      <c r="CT127" s="18"/>
      <c r="CU127" s="18"/>
      <c r="CV127" s="18"/>
      <c r="CW127" s="18"/>
      <c r="CX127" s="18"/>
      <c r="CY127" s="18"/>
      <c r="CZ127" s="18"/>
      <c r="DA127" s="18"/>
      <c r="DB127" s="18"/>
      <c r="DC127" s="18"/>
      <c r="DD127" s="18"/>
      <c r="DE127" s="18"/>
      <c r="DF127" s="18"/>
      <c r="DG127" s="18"/>
      <c r="DH127" s="18"/>
      <c r="DI127" s="18"/>
      <c r="DJ127" s="18"/>
      <c r="DK127" s="18"/>
      <c r="DL127" s="18"/>
      <c r="DM127" s="18"/>
      <c r="DN127" s="18"/>
      <c r="DO127" s="18"/>
      <c r="DP127" s="18"/>
      <c r="DQ127" s="18"/>
      <c r="DR127" s="18"/>
      <c r="DS127" s="18"/>
      <c r="DT127" s="18"/>
      <c r="DU127" s="18"/>
      <c r="DV127" s="18"/>
      <c r="DW127" s="18"/>
      <c r="DX127" s="18"/>
      <c r="DY127" s="18"/>
      <c r="DZ127" s="18"/>
      <c r="EA127" s="18"/>
      <c r="EB127" s="18"/>
      <c r="EC127" s="18"/>
      <c r="ED127" s="18"/>
      <c r="EE127" s="18"/>
      <c r="EF127" s="18"/>
      <c r="EG127" s="18"/>
      <c r="EH127" s="18"/>
      <c r="EI127" s="18"/>
      <c r="EJ127" s="18"/>
      <c r="EK127" s="18"/>
      <c r="EL127" s="18"/>
      <c r="EM127" s="18"/>
      <c r="EN127" s="18"/>
      <c r="EO127" s="18"/>
      <c r="EP127" s="18"/>
      <c r="EQ127" s="18"/>
      <c r="ER127" s="18"/>
      <c r="ES127" s="18"/>
      <c r="ET127" s="18"/>
      <c r="EU127" s="18"/>
      <c r="EV127" s="18"/>
      <c r="EW127" s="18"/>
      <c r="EX127" s="18"/>
      <c r="EY127" s="18"/>
      <c r="EZ127" s="18"/>
      <c r="FA127" s="18"/>
      <c r="FB127" s="18"/>
      <c r="FC127" s="18"/>
      <c r="FD127" s="18"/>
      <c r="FE127" s="18"/>
      <c r="FF127" s="18"/>
      <c r="FG127" s="18"/>
      <c r="FH127" s="18"/>
      <c r="FI127" s="18"/>
      <c r="FJ127" s="18"/>
      <c r="FK127" s="18"/>
      <c r="FL127" s="18"/>
      <c r="FM127" s="18"/>
      <c r="FN127" s="18"/>
      <c r="FO127" s="18"/>
      <c r="FP127" s="18"/>
      <c r="FQ127" s="18"/>
      <c r="FR127" s="18"/>
      <c r="FS127" s="18"/>
      <c r="FT127" s="18"/>
      <c r="FU127" s="18"/>
      <c r="FV127" s="18"/>
      <c r="FW127" s="18"/>
      <c r="FX127" s="18"/>
      <c r="FY127" s="18"/>
      <c r="FZ127" s="18"/>
      <c r="GA127" s="18"/>
      <c r="GB127" s="18"/>
      <c r="GC127" s="18"/>
      <c r="GD127" s="18"/>
      <c r="GE127" s="18"/>
      <c r="GF127" s="18"/>
      <c r="GG127" s="18"/>
      <c r="GH127" s="18"/>
      <c r="GI127" s="18"/>
      <c r="GJ127" s="18"/>
      <c r="GK127" s="18"/>
      <c r="GL127" s="18"/>
      <c r="GM127" s="18"/>
      <c r="GN127" s="18"/>
      <c r="GO127" s="18"/>
      <c r="GP127" s="18"/>
      <c r="GQ127" s="18"/>
      <c r="GR127" s="18"/>
      <c r="GS127" s="18"/>
      <c r="GT127" s="18"/>
      <c r="GU127" s="18"/>
      <c r="GV127" s="18"/>
      <c r="GW127" s="18"/>
      <c r="GX127" s="18"/>
      <c r="GY127" s="18"/>
      <c r="GZ127" s="18"/>
      <c r="HA127" s="18"/>
      <c r="HB127" s="18"/>
      <c r="HC127" s="18"/>
      <c r="HD127" s="18"/>
      <c r="HE127" s="18"/>
      <c r="HF127" s="18"/>
      <c r="HG127" s="18"/>
      <c r="HH127" s="18"/>
      <c r="HI127" s="18"/>
      <c r="HJ127" s="18"/>
      <c r="HK127" s="18"/>
      <c r="HL127" s="18"/>
      <c r="HM127" s="18"/>
      <c r="HN127" s="18"/>
      <c r="HO127" s="18"/>
      <c r="HP127" s="18"/>
      <c r="HQ127" s="18"/>
      <c r="HR127" s="18"/>
      <c r="HS127" s="18"/>
      <c r="HT127" s="18"/>
      <c r="HU127" s="18"/>
      <c r="HV127" s="18"/>
      <c r="HW127" s="18"/>
      <c r="HX127" s="18"/>
      <c r="HY127" s="18"/>
      <c r="HZ127" s="18"/>
      <c r="IA127" s="18"/>
      <c r="IB127" s="18"/>
      <c r="IC127" s="18"/>
      <c r="ID127" s="18"/>
      <c r="IE127" s="18"/>
      <c r="IF127" s="18"/>
      <c r="IG127" s="18"/>
      <c r="IH127" s="18"/>
      <c r="II127" s="18"/>
      <c r="IJ127" s="18"/>
      <c r="IK127" s="18"/>
      <c r="IL127" s="18"/>
      <c r="IM127" s="18"/>
      <c r="IN127" s="18"/>
      <c r="IO127" s="18"/>
      <c r="IP127" s="18"/>
      <c r="IQ127" s="18"/>
      <c r="IR127" s="18"/>
      <c r="IS127" s="18"/>
      <c r="IT127" s="18"/>
      <c r="IU127" s="18"/>
      <c r="IV127" s="18"/>
      <c r="IW127" s="18"/>
      <c r="IX127" s="18"/>
      <c r="IY127" s="18"/>
      <c r="IZ127" s="18"/>
      <c r="JA127" s="18"/>
      <c r="JB127" s="18"/>
      <c r="JC127" s="18"/>
      <c r="JD127" s="18"/>
      <c r="JE127" s="18"/>
      <c r="JF127" s="18"/>
      <c r="JG127" s="18"/>
      <c r="JH127" s="18"/>
      <c r="JI127" s="18"/>
      <c r="JJ127" s="18"/>
      <c r="JK127" s="18"/>
      <c r="JL127" s="18"/>
      <c r="JM127" s="18"/>
      <c r="JN127" s="18"/>
      <c r="JO127" s="18"/>
      <c r="JP127" s="18"/>
      <c r="JQ127" s="18"/>
      <c r="JR127" s="18"/>
      <c r="JS127" s="18"/>
      <c r="JT127" s="18"/>
      <c r="JU127" s="18"/>
      <c r="JV127" s="18"/>
      <c r="JW127" s="18"/>
      <c r="JX127" s="18"/>
      <c r="JY127" s="18"/>
      <c r="JZ127" s="18"/>
      <c r="KA127" s="18"/>
      <c r="KB127" s="18"/>
      <c r="KC127" s="18"/>
      <c r="KD127" s="18"/>
      <c r="KE127" s="18"/>
      <c r="KF127" s="18"/>
      <c r="KG127" s="18"/>
      <c r="KH127" s="18"/>
      <c r="KI127" s="18"/>
      <c r="KJ127" s="18"/>
      <c r="KK127" s="18"/>
      <c r="KL127" s="18"/>
      <c r="KM127" s="18"/>
      <c r="KN127" s="18"/>
      <c r="KO127" s="18"/>
      <c r="KP127" s="18"/>
      <c r="KQ127" s="18"/>
      <c r="KR127" s="18"/>
      <c r="KS127" s="18"/>
      <c r="KT127" s="18"/>
      <c r="KU127" s="18"/>
      <c r="KV127" s="18"/>
      <c r="KW127" s="18"/>
      <c r="KX127" s="18"/>
      <c r="KY127" s="18"/>
      <c r="KZ127" s="18"/>
      <c r="LA127" s="18"/>
      <c r="LB127" s="18"/>
      <c r="LC127" s="18"/>
      <c r="LD127" s="18"/>
      <c r="LE127" s="18"/>
      <c r="LF127" s="18"/>
      <c r="LG127" s="18"/>
      <c r="LH127" s="18"/>
      <c r="LI127" s="18"/>
      <c r="LJ127" s="18"/>
      <c r="LK127" s="18"/>
      <c r="LL127" s="18"/>
      <c r="LM127" s="18"/>
      <c r="LN127" s="18"/>
      <c r="LO127" s="18"/>
      <c r="LP127" s="18"/>
      <c r="LQ127" s="18"/>
      <c r="LR127" s="18"/>
      <c r="LS127" s="18"/>
      <c r="LT127" s="18"/>
      <c r="LU127" s="18"/>
      <c r="LV127" s="18"/>
      <c r="LW127" s="18"/>
      <c r="LX127" s="18"/>
      <c r="LY127" s="18"/>
      <c r="LZ127" s="18"/>
      <c r="MA127" s="18"/>
      <c r="MB127" s="18"/>
      <c r="MC127" s="18"/>
      <c r="MD127" s="18"/>
      <c r="ME127" s="18"/>
      <c r="MF127" s="18"/>
      <c r="MG127" s="18"/>
      <c r="MH127" s="18"/>
      <c r="MI127" s="18"/>
      <c r="MJ127" s="18"/>
      <c r="MK127" s="18"/>
      <c r="ML127" s="18"/>
      <c r="MM127" s="18"/>
      <c r="MN127" s="18"/>
      <c r="MO127" s="18"/>
      <c r="MP127" s="18"/>
      <c r="MQ127" s="18"/>
      <c r="MR127" s="18"/>
      <c r="MS127" s="18"/>
      <c r="MT127" s="18"/>
      <c r="MU127" s="18"/>
      <c r="MV127" s="18"/>
      <c r="MW127" s="18"/>
      <c r="MX127" s="18"/>
      <c r="MY127" s="18"/>
      <c r="MZ127" s="18"/>
      <c r="NA127" s="18"/>
      <c r="NB127" s="18"/>
      <c r="NC127" s="18"/>
      <c r="ND127" s="18"/>
      <c r="NE127" s="18"/>
      <c r="NF127" s="18"/>
      <c r="NG127" s="18"/>
      <c r="NH127" s="18"/>
      <c r="NI127" s="18"/>
      <c r="NJ127" s="18"/>
      <c r="NK127" s="18"/>
      <c r="NL127" s="18"/>
      <c r="NM127" s="18"/>
      <c r="NN127" s="18"/>
      <c r="NO127" s="18"/>
      <c r="NP127" s="18"/>
      <c r="NQ127" s="18"/>
      <c r="NR127" s="18"/>
      <c r="NS127" s="18"/>
      <c r="NT127" s="18"/>
      <c r="NU127" s="18"/>
      <c r="NV127" s="18"/>
      <c r="NW127" s="18"/>
      <c r="NX127" s="18"/>
      <c r="NY127" s="18"/>
      <c r="NZ127" s="18"/>
      <c r="OA127" s="18"/>
      <c r="OB127" s="18"/>
      <c r="OC127" s="18"/>
      <c r="OD127" s="18"/>
      <c r="OE127" s="18"/>
      <c r="OF127" s="18"/>
      <c r="OG127" s="18"/>
      <c r="OH127" s="18"/>
      <c r="OI127" s="18"/>
      <c r="OJ127" s="18"/>
      <c r="OK127" s="18"/>
      <c r="OL127" s="18"/>
      <c r="OM127" s="18"/>
      <c r="ON127" s="18"/>
      <c r="OO127" s="18"/>
      <c r="OP127" s="18"/>
      <c r="OQ127" s="18"/>
      <c r="OR127" s="18"/>
      <c r="OS127" s="18"/>
      <c r="OT127" s="18"/>
      <c r="OU127" s="18"/>
      <c r="OV127" s="18"/>
      <c r="OW127" s="18"/>
      <c r="OX127" s="18"/>
      <c r="OY127" s="18"/>
      <c r="OZ127" s="18"/>
      <c r="PA127" s="18"/>
      <c r="PB127" s="18"/>
      <c r="PC127" s="18"/>
      <c r="PD127" s="18"/>
      <c r="PE127" s="18"/>
      <c r="PF127" s="18"/>
      <c r="PG127" s="18"/>
      <c r="PH127" s="18"/>
      <c r="PI127" s="18"/>
      <c r="PJ127" s="18"/>
      <c r="PK127" s="18"/>
      <c r="PL127" s="18"/>
      <c r="PM127" s="18"/>
      <c r="PN127" s="18"/>
      <c r="PO127" s="18"/>
      <c r="PP127" s="18"/>
      <c r="PQ127" s="18"/>
      <c r="PR127" s="18"/>
      <c r="PS127" s="18"/>
      <c r="PT127" s="18"/>
      <c r="PU127" s="18"/>
      <c r="PV127" s="18"/>
      <c r="PW127" s="18"/>
      <c r="PX127" s="18"/>
      <c r="PY127" s="18"/>
      <c r="PZ127" s="18"/>
      <c r="QA127" s="18"/>
      <c r="QB127" s="18"/>
      <c r="QC127" s="18"/>
      <c r="QD127" s="18"/>
      <c r="QE127" s="18"/>
      <c r="QF127" s="18"/>
      <c r="QG127" s="18"/>
      <c r="QH127" s="18"/>
      <c r="QI127" s="18"/>
      <c r="QJ127" s="18"/>
      <c r="QK127" s="18"/>
      <c r="QL127" s="18"/>
      <c r="QM127" s="18"/>
      <c r="QN127" s="18"/>
      <c r="QO127" s="18"/>
      <c r="QP127" s="18"/>
      <c r="QQ127" s="18"/>
      <c r="QR127" s="18"/>
      <c r="QS127" s="18"/>
      <c r="QT127" s="18"/>
      <c r="QU127" s="18"/>
      <c r="QV127" s="18"/>
      <c r="QW127" s="18"/>
      <c r="QX127" s="18"/>
      <c r="QY127" s="18"/>
      <c r="QZ127" s="18"/>
      <c r="RA127" s="18"/>
      <c r="RB127" s="18"/>
      <c r="RC127" s="18"/>
      <c r="RD127" s="18"/>
      <c r="RE127" s="18"/>
      <c r="RF127" s="18"/>
      <c r="RG127" s="18"/>
      <c r="RH127" s="18"/>
      <c r="RI127" s="18"/>
      <c r="RJ127" s="18"/>
      <c r="RK127" s="18"/>
      <c r="RL127" s="18"/>
      <c r="RM127" s="18"/>
      <c r="RN127" s="18"/>
      <c r="RO127" s="18"/>
      <c r="RP127" s="18"/>
      <c r="RQ127" s="18"/>
      <c r="RR127" s="18"/>
      <c r="RS127" s="18"/>
      <c r="RT127" s="18"/>
      <c r="RU127" s="18"/>
      <c r="RV127" s="18"/>
      <c r="RW127" s="18"/>
      <c r="RX127" s="18"/>
      <c r="RY127" s="18"/>
      <c r="RZ127" s="18"/>
      <c r="SA127" s="18"/>
      <c r="SB127" s="18"/>
      <c r="SC127" s="18"/>
      <c r="SD127" s="18"/>
      <c r="SE127" s="18"/>
      <c r="SF127" s="18"/>
      <c r="SG127" s="18"/>
      <c r="SH127" s="18"/>
      <c r="SI127" s="18"/>
      <c r="SJ127" s="18"/>
      <c r="SK127" s="18"/>
      <c r="SL127" s="18"/>
      <c r="SM127" s="18"/>
      <c r="SN127" s="18"/>
      <c r="SO127" s="18"/>
      <c r="SP127" s="18"/>
      <c r="SQ127" s="18"/>
      <c r="SR127" s="18"/>
      <c r="SS127" s="18"/>
      <c r="ST127" s="18"/>
      <c r="SU127" s="18"/>
      <c r="SV127" s="18"/>
      <c r="SW127" s="18"/>
      <c r="SX127" s="18"/>
      <c r="SY127" s="18"/>
      <c r="SZ127" s="18"/>
      <c r="TA127" s="18"/>
      <c r="TB127" s="18"/>
      <c r="TC127" s="18"/>
      <c r="TD127" s="18"/>
      <c r="TE127" s="18"/>
      <c r="TF127" s="18"/>
      <c r="TG127" s="18"/>
      <c r="TH127" s="18"/>
      <c r="TI127" s="18"/>
      <c r="TJ127" s="18"/>
      <c r="TK127" s="18"/>
      <c r="TL127" s="18"/>
      <c r="TM127" s="18"/>
      <c r="TN127" s="18"/>
      <c r="TO127" s="18"/>
      <c r="TP127" s="18"/>
      <c r="TQ127" s="18"/>
      <c r="TR127" s="18"/>
      <c r="TS127" s="18"/>
      <c r="TT127" s="18"/>
      <c r="TU127" s="18"/>
      <c r="TV127" s="18"/>
      <c r="TW127" s="18"/>
      <c r="TX127" s="18"/>
      <c r="TY127" s="18"/>
      <c r="TZ127" s="18"/>
      <c r="UA127" s="18"/>
      <c r="UB127" s="18"/>
      <c r="UC127" s="18"/>
      <c r="UD127" s="18"/>
      <c r="UE127" s="18"/>
      <c r="UF127" s="18"/>
      <c r="UG127" s="18"/>
      <c r="UH127" s="18"/>
      <c r="UI127" s="18"/>
      <c r="UJ127" s="18"/>
      <c r="UK127" s="18"/>
      <c r="UL127" s="18"/>
      <c r="UM127" s="18"/>
      <c r="UN127" s="18"/>
      <c r="UO127" s="18"/>
      <c r="UP127" s="18"/>
      <c r="UQ127" s="18"/>
      <c r="UR127" s="18"/>
      <c r="US127" s="18"/>
      <c r="UT127" s="18"/>
      <c r="UU127" s="18"/>
      <c r="UV127" s="18"/>
      <c r="UW127" s="18"/>
      <c r="UX127" s="18"/>
      <c r="UY127" s="18"/>
      <c r="UZ127" s="18"/>
      <c r="VA127" s="18"/>
      <c r="VB127" s="18"/>
      <c r="VC127" s="18"/>
      <c r="VD127" s="18"/>
      <c r="VE127" s="18"/>
      <c r="VF127" s="18"/>
      <c r="VG127" s="18"/>
      <c r="VH127" s="18"/>
      <c r="VI127" s="18"/>
      <c r="VJ127" s="18"/>
      <c r="VK127" s="18"/>
      <c r="VL127" s="18"/>
      <c r="VM127" s="18"/>
      <c r="VN127" s="18"/>
      <c r="VO127" s="18"/>
      <c r="VP127" s="18"/>
      <c r="VQ127" s="18"/>
      <c r="VR127" s="18"/>
      <c r="VS127" s="18"/>
      <c r="VT127" s="18"/>
      <c r="VU127" s="18"/>
      <c r="VV127" s="18"/>
      <c r="VW127" s="18"/>
      <c r="VX127" s="18"/>
      <c r="VY127" s="18"/>
      <c r="VZ127" s="18"/>
      <c r="WA127" s="18"/>
      <c r="WB127" s="18"/>
      <c r="WC127" s="18"/>
      <c r="WD127" s="18"/>
      <c r="WE127" s="18"/>
      <c r="WF127" s="18"/>
      <c r="WG127" s="18"/>
      <c r="WH127" s="18"/>
      <c r="WI127" s="18"/>
      <c r="WJ127" s="18"/>
      <c r="WK127" s="18"/>
      <c r="WL127" s="18"/>
      <c r="WM127" s="18"/>
      <c r="WN127" s="18"/>
      <c r="WO127" s="18"/>
      <c r="WP127" s="18"/>
      <c r="WQ127" s="18"/>
      <c r="WR127" s="18"/>
      <c r="WS127" s="18"/>
      <c r="WT127" s="18"/>
      <c r="WU127" s="18"/>
      <c r="WV127" s="18"/>
      <c r="WW127" s="18"/>
      <c r="WX127" s="18"/>
      <c r="WY127" s="18"/>
      <c r="WZ127" s="18"/>
      <c r="XA127" s="18"/>
      <c r="XB127" s="18"/>
      <c r="XC127" s="18"/>
      <c r="XD127" s="18"/>
      <c r="XE127" s="18"/>
      <c r="XF127" s="18"/>
      <c r="XG127" s="18"/>
      <c r="XH127" s="18"/>
      <c r="XI127" s="18"/>
      <c r="XJ127" s="18"/>
      <c r="XK127" s="18"/>
      <c r="XL127" s="18"/>
      <c r="XM127" s="18"/>
      <c r="XN127" s="18"/>
      <c r="XO127" s="18"/>
      <c r="XP127" s="18"/>
      <c r="XQ127" s="18"/>
      <c r="XR127" s="18"/>
      <c r="XS127" s="18"/>
      <c r="XT127" s="18"/>
      <c r="XU127" s="18"/>
      <c r="XV127" s="18"/>
      <c r="XW127" s="18"/>
      <c r="XX127" s="18"/>
      <c r="XY127" s="18"/>
      <c r="XZ127" s="18"/>
      <c r="YA127" s="18"/>
      <c r="YB127" s="18"/>
      <c r="YC127" s="18"/>
      <c r="YD127" s="18"/>
      <c r="YE127" s="18"/>
      <c r="YF127" s="18"/>
      <c r="YG127" s="18"/>
      <c r="YH127" s="18"/>
      <c r="YI127" s="18"/>
      <c r="YJ127" s="18"/>
      <c r="YK127" s="18"/>
      <c r="YL127" s="18"/>
      <c r="YM127" s="18"/>
      <c r="YN127" s="18"/>
      <c r="YO127" s="18"/>
      <c r="YP127" s="18"/>
      <c r="YQ127" s="18"/>
      <c r="YR127" s="18"/>
      <c r="YS127" s="18"/>
      <c r="YT127" s="18"/>
      <c r="YU127" s="18"/>
      <c r="YV127" s="18"/>
      <c r="YW127" s="18"/>
      <c r="YX127" s="18"/>
      <c r="YY127" s="18"/>
      <c r="YZ127" s="18"/>
      <c r="ZA127" s="18"/>
      <c r="ZB127" s="18"/>
      <c r="ZC127" s="18"/>
      <c r="ZD127" s="18"/>
      <c r="ZE127" s="18"/>
      <c r="ZF127" s="18"/>
      <c r="ZG127" s="18"/>
      <c r="ZH127" s="18"/>
      <c r="ZI127" s="18"/>
      <c r="ZJ127" s="18"/>
      <c r="ZK127" s="18"/>
      <c r="ZL127" s="18"/>
      <c r="ZM127" s="18"/>
      <c r="ZN127" s="18"/>
      <c r="ZO127" s="18"/>
      <c r="ZP127" s="18"/>
      <c r="ZQ127" s="18"/>
      <c r="ZR127" s="18"/>
      <c r="ZS127" s="18"/>
      <c r="ZT127" s="18"/>
      <c r="ZU127" s="18"/>
      <c r="ZV127" s="18"/>
      <c r="ZW127" s="18"/>
      <c r="ZX127" s="18"/>
      <c r="ZY127" s="18"/>
      <c r="ZZ127" s="18"/>
      <c r="AAA127" s="18"/>
      <c r="AAB127" s="18"/>
      <c r="AAC127" s="18"/>
      <c r="AAD127" s="18"/>
      <c r="AAE127" s="18"/>
      <c r="AAF127" s="18"/>
      <c r="AAG127" s="18"/>
      <c r="AAH127" s="18"/>
      <c r="AAI127" s="18"/>
      <c r="AAJ127" s="18"/>
      <c r="AAK127" s="18"/>
      <c r="AAL127" s="18"/>
      <c r="AAM127" s="18"/>
      <c r="AAN127" s="18"/>
      <c r="AAO127" s="18"/>
      <c r="AAP127" s="18"/>
      <c r="AAQ127" s="18"/>
      <c r="AAR127" s="18"/>
      <c r="AAS127" s="18"/>
      <c r="AAT127" s="18"/>
      <c r="AAU127" s="18"/>
      <c r="AAV127" s="18"/>
      <c r="AAW127" s="18"/>
      <c r="AAX127" s="18"/>
      <c r="AAY127" s="18"/>
      <c r="AAZ127" s="18"/>
      <c r="ABA127" s="18"/>
      <c r="ABB127" s="18"/>
      <c r="ABC127" s="18"/>
      <c r="ABD127" s="18"/>
      <c r="ABE127" s="18"/>
      <c r="ABF127" s="18"/>
      <c r="ABG127" s="18"/>
      <c r="ABH127" s="18"/>
      <c r="ABI127" s="18"/>
      <c r="ABJ127" s="18"/>
      <c r="ABK127" s="18"/>
      <c r="ABL127" s="18"/>
      <c r="ABM127" s="18"/>
      <c r="ABN127" s="18"/>
      <c r="ABO127" s="18"/>
      <c r="ABP127" s="18"/>
      <c r="ABQ127" s="18"/>
      <c r="ABR127" s="18"/>
      <c r="ABS127" s="18"/>
      <c r="ABT127" s="18"/>
      <c r="ABU127" s="18"/>
      <c r="ABV127" s="18"/>
      <c r="ABW127" s="18"/>
      <c r="ABX127" s="18"/>
      <c r="ABY127" s="18"/>
      <c r="ABZ127" s="18"/>
      <c r="ACA127" s="18"/>
      <c r="ACB127" s="18"/>
      <c r="ACC127" s="18"/>
      <c r="ACD127" s="18"/>
      <c r="ACE127" s="18"/>
      <c r="ACF127" s="18"/>
      <c r="ACG127" s="18"/>
      <c r="ACH127" s="18"/>
      <c r="ACI127" s="18"/>
      <c r="ACJ127" s="18"/>
      <c r="ACK127" s="18"/>
      <c r="ACL127" s="18"/>
      <c r="ACM127" s="18"/>
      <c r="ACN127" s="18"/>
      <c r="ACO127" s="18"/>
      <c r="ACP127" s="18"/>
      <c r="ACQ127" s="18"/>
      <c r="ACR127" s="18"/>
      <c r="ACS127" s="18"/>
      <c r="ACT127" s="18"/>
      <c r="ACU127" s="18"/>
      <c r="ACV127" s="18"/>
      <c r="ACW127" s="18"/>
      <c r="ACX127" s="18"/>
      <c r="ACY127" s="18"/>
      <c r="ACZ127" s="18"/>
      <c r="ADA127" s="18"/>
      <c r="ADB127" s="18"/>
      <c r="ADC127" s="18"/>
      <c r="ADD127" s="18"/>
      <c r="ADE127" s="18"/>
      <c r="ADF127" s="18"/>
      <c r="ADG127" s="18"/>
      <c r="ADH127" s="18"/>
      <c r="ADI127" s="18"/>
      <c r="ADJ127" s="18"/>
      <c r="ADK127" s="18"/>
      <c r="ADL127" s="18"/>
      <c r="ADM127" s="18"/>
      <c r="ADN127" s="18"/>
      <c r="ADO127" s="18"/>
      <c r="ADP127" s="18"/>
      <c r="ADQ127" s="18"/>
      <c r="ADR127" s="18"/>
      <c r="ADS127" s="18"/>
      <c r="ADT127" s="18"/>
      <c r="ADU127" s="18"/>
      <c r="ADV127" s="18"/>
      <c r="ADW127" s="18"/>
      <c r="ADX127" s="18"/>
      <c r="ADY127" s="18"/>
      <c r="ADZ127" s="18"/>
      <c r="AEA127" s="18"/>
      <c r="AEB127" s="18"/>
      <c r="AEC127" s="18"/>
      <c r="AED127" s="18"/>
      <c r="AEE127" s="18"/>
      <c r="AEF127" s="18"/>
      <c r="AEG127" s="18"/>
      <c r="AEH127" s="18"/>
      <c r="AEI127" s="18"/>
      <c r="AEJ127" s="18"/>
      <c r="AEK127" s="18"/>
      <c r="AEL127" s="18"/>
      <c r="AEM127" s="18"/>
      <c r="AEN127" s="18"/>
      <c r="AEO127" s="18"/>
      <c r="AEP127" s="18"/>
      <c r="AEQ127" s="18"/>
      <c r="AER127" s="18"/>
      <c r="AES127" s="18"/>
      <c r="AET127" s="18"/>
      <c r="AEU127" s="18"/>
      <c r="AEV127" s="18"/>
      <c r="AEW127" s="18"/>
      <c r="AEX127" s="18"/>
      <c r="AEY127" s="18"/>
      <c r="AEZ127" s="18"/>
      <c r="AFA127" s="18"/>
      <c r="AFB127" s="18"/>
      <c r="AFC127" s="18"/>
      <c r="AFD127" s="18"/>
      <c r="AFE127" s="18"/>
      <c r="AFF127" s="18"/>
      <c r="AFG127" s="18"/>
      <c r="AFH127" s="18"/>
      <c r="AFI127" s="18"/>
      <c r="AFJ127" s="18"/>
      <c r="AFK127" s="18"/>
      <c r="AFL127" s="18"/>
      <c r="AFM127" s="18"/>
      <c r="AFN127" s="18"/>
      <c r="AFO127" s="18"/>
      <c r="AFP127" s="18"/>
      <c r="AFQ127" s="18"/>
      <c r="AFR127" s="18"/>
      <c r="AFS127" s="18"/>
      <c r="AFT127" s="18"/>
      <c r="AFU127" s="18"/>
      <c r="AFV127" s="18"/>
      <c r="AFW127" s="18"/>
      <c r="AFX127" s="18"/>
      <c r="AFY127" s="18"/>
      <c r="AFZ127" s="18"/>
      <c r="AGA127" s="18"/>
      <c r="AGB127" s="18"/>
      <c r="AGC127" s="18"/>
      <c r="AGD127" s="18"/>
      <c r="AGE127" s="18"/>
      <c r="AGF127" s="18"/>
      <c r="AGG127" s="18"/>
      <c r="AGH127" s="18"/>
      <c r="AGI127" s="18"/>
      <c r="AGJ127" s="18"/>
      <c r="AGK127" s="18"/>
      <c r="AGL127" s="18"/>
      <c r="AGM127" s="18"/>
      <c r="AGN127" s="18"/>
      <c r="AGO127" s="18"/>
      <c r="AGP127" s="18"/>
      <c r="AGQ127" s="18"/>
      <c r="AGR127" s="18"/>
      <c r="AGS127" s="18"/>
      <c r="AGT127" s="18"/>
      <c r="AGU127" s="18"/>
      <c r="AGV127" s="18"/>
      <c r="AGW127" s="18"/>
      <c r="AGX127" s="18"/>
      <c r="AGY127" s="18"/>
      <c r="AGZ127" s="18"/>
      <c r="AHA127" s="18"/>
      <c r="AHB127" s="18"/>
      <c r="AHC127" s="18"/>
      <c r="AHD127" s="18"/>
      <c r="AHE127" s="18"/>
      <c r="AHF127" s="18"/>
      <c r="AHG127" s="18"/>
      <c r="AHH127" s="18"/>
      <c r="AHI127" s="18"/>
      <c r="AHJ127" s="18"/>
      <c r="AHK127" s="18"/>
      <c r="AHL127" s="18"/>
      <c r="AHM127" s="18"/>
      <c r="AHN127" s="18"/>
      <c r="AHO127" s="18"/>
      <c r="AHP127" s="18"/>
      <c r="AHQ127" s="18"/>
      <c r="AHR127" s="18"/>
      <c r="AHS127" s="18"/>
      <c r="AHT127" s="18"/>
      <c r="AHU127" s="18"/>
      <c r="AHV127" s="18"/>
      <c r="AHW127" s="18"/>
      <c r="AHX127" s="18"/>
      <c r="AHY127" s="18"/>
      <c r="AHZ127" s="18"/>
      <c r="AIA127" s="18"/>
      <c r="AIB127" s="18"/>
      <c r="AIC127" s="18"/>
      <c r="AID127" s="18"/>
      <c r="AIE127" s="18"/>
      <c r="AIF127" s="18"/>
      <c r="AIG127" s="18"/>
      <c r="AIH127" s="18"/>
      <c r="AII127" s="18"/>
      <c r="AIJ127" s="18"/>
      <c r="AIK127" s="18"/>
      <c r="AIL127" s="18"/>
      <c r="AIM127" s="18"/>
      <c r="AIN127" s="18"/>
      <c r="AIO127" s="18"/>
      <c r="AIP127" s="18"/>
      <c r="AIQ127" s="18"/>
      <c r="AIR127" s="18"/>
      <c r="AIS127" s="18"/>
      <c r="AIT127" s="18"/>
      <c r="AIU127" s="18"/>
      <c r="AIV127" s="18"/>
      <c r="AIW127" s="18"/>
      <c r="AIX127" s="18"/>
      <c r="AIY127" s="18"/>
      <c r="AIZ127" s="18"/>
      <c r="AJA127" s="18"/>
      <c r="AJB127" s="18"/>
      <c r="AJC127" s="18"/>
      <c r="AJD127" s="18"/>
      <c r="AJE127" s="18"/>
      <c r="AJF127" s="18"/>
      <c r="AJG127" s="18"/>
      <c r="AJH127" s="18"/>
      <c r="AJI127" s="18"/>
      <c r="AJJ127" s="18"/>
      <c r="AJK127" s="18"/>
      <c r="AJL127" s="18"/>
      <c r="AJM127" s="18"/>
      <c r="AJN127" s="18"/>
      <c r="AJO127" s="18"/>
      <c r="AJP127" s="18"/>
      <c r="AJQ127" s="18"/>
      <c r="AJR127" s="18"/>
      <c r="AJS127" s="18"/>
      <c r="AJT127" s="18"/>
      <c r="AJU127" s="18"/>
      <c r="AJV127" s="18"/>
      <c r="AJW127" s="18"/>
      <c r="AJX127" s="18"/>
      <c r="AJY127" s="18"/>
      <c r="AJZ127" s="18"/>
      <c r="AKA127" s="18"/>
      <c r="AKB127" s="18"/>
      <c r="AKC127" s="18"/>
      <c r="AKD127" s="18"/>
      <c r="AKE127" s="18"/>
      <c r="AKF127" s="18"/>
      <c r="AKG127" s="18"/>
      <c r="AKH127" s="18"/>
      <c r="AKI127" s="18"/>
      <c r="AKJ127" s="18"/>
      <c r="AKK127" s="18"/>
      <c r="AKL127" s="18"/>
      <c r="AKM127" s="18"/>
      <c r="AKN127" s="18"/>
      <c r="AKO127" s="18"/>
      <c r="AKP127" s="18"/>
      <c r="AKQ127" s="18"/>
      <c r="AKR127" s="18"/>
      <c r="AKS127" s="18"/>
      <c r="AKT127" s="18"/>
      <c r="AKU127" s="18"/>
      <c r="AKV127" s="18"/>
      <c r="AKW127" s="18"/>
      <c r="AKX127" s="18"/>
      <c r="AKY127" s="18"/>
      <c r="AKZ127" s="18"/>
      <c r="ALA127" s="18"/>
      <c r="ALB127" s="18"/>
      <c r="ALC127" s="18"/>
      <c r="ALD127" s="18"/>
      <c r="ALE127" s="18"/>
      <c r="ALF127" s="18"/>
      <c r="ALG127" s="18"/>
      <c r="ALH127" s="18"/>
      <c r="ALI127" s="18"/>
      <c r="ALJ127" s="18"/>
      <c r="ALK127" s="18"/>
      <c r="ALL127" s="18"/>
      <c r="ALM127" s="18"/>
      <c r="ALN127" s="18"/>
      <c r="ALO127" s="18"/>
      <c r="ALP127" s="18"/>
      <c r="ALQ127" s="18"/>
      <c r="ALR127" s="18"/>
      <c r="ALS127" s="18"/>
      <c r="ALT127" s="18"/>
      <c r="ALU127" s="18"/>
      <c r="ALV127" s="18"/>
      <c r="ALW127" s="18"/>
      <c r="ALX127" s="18"/>
      <c r="ALY127" s="18"/>
      <c r="ALZ127" s="18"/>
      <c r="AMA127" s="18"/>
      <c r="AMB127" s="18"/>
      <c r="AMC127" s="18"/>
      <c r="AMD127" s="18"/>
      <c r="AME127" s="18"/>
      <c r="AMF127" s="18"/>
      <c r="AMG127" s="18"/>
      <c r="AMH127" s="18"/>
    </row>
    <row r="128" spans="1:1022" s="23" customFormat="1" x14ac:dyDescent="0.3">
      <c r="A128" s="33">
        <v>224</v>
      </c>
      <c r="B128" s="19"/>
      <c r="C128" s="19"/>
      <c r="D128" s="34"/>
      <c r="E128" s="34"/>
      <c r="F128" s="19"/>
      <c r="G128" s="19"/>
      <c r="H128" s="18"/>
      <c r="I128" s="31"/>
      <c r="J128" s="31"/>
      <c r="K128" s="31"/>
      <c r="L128" s="31"/>
      <c r="M128" s="32"/>
      <c r="N128" s="32"/>
      <c r="O128" s="18"/>
      <c r="P128" s="36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18"/>
      <c r="BK128" s="18"/>
      <c r="BL128" s="18"/>
      <c r="BM128" s="18"/>
      <c r="BN128" s="18"/>
      <c r="BO128" s="18"/>
      <c r="BP128" s="18"/>
      <c r="BQ128" s="18"/>
      <c r="BR128" s="18"/>
      <c r="BS128" s="18"/>
      <c r="BT128" s="18"/>
      <c r="BU128" s="18"/>
      <c r="BV128" s="18"/>
      <c r="BW128" s="18"/>
      <c r="BX128" s="18"/>
      <c r="BY128" s="18"/>
      <c r="BZ128" s="18"/>
      <c r="CA128" s="18"/>
      <c r="CB128" s="18"/>
      <c r="CC128" s="18"/>
      <c r="CD128" s="18"/>
      <c r="CE128" s="18"/>
      <c r="CF128" s="18"/>
      <c r="CG128" s="18"/>
      <c r="CH128" s="18"/>
      <c r="CI128" s="18"/>
      <c r="CJ128" s="18"/>
      <c r="CK128" s="18"/>
      <c r="CL128" s="18"/>
      <c r="CM128" s="18"/>
      <c r="CN128" s="18"/>
      <c r="CO128" s="18"/>
      <c r="CP128" s="18"/>
      <c r="CQ128" s="18"/>
      <c r="CR128" s="18"/>
      <c r="CS128" s="18"/>
      <c r="CT128" s="18"/>
      <c r="CU128" s="18"/>
      <c r="CV128" s="18"/>
      <c r="CW128" s="18"/>
      <c r="CX128" s="18"/>
      <c r="CY128" s="18"/>
      <c r="CZ128" s="18"/>
      <c r="DA128" s="18"/>
      <c r="DB128" s="18"/>
      <c r="DC128" s="18"/>
      <c r="DD128" s="18"/>
      <c r="DE128" s="18"/>
      <c r="DF128" s="18"/>
      <c r="DG128" s="18"/>
      <c r="DH128" s="18"/>
      <c r="DI128" s="18"/>
      <c r="DJ128" s="18"/>
      <c r="DK128" s="18"/>
      <c r="DL128" s="18"/>
      <c r="DM128" s="18"/>
      <c r="DN128" s="18"/>
      <c r="DO128" s="18"/>
      <c r="DP128" s="18"/>
      <c r="DQ128" s="18"/>
      <c r="DR128" s="18"/>
      <c r="DS128" s="18"/>
      <c r="DT128" s="18"/>
      <c r="DU128" s="18"/>
      <c r="DV128" s="18"/>
      <c r="DW128" s="18"/>
      <c r="DX128" s="18"/>
      <c r="DY128" s="18"/>
      <c r="DZ128" s="18"/>
      <c r="EA128" s="18"/>
      <c r="EB128" s="18"/>
      <c r="EC128" s="18"/>
      <c r="ED128" s="18"/>
      <c r="EE128" s="18"/>
      <c r="EF128" s="18"/>
      <c r="EG128" s="18"/>
      <c r="EH128" s="18"/>
      <c r="EI128" s="18"/>
      <c r="EJ128" s="18"/>
      <c r="EK128" s="18"/>
      <c r="EL128" s="18"/>
      <c r="EM128" s="18"/>
      <c r="EN128" s="18"/>
      <c r="EO128" s="18"/>
      <c r="EP128" s="18"/>
      <c r="EQ128" s="18"/>
      <c r="ER128" s="18"/>
      <c r="ES128" s="18"/>
      <c r="ET128" s="18"/>
      <c r="EU128" s="18"/>
      <c r="EV128" s="18"/>
      <c r="EW128" s="18"/>
      <c r="EX128" s="18"/>
      <c r="EY128" s="18"/>
      <c r="EZ128" s="18"/>
      <c r="FA128" s="18"/>
      <c r="FB128" s="18"/>
      <c r="FC128" s="18"/>
      <c r="FD128" s="18"/>
      <c r="FE128" s="18"/>
      <c r="FF128" s="18"/>
      <c r="FG128" s="18"/>
      <c r="FH128" s="18"/>
      <c r="FI128" s="18"/>
      <c r="FJ128" s="18"/>
      <c r="FK128" s="18"/>
      <c r="FL128" s="18"/>
      <c r="FM128" s="18"/>
      <c r="FN128" s="18"/>
      <c r="FO128" s="18"/>
      <c r="FP128" s="18"/>
      <c r="FQ128" s="18"/>
      <c r="FR128" s="18"/>
      <c r="FS128" s="18"/>
      <c r="FT128" s="18"/>
      <c r="FU128" s="18"/>
      <c r="FV128" s="18"/>
      <c r="FW128" s="18"/>
      <c r="FX128" s="18"/>
      <c r="FY128" s="18"/>
      <c r="FZ128" s="18"/>
      <c r="GA128" s="18"/>
      <c r="GB128" s="18"/>
      <c r="GC128" s="18"/>
      <c r="GD128" s="18"/>
      <c r="GE128" s="18"/>
      <c r="GF128" s="18"/>
      <c r="GG128" s="18"/>
      <c r="GH128" s="18"/>
      <c r="GI128" s="18"/>
      <c r="GJ128" s="18"/>
      <c r="GK128" s="18"/>
      <c r="GL128" s="18"/>
      <c r="GM128" s="18"/>
      <c r="GN128" s="18"/>
      <c r="GO128" s="18"/>
      <c r="GP128" s="18"/>
      <c r="GQ128" s="18"/>
      <c r="GR128" s="18"/>
      <c r="GS128" s="18"/>
      <c r="GT128" s="18"/>
      <c r="GU128" s="18"/>
      <c r="GV128" s="18"/>
      <c r="GW128" s="18"/>
      <c r="GX128" s="18"/>
      <c r="GY128" s="18"/>
      <c r="GZ128" s="18"/>
      <c r="HA128" s="18"/>
      <c r="HB128" s="18"/>
      <c r="HC128" s="18"/>
      <c r="HD128" s="18"/>
      <c r="HE128" s="18"/>
      <c r="HF128" s="18"/>
      <c r="HG128" s="18"/>
      <c r="HH128" s="18"/>
      <c r="HI128" s="18"/>
      <c r="HJ128" s="18"/>
      <c r="HK128" s="18"/>
      <c r="HL128" s="18"/>
      <c r="HM128" s="18"/>
      <c r="HN128" s="18"/>
      <c r="HO128" s="18"/>
      <c r="HP128" s="18"/>
      <c r="HQ128" s="18"/>
      <c r="HR128" s="18"/>
      <c r="HS128" s="18"/>
      <c r="HT128" s="18"/>
      <c r="HU128" s="18"/>
      <c r="HV128" s="18"/>
      <c r="HW128" s="18"/>
      <c r="HX128" s="18"/>
      <c r="HY128" s="18"/>
      <c r="HZ128" s="18"/>
      <c r="IA128" s="18"/>
      <c r="IB128" s="18"/>
      <c r="IC128" s="18"/>
      <c r="ID128" s="18"/>
      <c r="IE128" s="18"/>
      <c r="IF128" s="18"/>
      <c r="IG128" s="18"/>
      <c r="IH128" s="18"/>
      <c r="II128" s="18"/>
      <c r="IJ128" s="18"/>
      <c r="IK128" s="18"/>
      <c r="IL128" s="18"/>
      <c r="IM128" s="18"/>
      <c r="IN128" s="18"/>
      <c r="IO128" s="18"/>
      <c r="IP128" s="18"/>
      <c r="IQ128" s="18"/>
      <c r="IR128" s="18"/>
      <c r="IS128" s="18"/>
      <c r="IT128" s="18"/>
      <c r="IU128" s="18"/>
      <c r="IV128" s="18"/>
      <c r="IW128" s="18"/>
      <c r="IX128" s="18"/>
      <c r="IY128" s="18"/>
      <c r="IZ128" s="18"/>
      <c r="JA128" s="18"/>
      <c r="JB128" s="18"/>
      <c r="JC128" s="18"/>
      <c r="JD128" s="18"/>
      <c r="JE128" s="18"/>
      <c r="JF128" s="18"/>
      <c r="JG128" s="18"/>
      <c r="JH128" s="18"/>
      <c r="JI128" s="18"/>
      <c r="JJ128" s="18"/>
      <c r="JK128" s="18"/>
      <c r="JL128" s="18"/>
      <c r="JM128" s="18"/>
      <c r="JN128" s="18"/>
      <c r="JO128" s="18"/>
      <c r="JP128" s="18"/>
      <c r="JQ128" s="18"/>
      <c r="JR128" s="18"/>
      <c r="JS128" s="18"/>
      <c r="JT128" s="18"/>
      <c r="JU128" s="18"/>
      <c r="JV128" s="18"/>
      <c r="JW128" s="18"/>
      <c r="JX128" s="18"/>
      <c r="JY128" s="18"/>
      <c r="JZ128" s="18"/>
      <c r="KA128" s="18"/>
      <c r="KB128" s="18"/>
      <c r="KC128" s="18"/>
      <c r="KD128" s="18"/>
      <c r="KE128" s="18"/>
      <c r="KF128" s="18"/>
      <c r="KG128" s="18"/>
      <c r="KH128" s="18"/>
      <c r="KI128" s="18"/>
      <c r="KJ128" s="18"/>
      <c r="KK128" s="18"/>
      <c r="KL128" s="18"/>
      <c r="KM128" s="18"/>
      <c r="KN128" s="18"/>
      <c r="KO128" s="18"/>
      <c r="KP128" s="18"/>
      <c r="KQ128" s="18"/>
      <c r="KR128" s="18"/>
      <c r="KS128" s="18"/>
      <c r="KT128" s="18"/>
      <c r="KU128" s="18"/>
      <c r="KV128" s="18"/>
      <c r="KW128" s="18"/>
      <c r="KX128" s="18"/>
      <c r="KY128" s="18"/>
      <c r="KZ128" s="18"/>
      <c r="LA128" s="18"/>
      <c r="LB128" s="18"/>
      <c r="LC128" s="18"/>
      <c r="LD128" s="18"/>
      <c r="LE128" s="18"/>
      <c r="LF128" s="18"/>
      <c r="LG128" s="18"/>
      <c r="LH128" s="18"/>
      <c r="LI128" s="18"/>
      <c r="LJ128" s="18"/>
      <c r="LK128" s="18"/>
      <c r="LL128" s="18"/>
      <c r="LM128" s="18"/>
      <c r="LN128" s="18"/>
      <c r="LO128" s="18"/>
      <c r="LP128" s="18"/>
      <c r="LQ128" s="18"/>
      <c r="LR128" s="18"/>
      <c r="LS128" s="18"/>
      <c r="LT128" s="18"/>
      <c r="LU128" s="18"/>
      <c r="LV128" s="18"/>
      <c r="LW128" s="18"/>
      <c r="LX128" s="18"/>
      <c r="LY128" s="18"/>
      <c r="LZ128" s="18"/>
      <c r="MA128" s="18"/>
      <c r="MB128" s="18"/>
      <c r="MC128" s="18"/>
      <c r="MD128" s="18"/>
      <c r="ME128" s="18"/>
      <c r="MF128" s="18"/>
      <c r="MG128" s="18"/>
      <c r="MH128" s="18"/>
      <c r="MI128" s="18"/>
      <c r="MJ128" s="18"/>
      <c r="MK128" s="18"/>
      <c r="ML128" s="18"/>
      <c r="MM128" s="18"/>
      <c r="MN128" s="18"/>
      <c r="MO128" s="18"/>
      <c r="MP128" s="18"/>
      <c r="MQ128" s="18"/>
      <c r="MR128" s="18"/>
      <c r="MS128" s="18"/>
      <c r="MT128" s="18"/>
      <c r="MU128" s="18"/>
      <c r="MV128" s="18"/>
      <c r="MW128" s="18"/>
      <c r="MX128" s="18"/>
      <c r="MY128" s="18"/>
      <c r="MZ128" s="18"/>
      <c r="NA128" s="18"/>
      <c r="NB128" s="18"/>
      <c r="NC128" s="18"/>
      <c r="ND128" s="18"/>
      <c r="NE128" s="18"/>
      <c r="NF128" s="18"/>
      <c r="NG128" s="18"/>
      <c r="NH128" s="18"/>
      <c r="NI128" s="18"/>
      <c r="NJ128" s="18"/>
      <c r="NK128" s="18"/>
      <c r="NL128" s="18"/>
      <c r="NM128" s="18"/>
      <c r="NN128" s="18"/>
      <c r="NO128" s="18"/>
      <c r="NP128" s="18"/>
      <c r="NQ128" s="18"/>
      <c r="NR128" s="18"/>
      <c r="NS128" s="18"/>
      <c r="NT128" s="18"/>
      <c r="NU128" s="18"/>
      <c r="NV128" s="18"/>
      <c r="NW128" s="18"/>
      <c r="NX128" s="18"/>
      <c r="NY128" s="18"/>
      <c r="NZ128" s="18"/>
      <c r="OA128" s="18"/>
      <c r="OB128" s="18"/>
      <c r="OC128" s="18"/>
      <c r="OD128" s="18"/>
      <c r="OE128" s="18"/>
      <c r="OF128" s="18"/>
      <c r="OG128" s="18"/>
      <c r="OH128" s="18"/>
      <c r="OI128" s="18"/>
      <c r="OJ128" s="18"/>
      <c r="OK128" s="18"/>
      <c r="OL128" s="18"/>
      <c r="OM128" s="18"/>
      <c r="ON128" s="18"/>
      <c r="OO128" s="18"/>
      <c r="OP128" s="18"/>
      <c r="OQ128" s="18"/>
      <c r="OR128" s="18"/>
      <c r="OS128" s="18"/>
      <c r="OT128" s="18"/>
      <c r="OU128" s="18"/>
      <c r="OV128" s="18"/>
      <c r="OW128" s="18"/>
      <c r="OX128" s="18"/>
      <c r="OY128" s="18"/>
      <c r="OZ128" s="18"/>
      <c r="PA128" s="18"/>
      <c r="PB128" s="18"/>
      <c r="PC128" s="18"/>
      <c r="PD128" s="18"/>
      <c r="PE128" s="18"/>
      <c r="PF128" s="18"/>
      <c r="PG128" s="18"/>
      <c r="PH128" s="18"/>
      <c r="PI128" s="18"/>
      <c r="PJ128" s="18"/>
      <c r="PK128" s="18"/>
      <c r="PL128" s="18"/>
      <c r="PM128" s="18"/>
      <c r="PN128" s="18"/>
      <c r="PO128" s="18"/>
      <c r="PP128" s="18"/>
      <c r="PQ128" s="18"/>
      <c r="PR128" s="18"/>
      <c r="PS128" s="18"/>
      <c r="PT128" s="18"/>
      <c r="PU128" s="18"/>
      <c r="PV128" s="18"/>
      <c r="PW128" s="18"/>
      <c r="PX128" s="18"/>
      <c r="PY128" s="18"/>
      <c r="PZ128" s="18"/>
      <c r="QA128" s="18"/>
      <c r="QB128" s="18"/>
      <c r="QC128" s="18"/>
      <c r="QD128" s="18"/>
      <c r="QE128" s="18"/>
      <c r="QF128" s="18"/>
      <c r="QG128" s="18"/>
      <c r="QH128" s="18"/>
      <c r="QI128" s="18"/>
      <c r="QJ128" s="18"/>
      <c r="QK128" s="18"/>
      <c r="QL128" s="18"/>
      <c r="QM128" s="18"/>
      <c r="QN128" s="18"/>
      <c r="QO128" s="18"/>
      <c r="QP128" s="18"/>
      <c r="QQ128" s="18"/>
      <c r="QR128" s="18"/>
      <c r="QS128" s="18"/>
      <c r="QT128" s="18"/>
      <c r="QU128" s="18"/>
      <c r="QV128" s="18"/>
      <c r="QW128" s="18"/>
      <c r="QX128" s="18"/>
      <c r="QY128" s="18"/>
      <c r="QZ128" s="18"/>
      <c r="RA128" s="18"/>
      <c r="RB128" s="18"/>
      <c r="RC128" s="18"/>
      <c r="RD128" s="18"/>
      <c r="RE128" s="18"/>
      <c r="RF128" s="18"/>
      <c r="RG128" s="18"/>
      <c r="RH128" s="18"/>
      <c r="RI128" s="18"/>
      <c r="RJ128" s="18"/>
      <c r="RK128" s="18"/>
      <c r="RL128" s="18"/>
      <c r="RM128" s="18"/>
      <c r="RN128" s="18"/>
      <c r="RO128" s="18"/>
      <c r="RP128" s="18"/>
      <c r="RQ128" s="18"/>
      <c r="RR128" s="18"/>
      <c r="RS128" s="18"/>
      <c r="RT128" s="18"/>
      <c r="RU128" s="18"/>
      <c r="RV128" s="18"/>
      <c r="RW128" s="18"/>
      <c r="RX128" s="18"/>
      <c r="RY128" s="18"/>
      <c r="RZ128" s="18"/>
      <c r="SA128" s="18"/>
      <c r="SB128" s="18"/>
      <c r="SC128" s="18"/>
      <c r="SD128" s="18"/>
      <c r="SE128" s="18"/>
      <c r="SF128" s="18"/>
      <c r="SG128" s="18"/>
      <c r="SH128" s="18"/>
      <c r="SI128" s="18"/>
      <c r="SJ128" s="18"/>
      <c r="SK128" s="18"/>
      <c r="SL128" s="18"/>
      <c r="SM128" s="18"/>
      <c r="SN128" s="18"/>
      <c r="SO128" s="18"/>
      <c r="SP128" s="18"/>
      <c r="SQ128" s="18"/>
      <c r="SR128" s="18"/>
      <c r="SS128" s="18"/>
      <c r="ST128" s="18"/>
      <c r="SU128" s="18"/>
      <c r="SV128" s="18"/>
      <c r="SW128" s="18"/>
      <c r="SX128" s="18"/>
      <c r="SY128" s="18"/>
      <c r="SZ128" s="18"/>
      <c r="TA128" s="18"/>
      <c r="TB128" s="18"/>
      <c r="TC128" s="18"/>
      <c r="TD128" s="18"/>
      <c r="TE128" s="18"/>
      <c r="TF128" s="18"/>
      <c r="TG128" s="18"/>
      <c r="TH128" s="18"/>
      <c r="TI128" s="18"/>
      <c r="TJ128" s="18"/>
      <c r="TK128" s="18"/>
      <c r="TL128" s="18"/>
      <c r="TM128" s="18"/>
      <c r="TN128" s="18"/>
      <c r="TO128" s="18"/>
      <c r="TP128" s="18"/>
      <c r="TQ128" s="18"/>
      <c r="TR128" s="18"/>
      <c r="TS128" s="18"/>
      <c r="TT128" s="18"/>
      <c r="TU128" s="18"/>
      <c r="TV128" s="18"/>
      <c r="TW128" s="18"/>
      <c r="TX128" s="18"/>
      <c r="TY128" s="18"/>
      <c r="TZ128" s="18"/>
      <c r="UA128" s="18"/>
      <c r="UB128" s="18"/>
      <c r="UC128" s="18"/>
      <c r="UD128" s="18"/>
      <c r="UE128" s="18"/>
      <c r="UF128" s="18"/>
      <c r="UG128" s="18"/>
      <c r="UH128" s="18"/>
      <c r="UI128" s="18"/>
      <c r="UJ128" s="18"/>
      <c r="UK128" s="18"/>
      <c r="UL128" s="18"/>
      <c r="UM128" s="18"/>
      <c r="UN128" s="18"/>
      <c r="UO128" s="18"/>
      <c r="UP128" s="18"/>
      <c r="UQ128" s="18"/>
      <c r="UR128" s="18"/>
      <c r="US128" s="18"/>
      <c r="UT128" s="18"/>
      <c r="UU128" s="18"/>
      <c r="UV128" s="18"/>
      <c r="UW128" s="18"/>
      <c r="UX128" s="18"/>
      <c r="UY128" s="18"/>
      <c r="UZ128" s="18"/>
      <c r="VA128" s="18"/>
      <c r="VB128" s="18"/>
      <c r="VC128" s="18"/>
      <c r="VD128" s="18"/>
      <c r="VE128" s="18"/>
      <c r="VF128" s="18"/>
      <c r="VG128" s="18"/>
      <c r="VH128" s="18"/>
      <c r="VI128" s="18"/>
      <c r="VJ128" s="18"/>
      <c r="VK128" s="18"/>
      <c r="VL128" s="18"/>
      <c r="VM128" s="18"/>
      <c r="VN128" s="18"/>
      <c r="VO128" s="18"/>
      <c r="VP128" s="18"/>
      <c r="VQ128" s="18"/>
      <c r="VR128" s="18"/>
      <c r="VS128" s="18"/>
      <c r="VT128" s="18"/>
      <c r="VU128" s="18"/>
      <c r="VV128" s="18"/>
      <c r="VW128" s="18"/>
      <c r="VX128" s="18"/>
      <c r="VY128" s="18"/>
      <c r="VZ128" s="18"/>
      <c r="WA128" s="18"/>
      <c r="WB128" s="18"/>
      <c r="WC128" s="18"/>
      <c r="WD128" s="18"/>
      <c r="WE128" s="18"/>
      <c r="WF128" s="18"/>
      <c r="WG128" s="18"/>
      <c r="WH128" s="18"/>
      <c r="WI128" s="18"/>
      <c r="WJ128" s="18"/>
      <c r="WK128" s="18"/>
      <c r="WL128" s="18"/>
      <c r="WM128" s="18"/>
      <c r="WN128" s="18"/>
      <c r="WO128" s="18"/>
      <c r="WP128" s="18"/>
      <c r="WQ128" s="18"/>
      <c r="WR128" s="18"/>
      <c r="WS128" s="18"/>
      <c r="WT128" s="18"/>
      <c r="WU128" s="18"/>
      <c r="WV128" s="18"/>
      <c r="WW128" s="18"/>
      <c r="WX128" s="18"/>
      <c r="WY128" s="18"/>
      <c r="WZ128" s="18"/>
      <c r="XA128" s="18"/>
      <c r="XB128" s="18"/>
      <c r="XC128" s="18"/>
      <c r="XD128" s="18"/>
      <c r="XE128" s="18"/>
      <c r="XF128" s="18"/>
      <c r="XG128" s="18"/>
      <c r="XH128" s="18"/>
      <c r="XI128" s="18"/>
      <c r="XJ128" s="18"/>
      <c r="XK128" s="18"/>
      <c r="XL128" s="18"/>
      <c r="XM128" s="18"/>
      <c r="XN128" s="18"/>
      <c r="XO128" s="18"/>
      <c r="XP128" s="18"/>
      <c r="XQ128" s="18"/>
      <c r="XR128" s="18"/>
      <c r="XS128" s="18"/>
      <c r="XT128" s="18"/>
      <c r="XU128" s="18"/>
      <c r="XV128" s="18"/>
      <c r="XW128" s="18"/>
      <c r="XX128" s="18"/>
      <c r="XY128" s="18"/>
      <c r="XZ128" s="18"/>
      <c r="YA128" s="18"/>
      <c r="YB128" s="18"/>
      <c r="YC128" s="18"/>
      <c r="YD128" s="18"/>
      <c r="YE128" s="18"/>
      <c r="YF128" s="18"/>
      <c r="YG128" s="18"/>
      <c r="YH128" s="18"/>
      <c r="YI128" s="18"/>
      <c r="YJ128" s="18"/>
      <c r="YK128" s="18"/>
      <c r="YL128" s="18"/>
      <c r="YM128" s="18"/>
      <c r="YN128" s="18"/>
      <c r="YO128" s="18"/>
      <c r="YP128" s="18"/>
      <c r="YQ128" s="18"/>
      <c r="YR128" s="18"/>
      <c r="YS128" s="18"/>
      <c r="YT128" s="18"/>
      <c r="YU128" s="18"/>
      <c r="YV128" s="18"/>
      <c r="YW128" s="18"/>
      <c r="YX128" s="18"/>
      <c r="YY128" s="18"/>
      <c r="YZ128" s="18"/>
      <c r="ZA128" s="18"/>
      <c r="ZB128" s="18"/>
      <c r="ZC128" s="18"/>
      <c r="ZD128" s="18"/>
      <c r="ZE128" s="18"/>
      <c r="ZF128" s="18"/>
      <c r="ZG128" s="18"/>
      <c r="ZH128" s="18"/>
      <c r="ZI128" s="18"/>
      <c r="ZJ128" s="18"/>
      <c r="ZK128" s="18"/>
      <c r="ZL128" s="18"/>
      <c r="ZM128" s="18"/>
      <c r="ZN128" s="18"/>
      <c r="ZO128" s="18"/>
      <c r="ZP128" s="18"/>
      <c r="ZQ128" s="18"/>
      <c r="ZR128" s="18"/>
      <c r="ZS128" s="18"/>
      <c r="ZT128" s="18"/>
      <c r="ZU128" s="18"/>
      <c r="ZV128" s="18"/>
      <c r="ZW128" s="18"/>
      <c r="ZX128" s="18"/>
      <c r="ZY128" s="18"/>
      <c r="ZZ128" s="18"/>
      <c r="AAA128" s="18"/>
      <c r="AAB128" s="18"/>
      <c r="AAC128" s="18"/>
      <c r="AAD128" s="18"/>
      <c r="AAE128" s="18"/>
      <c r="AAF128" s="18"/>
      <c r="AAG128" s="18"/>
      <c r="AAH128" s="18"/>
      <c r="AAI128" s="18"/>
      <c r="AAJ128" s="18"/>
      <c r="AAK128" s="18"/>
      <c r="AAL128" s="18"/>
      <c r="AAM128" s="18"/>
      <c r="AAN128" s="18"/>
      <c r="AAO128" s="18"/>
      <c r="AAP128" s="18"/>
      <c r="AAQ128" s="18"/>
      <c r="AAR128" s="18"/>
      <c r="AAS128" s="18"/>
      <c r="AAT128" s="18"/>
      <c r="AAU128" s="18"/>
      <c r="AAV128" s="18"/>
      <c r="AAW128" s="18"/>
      <c r="AAX128" s="18"/>
      <c r="AAY128" s="18"/>
      <c r="AAZ128" s="18"/>
      <c r="ABA128" s="18"/>
      <c r="ABB128" s="18"/>
      <c r="ABC128" s="18"/>
      <c r="ABD128" s="18"/>
      <c r="ABE128" s="18"/>
      <c r="ABF128" s="18"/>
      <c r="ABG128" s="18"/>
      <c r="ABH128" s="18"/>
      <c r="ABI128" s="18"/>
      <c r="ABJ128" s="18"/>
      <c r="ABK128" s="18"/>
      <c r="ABL128" s="18"/>
      <c r="ABM128" s="18"/>
      <c r="ABN128" s="18"/>
      <c r="ABO128" s="18"/>
      <c r="ABP128" s="18"/>
      <c r="ABQ128" s="18"/>
      <c r="ABR128" s="18"/>
      <c r="ABS128" s="18"/>
      <c r="ABT128" s="18"/>
      <c r="ABU128" s="18"/>
      <c r="ABV128" s="18"/>
      <c r="ABW128" s="18"/>
      <c r="ABX128" s="18"/>
      <c r="ABY128" s="18"/>
      <c r="ABZ128" s="18"/>
      <c r="ACA128" s="18"/>
      <c r="ACB128" s="18"/>
      <c r="ACC128" s="18"/>
      <c r="ACD128" s="18"/>
      <c r="ACE128" s="18"/>
      <c r="ACF128" s="18"/>
      <c r="ACG128" s="18"/>
      <c r="ACH128" s="18"/>
      <c r="ACI128" s="18"/>
      <c r="ACJ128" s="18"/>
      <c r="ACK128" s="18"/>
      <c r="ACL128" s="18"/>
      <c r="ACM128" s="18"/>
      <c r="ACN128" s="18"/>
      <c r="ACO128" s="18"/>
      <c r="ACP128" s="18"/>
      <c r="ACQ128" s="18"/>
      <c r="ACR128" s="18"/>
      <c r="ACS128" s="18"/>
      <c r="ACT128" s="18"/>
      <c r="ACU128" s="18"/>
      <c r="ACV128" s="18"/>
      <c r="ACW128" s="18"/>
      <c r="ACX128" s="18"/>
      <c r="ACY128" s="18"/>
      <c r="ACZ128" s="18"/>
      <c r="ADA128" s="18"/>
      <c r="ADB128" s="18"/>
      <c r="ADC128" s="18"/>
      <c r="ADD128" s="18"/>
      <c r="ADE128" s="18"/>
      <c r="ADF128" s="18"/>
      <c r="ADG128" s="18"/>
      <c r="ADH128" s="18"/>
      <c r="ADI128" s="18"/>
      <c r="ADJ128" s="18"/>
      <c r="ADK128" s="18"/>
      <c r="ADL128" s="18"/>
      <c r="ADM128" s="18"/>
      <c r="ADN128" s="18"/>
      <c r="ADO128" s="18"/>
      <c r="ADP128" s="18"/>
      <c r="ADQ128" s="18"/>
      <c r="ADR128" s="18"/>
      <c r="ADS128" s="18"/>
      <c r="ADT128" s="18"/>
      <c r="ADU128" s="18"/>
      <c r="ADV128" s="18"/>
      <c r="ADW128" s="18"/>
      <c r="ADX128" s="18"/>
      <c r="ADY128" s="18"/>
      <c r="ADZ128" s="18"/>
      <c r="AEA128" s="18"/>
      <c r="AEB128" s="18"/>
      <c r="AEC128" s="18"/>
      <c r="AED128" s="18"/>
      <c r="AEE128" s="18"/>
      <c r="AEF128" s="18"/>
      <c r="AEG128" s="18"/>
      <c r="AEH128" s="18"/>
      <c r="AEI128" s="18"/>
      <c r="AEJ128" s="18"/>
      <c r="AEK128" s="18"/>
      <c r="AEL128" s="18"/>
      <c r="AEM128" s="18"/>
      <c r="AEN128" s="18"/>
      <c r="AEO128" s="18"/>
      <c r="AEP128" s="18"/>
      <c r="AEQ128" s="18"/>
      <c r="AER128" s="18"/>
      <c r="AES128" s="18"/>
      <c r="AET128" s="18"/>
      <c r="AEU128" s="18"/>
      <c r="AEV128" s="18"/>
      <c r="AEW128" s="18"/>
      <c r="AEX128" s="18"/>
      <c r="AEY128" s="18"/>
      <c r="AEZ128" s="18"/>
      <c r="AFA128" s="18"/>
      <c r="AFB128" s="18"/>
      <c r="AFC128" s="18"/>
      <c r="AFD128" s="18"/>
      <c r="AFE128" s="18"/>
      <c r="AFF128" s="18"/>
      <c r="AFG128" s="18"/>
      <c r="AFH128" s="18"/>
      <c r="AFI128" s="18"/>
      <c r="AFJ128" s="18"/>
      <c r="AFK128" s="18"/>
      <c r="AFL128" s="18"/>
      <c r="AFM128" s="18"/>
      <c r="AFN128" s="18"/>
      <c r="AFO128" s="18"/>
      <c r="AFP128" s="18"/>
      <c r="AFQ128" s="18"/>
      <c r="AFR128" s="18"/>
      <c r="AFS128" s="18"/>
      <c r="AFT128" s="18"/>
      <c r="AFU128" s="18"/>
      <c r="AFV128" s="18"/>
      <c r="AFW128" s="18"/>
      <c r="AFX128" s="18"/>
      <c r="AFY128" s="18"/>
      <c r="AFZ128" s="18"/>
      <c r="AGA128" s="18"/>
      <c r="AGB128" s="18"/>
      <c r="AGC128" s="18"/>
      <c r="AGD128" s="18"/>
      <c r="AGE128" s="18"/>
      <c r="AGF128" s="18"/>
      <c r="AGG128" s="18"/>
      <c r="AGH128" s="18"/>
      <c r="AGI128" s="18"/>
      <c r="AGJ128" s="18"/>
      <c r="AGK128" s="18"/>
      <c r="AGL128" s="18"/>
      <c r="AGM128" s="18"/>
      <c r="AGN128" s="18"/>
      <c r="AGO128" s="18"/>
      <c r="AGP128" s="18"/>
      <c r="AGQ128" s="18"/>
      <c r="AGR128" s="18"/>
      <c r="AGS128" s="18"/>
      <c r="AGT128" s="18"/>
      <c r="AGU128" s="18"/>
      <c r="AGV128" s="18"/>
      <c r="AGW128" s="18"/>
      <c r="AGX128" s="18"/>
      <c r="AGY128" s="18"/>
      <c r="AGZ128" s="18"/>
      <c r="AHA128" s="18"/>
      <c r="AHB128" s="18"/>
      <c r="AHC128" s="18"/>
      <c r="AHD128" s="18"/>
      <c r="AHE128" s="18"/>
      <c r="AHF128" s="18"/>
      <c r="AHG128" s="18"/>
      <c r="AHH128" s="18"/>
      <c r="AHI128" s="18"/>
      <c r="AHJ128" s="18"/>
      <c r="AHK128" s="18"/>
      <c r="AHL128" s="18"/>
      <c r="AHM128" s="18"/>
      <c r="AHN128" s="18"/>
      <c r="AHO128" s="18"/>
      <c r="AHP128" s="18"/>
      <c r="AHQ128" s="18"/>
      <c r="AHR128" s="18"/>
      <c r="AHS128" s="18"/>
      <c r="AHT128" s="18"/>
      <c r="AHU128" s="18"/>
      <c r="AHV128" s="18"/>
      <c r="AHW128" s="18"/>
      <c r="AHX128" s="18"/>
      <c r="AHY128" s="18"/>
      <c r="AHZ128" s="18"/>
      <c r="AIA128" s="18"/>
      <c r="AIB128" s="18"/>
      <c r="AIC128" s="18"/>
      <c r="AID128" s="18"/>
      <c r="AIE128" s="18"/>
      <c r="AIF128" s="18"/>
      <c r="AIG128" s="18"/>
      <c r="AIH128" s="18"/>
      <c r="AII128" s="18"/>
      <c r="AIJ128" s="18"/>
      <c r="AIK128" s="18"/>
      <c r="AIL128" s="18"/>
      <c r="AIM128" s="18"/>
      <c r="AIN128" s="18"/>
      <c r="AIO128" s="18"/>
      <c r="AIP128" s="18"/>
      <c r="AIQ128" s="18"/>
      <c r="AIR128" s="18"/>
      <c r="AIS128" s="18"/>
      <c r="AIT128" s="18"/>
      <c r="AIU128" s="18"/>
      <c r="AIV128" s="18"/>
      <c r="AIW128" s="18"/>
      <c r="AIX128" s="18"/>
      <c r="AIY128" s="18"/>
      <c r="AIZ128" s="18"/>
      <c r="AJA128" s="18"/>
      <c r="AJB128" s="18"/>
      <c r="AJC128" s="18"/>
      <c r="AJD128" s="18"/>
      <c r="AJE128" s="18"/>
      <c r="AJF128" s="18"/>
      <c r="AJG128" s="18"/>
      <c r="AJH128" s="18"/>
      <c r="AJI128" s="18"/>
      <c r="AJJ128" s="18"/>
      <c r="AJK128" s="18"/>
      <c r="AJL128" s="18"/>
      <c r="AJM128" s="18"/>
      <c r="AJN128" s="18"/>
      <c r="AJO128" s="18"/>
      <c r="AJP128" s="18"/>
      <c r="AJQ128" s="18"/>
      <c r="AJR128" s="18"/>
      <c r="AJS128" s="18"/>
      <c r="AJT128" s="18"/>
      <c r="AJU128" s="18"/>
      <c r="AJV128" s="18"/>
      <c r="AJW128" s="18"/>
      <c r="AJX128" s="18"/>
      <c r="AJY128" s="18"/>
      <c r="AJZ128" s="18"/>
      <c r="AKA128" s="18"/>
      <c r="AKB128" s="18"/>
      <c r="AKC128" s="18"/>
      <c r="AKD128" s="18"/>
      <c r="AKE128" s="18"/>
      <c r="AKF128" s="18"/>
      <c r="AKG128" s="18"/>
      <c r="AKH128" s="18"/>
      <c r="AKI128" s="18"/>
      <c r="AKJ128" s="18"/>
      <c r="AKK128" s="18"/>
      <c r="AKL128" s="18"/>
      <c r="AKM128" s="18"/>
      <c r="AKN128" s="18"/>
      <c r="AKO128" s="18"/>
      <c r="AKP128" s="18"/>
      <c r="AKQ128" s="18"/>
      <c r="AKR128" s="18"/>
      <c r="AKS128" s="18"/>
      <c r="AKT128" s="18"/>
      <c r="AKU128" s="18"/>
      <c r="AKV128" s="18"/>
      <c r="AKW128" s="18"/>
      <c r="AKX128" s="18"/>
      <c r="AKY128" s="18"/>
      <c r="AKZ128" s="18"/>
      <c r="ALA128" s="18"/>
      <c r="ALB128" s="18"/>
      <c r="ALC128" s="18"/>
      <c r="ALD128" s="18"/>
      <c r="ALE128" s="18"/>
      <c r="ALF128" s="18"/>
      <c r="ALG128" s="18"/>
      <c r="ALH128" s="18"/>
      <c r="ALI128" s="18"/>
      <c r="ALJ128" s="18"/>
      <c r="ALK128" s="18"/>
      <c r="ALL128" s="18"/>
      <c r="ALM128" s="18"/>
      <c r="ALN128" s="18"/>
      <c r="ALO128" s="18"/>
      <c r="ALP128" s="18"/>
      <c r="ALQ128" s="18"/>
      <c r="ALR128" s="18"/>
      <c r="ALS128" s="18"/>
      <c r="ALT128" s="18"/>
      <c r="ALU128" s="18"/>
      <c r="ALV128" s="18"/>
      <c r="ALW128" s="18"/>
      <c r="ALX128" s="18"/>
      <c r="ALY128" s="18"/>
      <c r="ALZ128" s="18"/>
      <c r="AMA128" s="18"/>
      <c r="AMB128" s="18"/>
      <c r="AMC128" s="18"/>
      <c r="AMD128" s="18"/>
      <c r="AME128" s="18"/>
      <c r="AMF128" s="18"/>
      <c r="AMG128" s="18"/>
      <c r="AMH128" s="18"/>
    </row>
    <row r="129" spans="1:1022" s="23" customFormat="1" x14ac:dyDescent="0.3">
      <c r="A129" s="33">
        <v>225</v>
      </c>
      <c r="B129" s="19"/>
      <c r="C129" s="19"/>
      <c r="D129" s="34"/>
      <c r="E129" s="34"/>
      <c r="F129" s="19"/>
      <c r="G129" s="19"/>
      <c r="H129" s="18"/>
      <c r="I129" s="31"/>
      <c r="J129" s="31"/>
      <c r="K129" s="31"/>
      <c r="L129" s="31"/>
      <c r="M129" s="32"/>
      <c r="N129" s="32"/>
      <c r="O129" s="18"/>
      <c r="P129" s="36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18"/>
      <c r="BK129" s="18"/>
      <c r="BL129" s="18"/>
      <c r="BM129" s="18"/>
      <c r="BN129" s="18"/>
      <c r="BO129" s="18"/>
      <c r="BP129" s="18"/>
      <c r="BQ129" s="18"/>
      <c r="BR129" s="18"/>
      <c r="BS129" s="18"/>
      <c r="BT129" s="18"/>
      <c r="BU129" s="18"/>
      <c r="BV129" s="18"/>
      <c r="BW129" s="18"/>
      <c r="BX129" s="18"/>
      <c r="BY129" s="18"/>
      <c r="BZ129" s="18"/>
      <c r="CA129" s="18"/>
      <c r="CB129" s="18"/>
      <c r="CC129" s="18"/>
      <c r="CD129" s="18"/>
      <c r="CE129" s="18"/>
      <c r="CF129" s="18"/>
      <c r="CG129" s="18"/>
      <c r="CH129" s="18"/>
      <c r="CI129" s="18"/>
      <c r="CJ129" s="18"/>
      <c r="CK129" s="18"/>
      <c r="CL129" s="18"/>
      <c r="CM129" s="18"/>
      <c r="CN129" s="18"/>
      <c r="CO129" s="18"/>
      <c r="CP129" s="18"/>
      <c r="CQ129" s="18"/>
      <c r="CR129" s="18"/>
      <c r="CS129" s="18"/>
      <c r="CT129" s="18"/>
      <c r="CU129" s="18"/>
      <c r="CV129" s="18"/>
      <c r="CW129" s="18"/>
      <c r="CX129" s="18"/>
      <c r="CY129" s="18"/>
      <c r="CZ129" s="18"/>
      <c r="DA129" s="18"/>
      <c r="DB129" s="18"/>
      <c r="DC129" s="18"/>
      <c r="DD129" s="18"/>
      <c r="DE129" s="18"/>
      <c r="DF129" s="18"/>
      <c r="DG129" s="18"/>
      <c r="DH129" s="18"/>
      <c r="DI129" s="18"/>
      <c r="DJ129" s="18"/>
      <c r="DK129" s="18"/>
      <c r="DL129" s="18"/>
      <c r="DM129" s="18"/>
      <c r="DN129" s="18"/>
      <c r="DO129" s="18"/>
      <c r="DP129" s="18"/>
      <c r="DQ129" s="18"/>
      <c r="DR129" s="18"/>
      <c r="DS129" s="18"/>
      <c r="DT129" s="18"/>
      <c r="DU129" s="18"/>
      <c r="DV129" s="18"/>
      <c r="DW129" s="18"/>
      <c r="DX129" s="18"/>
      <c r="DY129" s="18"/>
      <c r="DZ129" s="18"/>
      <c r="EA129" s="18"/>
      <c r="EB129" s="18"/>
      <c r="EC129" s="18"/>
      <c r="ED129" s="18"/>
      <c r="EE129" s="18"/>
      <c r="EF129" s="18"/>
      <c r="EG129" s="18"/>
      <c r="EH129" s="18"/>
      <c r="EI129" s="18"/>
      <c r="EJ129" s="18"/>
      <c r="EK129" s="18"/>
      <c r="EL129" s="18"/>
      <c r="EM129" s="18"/>
      <c r="EN129" s="18"/>
      <c r="EO129" s="18"/>
      <c r="EP129" s="18"/>
      <c r="EQ129" s="18"/>
      <c r="ER129" s="18"/>
      <c r="ES129" s="18"/>
      <c r="ET129" s="18"/>
      <c r="EU129" s="18"/>
      <c r="EV129" s="18"/>
      <c r="EW129" s="18"/>
      <c r="EX129" s="18"/>
      <c r="EY129" s="18"/>
      <c r="EZ129" s="18"/>
      <c r="FA129" s="18"/>
      <c r="FB129" s="18"/>
      <c r="FC129" s="18"/>
      <c r="FD129" s="18"/>
      <c r="FE129" s="18"/>
      <c r="FF129" s="18"/>
      <c r="FG129" s="18"/>
      <c r="FH129" s="18"/>
      <c r="FI129" s="18"/>
      <c r="FJ129" s="18"/>
      <c r="FK129" s="18"/>
      <c r="FL129" s="18"/>
      <c r="FM129" s="18"/>
      <c r="FN129" s="18"/>
      <c r="FO129" s="18"/>
      <c r="FP129" s="18"/>
      <c r="FQ129" s="18"/>
      <c r="FR129" s="18"/>
      <c r="FS129" s="18"/>
      <c r="FT129" s="18"/>
      <c r="FU129" s="18"/>
      <c r="FV129" s="18"/>
      <c r="FW129" s="18"/>
      <c r="FX129" s="18"/>
      <c r="FY129" s="18"/>
      <c r="FZ129" s="18"/>
      <c r="GA129" s="18"/>
      <c r="GB129" s="18"/>
      <c r="GC129" s="18"/>
      <c r="GD129" s="18"/>
      <c r="GE129" s="18"/>
      <c r="GF129" s="18"/>
      <c r="GG129" s="18"/>
      <c r="GH129" s="18"/>
      <c r="GI129" s="18"/>
      <c r="GJ129" s="18"/>
      <c r="GK129" s="18"/>
      <c r="GL129" s="18"/>
      <c r="GM129" s="18"/>
      <c r="GN129" s="18"/>
      <c r="GO129" s="18"/>
      <c r="GP129" s="18"/>
      <c r="GQ129" s="18"/>
      <c r="GR129" s="18"/>
      <c r="GS129" s="18"/>
      <c r="GT129" s="18"/>
      <c r="GU129" s="18"/>
      <c r="GV129" s="18"/>
      <c r="GW129" s="18"/>
      <c r="GX129" s="18"/>
      <c r="GY129" s="18"/>
      <c r="GZ129" s="18"/>
      <c r="HA129" s="18"/>
      <c r="HB129" s="18"/>
      <c r="HC129" s="18"/>
      <c r="HD129" s="18"/>
      <c r="HE129" s="18"/>
      <c r="HF129" s="18"/>
      <c r="HG129" s="18"/>
      <c r="HH129" s="18"/>
      <c r="HI129" s="18"/>
      <c r="HJ129" s="18"/>
      <c r="HK129" s="18"/>
      <c r="HL129" s="18"/>
      <c r="HM129" s="18"/>
      <c r="HN129" s="18"/>
      <c r="HO129" s="18"/>
      <c r="HP129" s="18"/>
      <c r="HQ129" s="18"/>
      <c r="HR129" s="18"/>
      <c r="HS129" s="18"/>
      <c r="HT129" s="18"/>
      <c r="HU129" s="18"/>
      <c r="HV129" s="18"/>
      <c r="HW129" s="18"/>
      <c r="HX129" s="18"/>
      <c r="HY129" s="18"/>
      <c r="HZ129" s="18"/>
      <c r="IA129" s="18"/>
      <c r="IB129" s="18"/>
      <c r="IC129" s="18"/>
      <c r="ID129" s="18"/>
      <c r="IE129" s="18"/>
      <c r="IF129" s="18"/>
      <c r="IG129" s="18"/>
      <c r="IH129" s="18"/>
      <c r="II129" s="18"/>
      <c r="IJ129" s="18"/>
      <c r="IK129" s="18"/>
      <c r="IL129" s="18"/>
      <c r="IM129" s="18"/>
      <c r="IN129" s="18"/>
      <c r="IO129" s="18"/>
      <c r="IP129" s="18"/>
      <c r="IQ129" s="18"/>
      <c r="IR129" s="18"/>
      <c r="IS129" s="18"/>
      <c r="IT129" s="18"/>
      <c r="IU129" s="18"/>
      <c r="IV129" s="18"/>
      <c r="IW129" s="18"/>
      <c r="IX129" s="18"/>
      <c r="IY129" s="18"/>
      <c r="IZ129" s="18"/>
      <c r="JA129" s="18"/>
      <c r="JB129" s="18"/>
      <c r="JC129" s="18"/>
      <c r="JD129" s="18"/>
      <c r="JE129" s="18"/>
      <c r="JF129" s="18"/>
      <c r="JG129" s="18"/>
      <c r="JH129" s="18"/>
      <c r="JI129" s="18"/>
      <c r="JJ129" s="18"/>
      <c r="JK129" s="18"/>
      <c r="JL129" s="18"/>
      <c r="JM129" s="18"/>
      <c r="JN129" s="18"/>
      <c r="JO129" s="18"/>
      <c r="JP129" s="18"/>
      <c r="JQ129" s="18"/>
      <c r="JR129" s="18"/>
      <c r="JS129" s="18"/>
      <c r="JT129" s="18"/>
      <c r="JU129" s="18"/>
      <c r="JV129" s="18"/>
      <c r="JW129" s="18"/>
      <c r="JX129" s="18"/>
      <c r="JY129" s="18"/>
      <c r="JZ129" s="18"/>
      <c r="KA129" s="18"/>
      <c r="KB129" s="18"/>
      <c r="KC129" s="18"/>
      <c r="KD129" s="18"/>
      <c r="KE129" s="18"/>
      <c r="KF129" s="18"/>
      <c r="KG129" s="18"/>
      <c r="KH129" s="18"/>
      <c r="KI129" s="18"/>
      <c r="KJ129" s="18"/>
      <c r="KK129" s="18"/>
      <c r="KL129" s="18"/>
      <c r="KM129" s="18"/>
      <c r="KN129" s="18"/>
      <c r="KO129" s="18"/>
      <c r="KP129" s="18"/>
      <c r="KQ129" s="18"/>
      <c r="KR129" s="18"/>
      <c r="KS129" s="18"/>
      <c r="KT129" s="18"/>
      <c r="KU129" s="18"/>
      <c r="KV129" s="18"/>
      <c r="KW129" s="18"/>
      <c r="KX129" s="18"/>
      <c r="KY129" s="18"/>
      <c r="KZ129" s="18"/>
      <c r="LA129" s="18"/>
      <c r="LB129" s="18"/>
      <c r="LC129" s="18"/>
      <c r="LD129" s="18"/>
      <c r="LE129" s="18"/>
      <c r="LF129" s="18"/>
      <c r="LG129" s="18"/>
      <c r="LH129" s="18"/>
      <c r="LI129" s="18"/>
      <c r="LJ129" s="18"/>
      <c r="LK129" s="18"/>
      <c r="LL129" s="18"/>
      <c r="LM129" s="18"/>
      <c r="LN129" s="18"/>
      <c r="LO129" s="18"/>
      <c r="LP129" s="18"/>
      <c r="LQ129" s="18"/>
      <c r="LR129" s="18"/>
      <c r="LS129" s="18"/>
      <c r="LT129" s="18"/>
      <c r="LU129" s="18"/>
      <c r="LV129" s="18"/>
      <c r="LW129" s="18"/>
      <c r="LX129" s="18"/>
      <c r="LY129" s="18"/>
      <c r="LZ129" s="18"/>
      <c r="MA129" s="18"/>
      <c r="MB129" s="18"/>
      <c r="MC129" s="18"/>
      <c r="MD129" s="18"/>
      <c r="ME129" s="18"/>
      <c r="MF129" s="18"/>
      <c r="MG129" s="18"/>
      <c r="MH129" s="18"/>
      <c r="MI129" s="18"/>
      <c r="MJ129" s="18"/>
      <c r="MK129" s="18"/>
      <c r="ML129" s="18"/>
      <c r="MM129" s="18"/>
      <c r="MN129" s="18"/>
      <c r="MO129" s="18"/>
      <c r="MP129" s="18"/>
      <c r="MQ129" s="18"/>
      <c r="MR129" s="18"/>
      <c r="MS129" s="18"/>
      <c r="MT129" s="18"/>
      <c r="MU129" s="18"/>
      <c r="MV129" s="18"/>
      <c r="MW129" s="18"/>
      <c r="MX129" s="18"/>
      <c r="MY129" s="18"/>
      <c r="MZ129" s="18"/>
      <c r="NA129" s="18"/>
      <c r="NB129" s="18"/>
      <c r="NC129" s="18"/>
      <c r="ND129" s="18"/>
      <c r="NE129" s="18"/>
      <c r="NF129" s="18"/>
      <c r="NG129" s="18"/>
      <c r="NH129" s="18"/>
      <c r="NI129" s="18"/>
      <c r="NJ129" s="18"/>
      <c r="NK129" s="18"/>
      <c r="NL129" s="18"/>
      <c r="NM129" s="18"/>
      <c r="NN129" s="18"/>
      <c r="NO129" s="18"/>
      <c r="NP129" s="18"/>
      <c r="NQ129" s="18"/>
      <c r="NR129" s="18"/>
      <c r="NS129" s="18"/>
      <c r="NT129" s="18"/>
      <c r="NU129" s="18"/>
      <c r="NV129" s="18"/>
      <c r="NW129" s="18"/>
      <c r="NX129" s="18"/>
      <c r="NY129" s="18"/>
      <c r="NZ129" s="18"/>
      <c r="OA129" s="18"/>
      <c r="OB129" s="18"/>
      <c r="OC129" s="18"/>
      <c r="OD129" s="18"/>
      <c r="OE129" s="18"/>
      <c r="OF129" s="18"/>
      <c r="OG129" s="18"/>
      <c r="OH129" s="18"/>
      <c r="OI129" s="18"/>
      <c r="OJ129" s="18"/>
      <c r="OK129" s="18"/>
      <c r="OL129" s="18"/>
      <c r="OM129" s="18"/>
      <c r="ON129" s="18"/>
      <c r="OO129" s="18"/>
      <c r="OP129" s="18"/>
      <c r="OQ129" s="18"/>
      <c r="OR129" s="18"/>
      <c r="OS129" s="18"/>
      <c r="OT129" s="18"/>
      <c r="OU129" s="18"/>
      <c r="OV129" s="18"/>
      <c r="OW129" s="18"/>
      <c r="OX129" s="18"/>
      <c r="OY129" s="18"/>
      <c r="OZ129" s="18"/>
      <c r="PA129" s="18"/>
      <c r="PB129" s="18"/>
      <c r="PC129" s="18"/>
      <c r="PD129" s="18"/>
      <c r="PE129" s="18"/>
      <c r="PF129" s="18"/>
      <c r="PG129" s="18"/>
      <c r="PH129" s="18"/>
      <c r="PI129" s="18"/>
      <c r="PJ129" s="18"/>
      <c r="PK129" s="18"/>
      <c r="PL129" s="18"/>
      <c r="PM129" s="18"/>
      <c r="PN129" s="18"/>
      <c r="PO129" s="18"/>
      <c r="PP129" s="18"/>
      <c r="PQ129" s="18"/>
      <c r="PR129" s="18"/>
      <c r="PS129" s="18"/>
      <c r="PT129" s="18"/>
      <c r="PU129" s="18"/>
      <c r="PV129" s="18"/>
      <c r="PW129" s="18"/>
      <c r="PX129" s="18"/>
      <c r="PY129" s="18"/>
      <c r="PZ129" s="18"/>
      <c r="QA129" s="18"/>
      <c r="QB129" s="18"/>
      <c r="QC129" s="18"/>
      <c r="QD129" s="18"/>
      <c r="QE129" s="18"/>
      <c r="QF129" s="18"/>
      <c r="QG129" s="18"/>
      <c r="QH129" s="18"/>
      <c r="QI129" s="18"/>
      <c r="QJ129" s="18"/>
      <c r="QK129" s="18"/>
      <c r="QL129" s="18"/>
      <c r="QM129" s="18"/>
      <c r="QN129" s="18"/>
      <c r="QO129" s="18"/>
      <c r="QP129" s="18"/>
      <c r="QQ129" s="18"/>
      <c r="QR129" s="18"/>
      <c r="QS129" s="18"/>
      <c r="QT129" s="18"/>
      <c r="QU129" s="18"/>
      <c r="QV129" s="18"/>
      <c r="QW129" s="18"/>
      <c r="QX129" s="18"/>
      <c r="QY129" s="18"/>
      <c r="QZ129" s="18"/>
      <c r="RA129" s="18"/>
      <c r="RB129" s="18"/>
      <c r="RC129" s="18"/>
      <c r="RD129" s="18"/>
      <c r="RE129" s="18"/>
      <c r="RF129" s="18"/>
      <c r="RG129" s="18"/>
      <c r="RH129" s="18"/>
      <c r="RI129" s="18"/>
      <c r="RJ129" s="18"/>
      <c r="RK129" s="18"/>
      <c r="RL129" s="18"/>
      <c r="RM129" s="18"/>
      <c r="RN129" s="18"/>
      <c r="RO129" s="18"/>
      <c r="RP129" s="18"/>
      <c r="RQ129" s="18"/>
      <c r="RR129" s="18"/>
      <c r="RS129" s="18"/>
      <c r="RT129" s="18"/>
      <c r="RU129" s="18"/>
      <c r="RV129" s="18"/>
      <c r="RW129" s="18"/>
      <c r="RX129" s="18"/>
      <c r="RY129" s="18"/>
      <c r="RZ129" s="18"/>
      <c r="SA129" s="18"/>
      <c r="SB129" s="18"/>
      <c r="SC129" s="18"/>
      <c r="SD129" s="18"/>
      <c r="SE129" s="18"/>
      <c r="SF129" s="18"/>
      <c r="SG129" s="18"/>
      <c r="SH129" s="18"/>
      <c r="SI129" s="18"/>
      <c r="SJ129" s="18"/>
      <c r="SK129" s="18"/>
      <c r="SL129" s="18"/>
      <c r="SM129" s="18"/>
      <c r="SN129" s="18"/>
      <c r="SO129" s="18"/>
      <c r="SP129" s="18"/>
      <c r="SQ129" s="18"/>
      <c r="SR129" s="18"/>
      <c r="SS129" s="18"/>
      <c r="ST129" s="18"/>
      <c r="SU129" s="18"/>
      <c r="SV129" s="18"/>
      <c r="SW129" s="18"/>
      <c r="SX129" s="18"/>
      <c r="SY129" s="18"/>
      <c r="SZ129" s="18"/>
      <c r="TA129" s="18"/>
      <c r="TB129" s="18"/>
      <c r="TC129" s="18"/>
      <c r="TD129" s="18"/>
      <c r="TE129" s="18"/>
      <c r="TF129" s="18"/>
      <c r="TG129" s="18"/>
      <c r="TH129" s="18"/>
      <c r="TI129" s="18"/>
      <c r="TJ129" s="18"/>
      <c r="TK129" s="18"/>
      <c r="TL129" s="18"/>
      <c r="TM129" s="18"/>
      <c r="TN129" s="18"/>
      <c r="TO129" s="18"/>
      <c r="TP129" s="18"/>
      <c r="TQ129" s="18"/>
      <c r="TR129" s="18"/>
      <c r="TS129" s="18"/>
      <c r="TT129" s="18"/>
      <c r="TU129" s="18"/>
      <c r="TV129" s="18"/>
      <c r="TW129" s="18"/>
      <c r="TX129" s="18"/>
      <c r="TY129" s="18"/>
      <c r="TZ129" s="18"/>
      <c r="UA129" s="18"/>
      <c r="UB129" s="18"/>
      <c r="UC129" s="18"/>
      <c r="UD129" s="18"/>
      <c r="UE129" s="18"/>
      <c r="UF129" s="18"/>
      <c r="UG129" s="18"/>
      <c r="UH129" s="18"/>
      <c r="UI129" s="18"/>
      <c r="UJ129" s="18"/>
      <c r="UK129" s="18"/>
      <c r="UL129" s="18"/>
      <c r="UM129" s="18"/>
      <c r="UN129" s="18"/>
      <c r="UO129" s="18"/>
      <c r="UP129" s="18"/>
      <c r="UQ129" s="18"/>
      <c r="UR129" s="18"/>
      <c r="US129" s="18"/>
      <c r="UT129" s="18"/>
      <c r="UU129" s="18"/>
      <c r="UV129" s="18"/>
      <c r="UW129" s="18"/>
      <c r="UX129" s="18"/>
      <c r="UY129" s="18"/>
      <c r="UZ129" s="18"/>
      <c r="VA129" s="18"/>
      <c r="VB129" s="18"/>
      <c r="VC129" s="18"/>
      <c r="VD129" s="18"/>
      <c r="VE129" s="18"/>
      <c r="VF129" s="18"/>
      <c r="VG129" s="18"/>
      <c r="VH129" s="18"/>
      <c r="VI129" s="18"/>
      <c r="VJ129" s="18"/>
      <c r="VK129" s="18"/>
      <c r="VL129" s="18"/>
      <c r="VM129" s="18"/>
      <c r="VN129" s="18"/>
      <c r="VO129" s="18"/>
      <c r="VP129" s="18"/>
      <c r="VQ129" s="18"/>
      <c r="VR129" s="18"/>
      <c r="VS129" s="18"/>
      <c r="VT129" s="18"/>
      <c r="VU129" s="18"/>
      <c r="VV129" s="18"/>
      <c r="VW129" s="18"/>
      <c r="VX129" s="18"/>
      <c r="VY129" s="18"/>
      <c r="VZ129" s="18"/>
      <c r="WA129" s="18"/>
      <c r="WB129" s="18"/>
      <c r="WC129" s="18"/>
      <c r="WD129" s="18"/>
      <c r="WE129" s="18"/>
      <c r="WF129" s="18"/>
      <c r="WG129" s="18"/>
      <c r="WH129" s="18"/>
      <c r="WI129" s="18"/>
      <c r="WJ129" s="18"/>
      <c r="WK129" s="18"/>
      <c r="WL129" s="18"/>
      <c r="WM129" s="18"/>
      <c r="WN129" s="18"/>
      <c r="WO129" s="18"/>
      <c r="WP129" s="18"/>
      <c r="WQ129" s="18"/>
      <c r="WR129" s="18"/>
      <c r="WS129" s="18"/>
      <c r="WT129" s="18"/>
      <c r="WU129" s="18"/>
      <c r="WV129" s="18"/>
      <c r="WW129" s="18"/>
      <c r="WX129" s="18"/>
      <c r="WY129" s="18"/>
      <c r="WZ129" s="18"/>
      <c r="XA129" s="18"/>
      <c r="XB129" s="18"/>
      <c r="XC129" s="18"/>
      <c r="XD129" s="18"/>
      <c r="XE129" s="18"/>
      <c r="XF129" s="18"/>
      <c r="XG129" s="18"/>
      <c r="XH129" s="18"/>
      <c r="XI129" s="18"/>
      <c r="XJ129" s="18"/>
      <c r="XK129" s="18"/>
      <c r="XL129" s="18"/>
      <c r="XM129" s="18"/>
      <c r="XN129" s="18"/>
      <c r="XO129" s="18"/>
      <c r="XP129" s="18"/>
      <c r="XQ129" s="18"/>
      <c r="XR129" s="18"/>
      <c r="XS129" s="18"/>
      <c r="XT129" s="18"/>
      <c r="XU129" s="18"/>
      <c r="XV129" s="18"/>
      <c r="XW129" s="18"/>
      <c r="XX129" s="18"/>
      <c r="XY129" s="18"/>
      <c r="XZ129" s="18"/>
      <c r="YA129" s="18"/>
      <c r="YB129" s="18"/>
      <c r="YC129" s="18"/>
      <c r="YD129" s="18"/>
      <c r="YE129" s="18"/>
      <c r="YF129" s="18"/>
      <c r="YG129" s="18"/>
      <c r="YH129" s="18"/>
      <c r="YI129" s="18"/>
      <c r="YJ129" s="18"/>
      <c r="YK129" s="18"/>
      <c r="YL129" s="18"/>
      <c r="YM129" s="18"/>
      <c r="YN129" s="18"/>
      <c r="YO129" s="18"/>
      <c r="YP129" s="18"/>
      <c r="YQ129" s="18"/>
      <c r="YR129" s="18"/>
      <c r="YS129" s="18"/>
      <c r="YT129" s="18"/>
      <c r="YU129" s="18"/>
      <c r="YV129" s="18"/>
      <c r="YW129" s="18"/>
      <c r="YX129" s="18"/>
      <c r="YY129" s="18"/>
      <c r="YZ129" s="18"/>
      <c r="ZA129" s="18"/>
      <c r="ZB129" s="18"/>
      <c r="ZC129" s="18"/>
      <c r="ZD129" s="18"/>
      <c r="ZE129" s="18"/>
      <c r="ZF129" s="18"/>
      <c r="ZG129" s="18"/>
      <c r="ZH129" s="18"/>
      <c r="ZI129" s="18"/>
      <c r="ZJ129" s="18"/>
      <c r="ZK129" s="18"/>
      <c r="ZL129" s="18"/>
      <c r="ZM129" s="18"/>
      <c r="ZN129" s="18"/>
      <c r="ZO129" s="18"/>
      <c r="ZP129" s="18"/>
      <c r="ZQ129" s="18"/>
      <c r="ZR129" s="18"/>
      <c r="ZS129" s="18"/>
      <c r="ZT129" s="18"/>
      <c r="ZU129" s="18"/>
      <c r="ZV129" s="18"/>
      <c r="ZW129" s="18"/>
      <c r="ZX129" s="18"/>
      <c r="ZY129" s="18"/>
      <c r="ZZ129" s="18"/>
      <c r="AAA129" s="18"/>
      <c r="AAB129" s="18"/>
      <c r="AAC129" s="18"/>
      <c r="AAD129" s="18"/>
      <c r="AAE129" s="18"/>
      <c r="AAF129" s="18"/>
      <c r="AAG129" s="18"/>
      <c r="AAH129" s="18"/>
      <c r="AAI129" s="18"/>
      <c r="AAJ129" s="18"/>
      <c r="AAK129" s="18"/>
      <c r="AAL129" s="18"/>
      <c r="AAM129" s="18"/>
      <c r="AAN129" s="18"/>
      <c r="AAO129" s="18"/>
      <c r="AAP129" s="18"/>
      <c r="AAQ129" s="18"/>
      <c r="AAR129" s="18"/>
      <c r="AAS129" s="18"/>
      <c r="AAT129" s="18"/>
      <c r="AAU129" s="18"/>
      <c r="AAV129" s="18"/>
      <c r="AAW129" s="18"/>
      <c r="AAX129" s="18"/>
      <c r="AAY129" s="18"/>
      <c r="AAZ129" s="18"/>
      <c r="ABA129" s="18"/>
      <c r="ABB129" s="18"/>
      <c r="ABC129" s="18"/>
      <c r="ABD129" s="18"/>
      <c r="ABE129" s="18"/>
      <c r="ABF129" s="18"/>
      <c r="ABG129" s="18"/>
      <c r="ABH129" s="18"/>
      <c r="ABI129" s="18"/>
      <c r="ABJ129" s="18"/>
      <c r="ABK129" s="18"/>
      <c r="ABL129" s="18"/>
      <c r="ABM129" s="18"/>
      <c r="ABN129" s="18"/>
      <c r="ABO129" s="18"/>
      <c r="ABP129" s="18"/>
      <c r="ABQ129" s="18"/>
      <c r="ABR129" s="18"/>
      <c r="ABS129" s="18"/>
      <c r="ABT129" s="18"/>
      <c r="ABU129" s="18"/>
      <c r="ABV129" s="18"/>
      <c r="ABW129" s="18"/>
      <c r="ABX129" s="18"/>
      <c r="ABY129" s="18"/>
      <c r="ABZ129" s="18"/>
      <c r="ACA129" s="18"/>
      <c r="ACB129" s="18"/>
      <c r="ACC129" s="18"/>
      <c r="ACD129" s="18"/>
      <c r="ACE129" s="18"/>
      <c r="ACF129" s="18"/>
      <c r="ACG129" s="18"/>
      <c r="ACH129" s="18"/>
      <c r="ACI129" s="18"/>
      <c r="ACJ129" s="18"/>
      <c r="ACK129" s="18"/>
      <c r="ACL129" s="18"/>
      <c r="ACM129" s="18"/>
      <c r="ACN129" s="18"/>
      <c r="ACO129" s="18"/>
      <c r="ACP129" s="18"/>
      <c r="ACQ129" s="18"/>
      <c r="ACR129" s="18"/>
      <c r="ACS129" s="18"/>
      <c r="ACT129" s="18"/>
      <c r="ACU129" s="18"/>
      <c r="ACV129" s="18"/>
      <c r="ACW129" s="18"/>
      <c r="ACX129" s="18"/>
      <c r="ACY129" s="18"/>
      <c r="ACZ129" s="18"/>
      <c r="ADA129" s="18"/>
      <c r="ADB129" s="18"/>
      <c r="ADC129" s="18"/>
      <c r="ADD129" s="18"/>
      <c r="ADE129" s="18"/>
      <c r="ADF129" s="18"/>
      <c r="ADG129" s="18"/>
      <c r="ADH129" s="18"/>
      <c r="ADI129" s="18"/>
      <c r="ADJ129" s="18"/>
      <c r="ADK129" s="18"/>
      <c r="ADL129" s="18"/>
      <c r="ADM129" s="18"/>
      <c r="ADN129" s="18"/>
      <c r="ADO129" s="18"/>
      <c r="ADP129" s="18"/>
      <c r="ADQ129" s="18"/>
      <c r="ADR129" s="18"/>
      <c r="ADS129" s="18"/>
      <c r="ADT129" s="18"/>
      <c r="ADU129" s="18"/>
      <c r="ADV129" s="18"/>
      <c r="ADW129" s="18"/>
      <c r="ADX129" s="18"/>
      <c r="ADY129" s="18"/>
      <c r="ADZ129" s="18"/>
      <c r="AEA129" s="18"/>
      <c r="AEB129" s="18"/>
      <c r="AEC129" s="18"/>
      <c r="AED129" s="18"/>
      <c r="AEE129" s="18"/>
      <c r="AEF129" s="18"/>
      <c r="AEG129" s="18"/>
      <c r="AEH129" s="18"/>
      <c r="AEI129" s="18"/>
      <c r="AEJ129" s="18"/>
      <c r="AEK129" s="18"/>
      <c r="AEL129" s="18"/>
      <c r="AEM129" s="18"/>
      <c r="AEN129" s="18"/>
      <c r="AEO129" s="18"/>
      <c r="AEP129" s="18"/>
      <c r="AEQ129" s="18"/>
      <c r="AER129" s="18"/>
      <c r="AES129" s="18"/>
      <c r="AET129" s="18"/>
      <c r="AEU129" s="18"/>
      <c r="AEV129" s="18"/>
      <c r="AEW129" s="18"/>
      <c r="AEX129" s="18"/>
      <c r="AEY129" s="18"/>
      <c r="AEZ129" s="18"/>
      <c r="AFA129" s="18"/>
      <c r="AFB129" s="18"/>
      <c r="AFC129" s="18"/>
      <c r="AFD129" s="18"/>
      <c r="AFE129" s="18"/>
      <c r="AFF129" s="18"/>
      <c r="AFG129" s="18"/>
      <c r="AFH129" s="18"/>
      <c r="AFI129" s="18"/>
      <c r="AFJ129" s="18"/>
      <c r="AFK129" s="18"/>
      <c r="AFL129" s="18"/>
      <c r="AFM129" s="18"/>
      <c r="AFN129" s="18"/>
      <c r="AFO129" s="18"/>
      <c r="AFP129" s="18"/>
      <c r="AFQ129" s="18"/>
      <c r="AFR129" s="18"/>
      <c r="AFS129" s="18"/>
      <c r="AFT129" s="18"/>
      <c r="AFU129" s="18"/>
      <c r="AFV129" s="18"/>
      <c r="AFW129" s="18"/>
      <c r="AFX129" s="18"/>
      <c r="AFY129" s="18"/>
      <c r="AFZ129" s="18"/>
      <c r="AGA129" s="18"/>
      <c r="AGB129" s="18"/>
      <c r="AGC129" s="18"/>
      <c r="AGD129" s="18"/>
      <c r="AGE129" s="18"/>
      <c r="AGF129" s="18"/>
      <c r="AGG129" s="18"/>
      <c r="AGH129" s="18"/>
      <c r="AGI129" s="18"/>
      <c r="AGJ129" s="18"/>
      <c r="AGK129" s="18"/>
      <c r="AGL129" s="18"/>
      <c r="AGM129" s="18"/>
      <c r="AGN129" s="18"/>
      <c r="AGO129" s="18"/>
      <c r="AGP129" s="18"/>
      <c r="AGQ129" s="18"/>
      <c r="AGR129" s="18"/>
      <c r="AGS129" s="18"/>
      <c r="AGT129" s="18"/>
      <c r="AGU129" s="18"/>
      <c r="AGV129" s="18"/>
      <c r="AGW129" s="18"/>
      <c r="AGX129" s="18"/>
      <c r="AGY129" s="18"/>
      <c r="AGZ129" s="18"/>
      <c r="AHA129" s="18"/>
      <c r="AHB129" s="18"/>
      <c r="AHC129" s="18"/>
      <c r="AHD129" s="18"/>
      <c r="AHE129" s="18"/>
      <c r="AHF129" s="18"/>
      <c r="AHG129" s="18"/>
      <c r="AHH129" s="18"/>
      <c r="AHI129" s="18"/>
      <c r="AHJ129" s="18"/>
      <c r="AHK129" s="18"/>
      <c r="AHL129" s="18"/>
      <c r="AHM129" s="18"/>
      <c r="AHN129" s="18"/>
      <c r="AHO129" s="18"/>
      <c r="AHP129" s="18"/>
      <c r="AHQ129" s="18"/>
      <c r="AHR129" s="18"/>
      <c r="AHS129" s="18"/>
      <c r="AHT129" s="18"/>
      <c r="AHU129" s="18"/>
      <c r="AHV129" s="18"/>
      <c r="AHW129" s="18"/>
      <c r="AHX129" s="18"/>
      <c r="AHY129" s="18"/>
      <c r="AHZ129" s="18"/>
      <c r="AIA129" s="18"/>
      <c r="AIB129" s="18"/>
      <c r="AIC129" s="18"/>
      <c r="AID129" s="18"/>
      <c r="AIE129" s="18"/>
      <c r="AIF129" s="18"/>
      <c r="AIG129" s="18"/>
      <c r="AIH129" s="18"/>
      <c r="AII129" s="18"/>
      <c r="AIJ129" s="18"/>
      <c r="AIK129" s="18"/>
      <c r="AIL129" s="18"/>
      <c r="AIM129" s="18"/>
      <c r="AIN129" s="18"/>
      <c r="AIO129" s="18"/>
      <c r="AIP129" s="18"/>
      <c r="AIQ129" s="18"/>
      <c r="AIR129" s="18"/>
      <c r="AIS129" s="18"/>
      <c r="AIT129" s="18"/>
      <c r="AIU129" s="18"/>
      <c r="AIV129" s="18"/>
      <c r="AIW129" s="18"/>
      <c r="AIX129" s="18"/>
      <c r="AIY129" s="18"/>
      <c r="AIZ129" s="18"/>
      <c r="AJA129" s="18"/>
      <c r="AJB129" s="18"/>
      <c r="AJC129" s="18"/>
      <c r="AJD129" s="18"/>
      <c r="AJE129" s="18"/>
      <c r="AJF129" s="18"/>
      <c r="AJG129" s="18"/>
      <c r="AJH129" s="18"/>
      <c r="AJI129" s="18"/>
      <c r="AJJ129" s="18"/>
      <c r="AJK129" s="18"/>
      <c r="AJL129" s="18"/>
      <c r="AJM129" s="18"/>
      <c r="AJN129" s="18"/>
      <c r="AJO129" s="18"/>
      <c r="AJP129" s="18"/>
      <c r="AJQ129" s="18"/>
      <c r="AJR129" s="18"/>
      <c r="AJS129" s="18"/>
      <c r="AJT129" s="18"/>
      <c r="AJU129" s="18"/>
      <c r="AJV129" s="18"/>
      <c r="AJW129" s="18"/>
      <c r="AJX129" s="18"/>
      <c r="AJY129" s="18"/>
      <c r="AJZ129" s="18"/>
      <c r="AKA129" s="18"/>
      <c r="AKB129" s="18"/>
      <c r="AKC129" s="18"/>
      <c r="AKD129" s="18"/>
      <c r="AKE129" s="18"/>
      <c r="AKF129" s="18"/>
      <c r="AKG129" s="18"/>
      <c r="AKH129" s="18"/>
      <c r="AKI129" s="18"/>
      <c r="AKJ129" s="18"/>
      <c r="AKK129" s="18"/>
      <c r="AKL129" s="18"/>
      <c r="AKM129" s="18"/>
      <c r="AKN129" s="18"/>
      <c r="AKO129" s="18"/>
      <c r="AKP129" s="18"/>
      <c r="AKQ129" s="18"/>
      <c r="AKR129" s="18"/>
      <c r="AKS129" s="18"/>
      <c r="AKT129" s="18"/>
      <c r="AKU129" s="18"/>
      <c r="AKV129" s="18"/>
      <c r="AKW129" s="18"/>
      <c r="AKX129" s="18"/>
      <c r="AKY129" s="18"/>
      <c r="AKZ129" s="18"/>
      <c r="ALA129" s="18"/>
      <c r="ALB129" s="18"/>
      <c r="ALC129" s="18"/>
      <c r="ALD129" s="18"/>
      <c r="ALE129" s="18"/>
      <c r="ALF129" s="18"/>
      <c r="ALG129" s="18"/>
      <c r="ALH129" s="18"/>
      <c r="ALI129" s="18"/>
      <c r="ALJ129" s="18"/>
      <c r="ALK129" s="18"/>
      <c r="ALL129" s="18"/>
      <c r="ALM129" s="18"/>
      <c r="ALN129" s="18"/>
      <c r="ALO129" s="18"/>
      <c r="ALP129" s="18"/>
      <c r="ALQ129" s="18"/>
      <c r="ALR129" s="18"/>
      <c r="ALS129" s="18"/>
      <c r="ALT129" s="18"/>
      <c r="ALU129" s="18"/>
      <c r="ALV129" s="18"/>
      <c r="ALW129" s="18"/>
      <c r="ALX129" s="18"/>
      <c r="ALY129" s="18"/>
      <c r="ALZ129" s="18"/>
      <c r="AMA129" s="18"/>
      <c r="AMB129" s="18"/>
      <c r="AMC129" s="18"/>
      <c r="AMD129" s="18"/>
      <c r="AME129" s="18"/>
      <c r="AMF129" s="18"/>
      <c r="AMG129" s="18"/>
      <c r="AMH129" s="18"/>
    </row>
    <row r="130" spans="1:1022" s="23" customFormat="1" x14ac:dyDescent="0.3">
      <c r="A130" s="33">
        <v>226</v>
      </c>
      <c r="B130" s="19"/>
      <c r="C130" s="19"/>
      <c r="D130" s="34"/>
      <c r="E130" s="34"/>
      <c r="F130" s="19"/>
      <c r="G130" s="19"/>
      <c r="H130" s="18"/>
      <c r="I130" s="31"/>
      <c r="J130" s="31"/>
      <c r="K130" s="31"/>
      <c r="L130" s="31"/>
      <c r="M130" s="32"/>
      <c r="N130" s="32"/>
      <c r="O130" s="18"/>
      <c r="P130" s="36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  <c r="BB130" s="18"/>
      <c r="BC130" s="18"/>
      <c r="BD130" s="18"/>
      <c r="BE130" s="18"/>
      <c r="BF130" s="18"/>
      <c r="BG130" s="18"/>
      <c r="BH130" s="18"/>
      <c r="BI130" s="18"/>
      <c r="BJ130" s="18"/>
      <c r="BK130" s="18"/>
      <c r="BL130" s="18"/>
      <c r="BM130" s="18"/>
      <c r="BN130" s="18"/>
      <c r="BO130" s="18"/>
      <c r="BP130" s="18"/>
      <c r="BQ130" s="18"/>
      <c r="BR130" s="18"/>
      <c r="BS130" s="18"/>
      <c r="BT130" s="18"/>
      <c r="BU130" s="18"/>
      <c r="BV130" s="18"/>
      <c r="BW130" s="18"/>
      <c r="BX130" s="18"/>
      <c r="BY130" s="18"/>
      <c r="BZ130" s="18"/>
      <c r="CA130" s="18"/>
      <c r="CB130" s="18"/>
      <c r="CC130" s="18"/>
      <c r="CD130" s="18"/>
      <c r="CE130" s="18"/>
      <c r="CF130" s="18"/>
      <c r="CG130" s="18"/>
      <c r="CH130" s="18"/>
      <c r="CI130" s="18"/>
      <c r="CJ130" s="18"/>
      <c r="CK130" s="18"/>
      <c r="CL130" s="18"/>
      <c r="CM130" s="18"/>
      <c r="CN130" s="18"/>
      <c r="CO130" s="18"/>
      <c r="CP130" s="18"/>
      <c r="CQ130" s="18"/>
      <c r="CR130" s="18"/>
      <c r="CS130" s="18"/>
      <c r="CT130" s="18"/>
      <c r="CU130" s="18"/>
      <c r="CV130" s="18"/>
      <c r="CW130" s="18"/>
      <c r="CX130" s="18"/>
      <c r="CY130" s="18"/>
      <c r="CZ130" s="18"/>
      <c r="DA130" s="18"/>
      <c r="DB130" s="18"/>
      <c r="DC130" s="18"/>
      <c r="DD130" s="18"/>
      <c r="DE130" s="18"/>
      <c r="DF130" s="18"/>
      <c r="DG130" s="18"/>
      <c r="DH130" s="18"/>
      <c r="DI130" s="18"/>
      <c r="DJ130" s="18"/>
      <c r="DK130" s="18"/>
      <c r="DL130" s="18"/>
      <c r="DM130" s="18"/>
      <c r="DN130" s="18"/>
      <c r="DO130" s="18"/>
      <c r="DP130" s="18"/>
      <c r="DQ130" s="18"/>
      <c r="DR130" s="18"/>
      <c r="DS130" s="18"/>
      <c r="DT130" s="18"/>
      <c r="DU130" s="18"/>
      <c r="DV130" s="18"/>
      <c r="DW130" s="18"/>
      <c r="DX130" s="18"/>
      <c r="DY130" s="18"/>
      <c r="DZ130" s="18"/>
      <c r="EA130" s="18"/>
      <c r="EB130" s="18"/>
      <c r="EC130" s="18"/>
      <c r="ED130" s="18"/>
      <c r="EE130" s="18"/>
      <c r="EF130" s="18"/>
      <c r="EG130" s="18"/>
      <c r="EH130" s="18"/>
      <c r="EI130" s="18"/>
      <c r="EJ130" s="18"/>
      <c r="EK130" s="18"/>
      <c r="EL130" s="18"/>
      <c r="EM130" s="18"/>
      <c r="EN130" s="18"/>
      <c r="EO130" s="18"/>
      <c r="EP130" s="18"/>
      <c r="EQ130" s="18"/>
      <c r="ER130" s="18"/>
      <c r="ES130" s="18"/>
      <c r="ET130" s="18"/>
      <c r="EU130" s="18"/>
      <c r="EV130" s="18"/>
      <c r="EW130" s="18"/>
      <c r="EX130" s="18"/>
      <c r="EY130" s="18"/>
      <c r="EZ130" s="18"/>
      <c r="FA130" s="18"/>
      <c r="FB130" s="18"/>
      <c r="FC130" s="18"/>
      <c r="FD130" s="18"/>
      <c r="FE130" s="18"/>
      <c r="FF130" s="18"/>
      <c r="FG130" s="18"/>
      <c r="FH130" s="18"/>
      <c r="FI130" s="18"/>
      <c r="FJ130" s="18"/>
      <c r="FK130" s="18"/>
      <c r="FL130" s="18"/>
      <c r="FM130" s="18"/>
      <c r="FN130" s="18"/>
      <c r="FO130" s="18"/>
      <c r="FP130" s="18"/>
      <c r="FQ130" s="18"/>
      <c r="FR130" s="18"/>
      <c r="FS130" s="18"/>
      <c r="FT130" s="18"/>
      <c r="FU130" s="18"/>
      <c r="FV130" s="18"/>
      <c r="FW130" s="18"/>
      <c r="FX130" s="18"/>
      <c r="FY130" s="18"/>
      <c r="FZ130" s="18"/>
      <c r="GA130" s="18"/>
      <c r="GB130" s="18"/>
      <c r="GC130" s="18"/>
      <c r="GD130" s="18"/>
      <c r="GE130" s="18"/>
      <c r="GF130" s="18"/>
      <c r="GG130" s="18"/>
      <c r="GH130" s="18"/>
      <c r="GI130" s="18"/>
      <c r="GJ130" s="18"/>
      <c r="GK130" s="18"/>
      <c r="GL130" s="18"/>
      <c r="GM130" s="18"/>
      <c r="GN130" s="18"/>
      <c r="GO130" s="18"/>
      <c r="GP130" s="18"/>
      <c r="GQ130" s="18"/>
      <c r="GR130" s="18"/>
      <c r="GS130" s="18"/>
      <c r="GT130" s="18"/>
      <c r="GU130" s="18"/>
      <c r="GV130" s="18"/>
      <c r="GW130" s="18"/>
      <c r="GX130" s="18"/>
      <c r="GY130" s="18"/>
      <c r="GZ130" s="18"/>
      <c r="HA130" s="18"/>
      <c r="HB130" s="18"/>
      <c r="HC130" s="18"/>
      <c r="HD130" s="18"/>
      <c r="HE130" s="18"/>
      <c r="HF130" s="18"/>
      <c r="HG130" s="18"/>
      <c r="HH130" s="18"/>
      <c r="HI130" s="18"/>
      <c r="HJ130" s="18"/>
      <c r="HK130" s="18"/>
      <c r="HL130" s="18"/>
      <c r="HM130" s="18"/>
      <c r="HN130" s="18"/>
      <c r="HO130" s="18"/>
      <c r="HP130" s="18"/>
      <c r="HQ130" s="18"/>
      <c r="HR130" s="18"/>
      <c r="HS130" s="18"/>
      <c r="HT130" s="18"/>
      <c r="HU130" s="18"/>
      <c r="HV130" s="18"/>
      <c r="HW130" s="18"/>
      <c r="HX130" s="18"/>
      <c r="HY130" s="18"/>
      <c r="HZ130" s="18"/>
      <c r="IA130" s="18"/>
      <c r="IB130" s="18"/>
      <c r="IC130" s="18"/>
      <c r="ID130" s="18"/>
      <c r="IE130" s="18"/>
      <c r="IF130" s="18"/>
      <c r="IG130" s="18"/>
      <c r="IH130" s="18"/>
      <c r="II130" s="18"/>
      <c r="IJ130" s="18"/>
      <c r="IK130" s="18"/>
      <c r="IL130" s="18"/>
      <c r="IM130" s="18"/>
      <c r="IN130" s="18"/>
      <c r="IO130" s="18"/>
      <c r="IP130" s="18"/>
      <c r="IQ130" s="18"/>
      <c r="IR130" s="18"/>
      <c r="IS130" s="18"/>
      <c r="IT130" s="18"/>
      <c r="IU130" s="18"/>
      <c r="IV130" s="18"/>
      <c r="IW130" s="18"/>
      <c r="IX130" s="18"/>
      <c r="IY130" s="18"/>
      <c r="IZ130" s="18"/>
      <c r="JA130" s="18"/>
      <c r="JB130" s="18"/>
      <c r="JC130" s="18"/>
      <c r="JD130" s="18"/>
      <c r="JE130" s="18"/>
      <c r="JF130" s="18"/>
      <c r="JG130" s="18"/>
      <c r="JH130" s="18"/>
      <c r="JI130" s="18"/>
      <c r="JJ130" s="18"/>
      <c r="JK130" s="18"/>
      <c r="JL130" s="18"/>
      <c r="JM130" s="18"/>
      <c r="JN130" s="18"/>
      <c r="JO130" s="18"/>
      <c r="JP130" s="18"/>
      <c r="JQ130" s="18"/>
      <c r="JR130" s="18"/>
      <c r="JS130" s="18"/>
      <c r="JT130" s="18"/>
      <c r="JU130" s="18"/>
      <c r="JV130" s="18"/>
      <c r="JW130" s="18"/>
      <c r="JX130" s="18"/>
      <c r="JY130" s="18"/>
      <c r="JZ130" s="18"/>
      <c r="KA130" s="18"/>
      <c r="KB130" s="18"/>
      <c r="KC130" s="18"/>
      <c r="KD130" s="18"/>
      <c r="KE130" s="18"/>
      <c r="KF130" s="18"/>
      <c r="KG130" s="18"/>
      <c r="KH130" s="18"/>
      <c r="KI130" s="18"/>
      <c r="KJ130" s="18"/>
      <c r="KK130" s="18"/>
      <c r="KL130" s="18"/>
      <c r="KM130" s="18"/>
      <c r="KN130" s="18"/>
      <c r="KO130" s="18"/>
      <c r="KP130" s="18"/>
      <c r="KQ130" s="18"/>
      <c r="KR130" s="18"/>
      <c r="KS130" s="18"/>
      <c r="KT130" s="18"/>
      <c r="KU130" s="18"/>
      <c r="KV130" s="18"/>
      <c r="KW130" s="18"/>
      <c r="KX130" s="18"/>
      <c r="KY130" s="18"/>
      <c r="KZ130" s="18"/>
      <c r="LA130" s="18"/>
      <c r="LB130" s="18"/>
      <c r="LC130" s="18"/>
      <c r="LD130" s="18"/>
      <c r="LE130" s="18"/>
      <c r="LF130" s="18"/>
      <c r="LG130" s="18"/>
      <c r="LH130" s="18"/>
      <c r="LI130" s="18"/>
      <c r="LJ130" s="18"/>
      <c r="LK130" s="18"/>
      <c r="LL130" s="18"/>
      <c r="LM130" s="18"/>
      <c r="LN130" s="18"/>
      <c r="LO130" s="18"/>
      <c r="LP130" s="18"/>
      <c r="LQ130" s="18"/>
      <c r="LR130" s="18"/>
      <c r="LS130" s="18"/>
      <c r="LT130" s="18"/>
      <c r="LU130" s="18"/>
      <c r="LV130" s="18"/>
      <c r="LW130" s="18"/>
      <c r="LX130" s="18"/>
      <c r="LY130" s="18"/>
      <c r="LZ130" s="18"/>
      <c r="MA130" s="18"/>
      <c r="MB130" s="18"/>
      <c r="MC130" s="18"/>
      <c r="MD130" s="18"/>
      <c r="ME130" s="18"/>
      <c r="MF130" s="18"/>
      <c r="MG130" s="18"/>
      <c r="MH130" s="18"/>
      <c r="MI130" s="18"/>
      <c r="MJ130" s="18"/>
      <c r="MK130" s="18"/>
      <c r="ML130" s="18"/>
      <c r="MM130" s="18"/>
      <c r="MN130" s="18"/>
      <c r="MO130" s="18"/>
      <c r="MP130" s="18"/>
      <c r="MQ130" s="18"/>
      <c r="MR130" s="18"/>
      <c r="MS130" s="18"/>
      <c r="MT130" s="18"/>
      <c r="MU130" s="18"/>
      <c r="MV130" s="18"/>
      <c r="MW130" s="18"/>
      <c r="MX130" s="18"/>
      <c r="MY130" s="18"/>
      <c r="MZ130" s="18"/>
      <c r="NA130" s="18"/>
      <c r="NB130" s="18"/>
      <c r="NC130" s="18"/>
      <c r="ND130" s="18"/>
      <c r="NE130" s="18"/>
      <c r="NF130" s="18"/>
      <c r="NG130" s="18"/>
      <c r="NH130" s="18"/>
      <c r="NI130" s="18"/>
      <c r="NJ130" s="18"/>
      <c r="NK130" s="18"/>
      <c r="NL130" s="18"/>
      <c r="NM130" s="18"/>
      <c r="NN130" s="18"/>
      <c r="NO130" s="18"/>
      <c r="NP130" s="18"/>
      <c r="NQ130" s="18"/>
      <c r="NR130" s="18"/>
      <c r="NS130" s="18"/>
      <c r="NT130" s="18"/>
      <c r="NU130" s="18"/>
      <c r="NV130" s="18"/>
      <c r="NW130" s="18"/>
      <c r="NX130" s="18"/>
      <c r="NY130" s="18"/>
      <c r="NZ130" s="18"/>
      <c r="OA130" s="18"/>
      <c r="OB130" s="18"/>
      <c r="OC130" s="18"/>
      <c r="OD130" s="18"/>
      <c r="OE130" s="18"/>
      <c r="OF130" s="18"/>
      <c r="OG130" s="18"/>
      <c r="OH130" s="18"/>
      <c r="OI130" s="18"/>
      <c r="OJ130" s="18"/>
      <c r="OK130" s="18"/>
      <c r="OL130" s="18"/>
      <c r="OM130" s="18"/>
      <c r="ON130" s="18"/>
      <c r="OO130" s="18"/>
      <c r="OP130" s="18"/>
      <c r="OQ130" s="18"/>
      <c r="OR130" s="18"/>
      <c r="OS130" s="18"/>
      <c r="OT130" s="18"/>
      <c r="OU130" s="18"/>
      <c r="OV130" s="18"/>
      <c r="OW130" s="18"/>
      <c r="OX130" s="18"/>
      <c r="OY130" s="18"/>
      <c r="OZ130" s="18"/>
      <c r="PA130" s="18"/>
      <c r="PB130" s="18"/>
      <c r="PC130" s="18"/>
      <c r="PD130" s="18"/>
      <c r="PE130" s="18"/>
      <c r="PF130" s="18"/>
      <c r="PG130" s="18"/>
      <c r="PH130" s="18"/>
      <c r="PI130" s="18"/>
      <c r="PJ130" s="18"/>
      <c r="PK130" s="18"/>
      <c r="PL130" s="18"/>
      <c r="PM130" s="18"/>
      <c r="PN130" s="18"/>
      <c r="PO130" s="18"/>
      <c r="PP130" s="18"/>
      <c r="PQ130" s="18"/>
      <c r="PR130" s="18"/>
      <c r="PS130" s="18"/>
      <c r="PT130" s="18"/>
      <c r="PU130" s="18"/>
      <c r="PV130" s="18"/>
      <c r="PW130" s="18"/>
      <c r="PX130" s="18"/>
      <c r="PY130" s="18"/>
      <c r="PZ130" s="18"/>
      <c r="QA130" s="18"/>
      <c r="QB130" s="18"/>
      <c r="QC130" s="18"/>
      <c r="QD130" s="18"/>
      <c r="QE130" s="18"/>
      <c r="QF130" s="18"/>
      <c r="QG130" s="18"/>
      <c r="QH130" s="18"/>
      <c r="QI130" s="18"/>
      <c r="QJ130" s="18"/>
      <c r="QK130" s="18"/>
      <c r="QL130" s="18"/>
      <c r="QM130" s="18"/>
      <c r="QN130" s="18"/>
      <c r="QO130" s="18"/>
      <c r="QP130" s="18"/>
      <c r="QQ130" s="18"/>
      <c r="QR130" s="18"/>
      <c r="QS130" s="18"/>
      <c r="QT130" s="18"/>
      <c r="QU130" s="18"/>
      <c r="QV130" s="18"/>
      <c r="QW130" s="18"/>
      <c r="QX130" s="18"/>
      <c r="QY130" s="18"/>
      <c r="QZ130" s="18"/>
      <c r="RA130" s="18"/>
      <c r="RB130" s="18"/>
      <c r="RC130" s="18"/>
      <c r="RD130" s="18"/>
      <c r="RE130" s="18"/>
      <c r="RF130" s="18"/>
      <c r="RG130" s="18"/>
      <c r="RH130" s="18"/>
      <c r="RI130" s="18"/>
      <c r="RJ130" s="18"/>
      <c r="RK130" s="18"/>
      <c r="RL130" s="18"/>
      <c r="RM130" s="18"/>
      <c r="RN130" s="18"/>
      <c r="RO130" s="18"/>
      <c r="RP130" s="18"/>
      <c r="RQ130" s="18"/>
      <c r="RR130" s="18"/>
      <c r="RS130" s="18"/>
      <c r="RT130" s="18"/>
      <c r="RU130" s="18"/>
      <c r="RV130" s="18"/>
      <c r="RW130" s="18"/>
      <c r="RX130" s="18"/>
      <c r="RY130" s="18"/>
      <c r="RZ130" s="18"/>
      <c r="SA130" s="18"/>
      <c r="SB130" s="18"/>
      <c r="SC130" s="18"/>
      <c r="SD130" s="18"/>
      <c r="SE130" s="18"/>
      <c r="SF130" s="18"/>
      <c r="SG130" s="18"/>
      <c r="SH130" s="18"/>
      <c r="SI130" s="18"/>
      <c r="SJ130" s="18"/>
      <c r="SK130" s="18"/>
      <c r="SL130" s="18"/>
      <c r="SM130" s="18"/>
      <c r="SN130" s="18"/>
      <c r="SO130" s="18"/>
      <c r="SP130" s="18"/>
      <c r="SQ130" s="18"/>
      <c r="SR130" s="18"/>
      <c r="SS130" s="18"/>
      <c r="ST130" s="18"/>
      <c r="SU130" s="18"/>
      <c r="SV130" s="18"/>
      <c r="SW130" s="18"/>
      <c r="SX130" s="18"/>
      <c r="SY130" s="18"/>
      <c r="SZ130" s="18"/>
      <c r="TA130" s="18"/>
      <c r="TB130" s="18"/>
      <c r="TC130" s="18"/>
      <c r="TD130" s="18"/>
      <c r="TE130" s="18"/>
      <c r="TF130" s="18"/>
      <c r="TG130" s="18"/>
      <c r="TH130" s="18"/>
      <c r="TI130" s="18"/>
      <c r="TJ130" s="18"/>
      <c r="TK130" s="18"/>
      <c r="TL130" s="18"/>
      <c r="TM130" s="18"/>
      <c r="TN130" s="18"/>
      <c r="TO130" s="18"/>
      <c r="TP130" s="18"/>
      <c r="TQ130" s="18"/>
      <c r="TR130" s="18"/>
      <c r="TS130" s="18"/>
      <c r="TT130" s="18"/>
      <c r="TU130" s="18"/>
      <c r="TV130" s="18"/>
      <c r="TW130" s="18"/>
      <c r="TX130" s="18"/>
      <c r="TY130" s="18"/>
      <c r="TZ130" s="18"/>
      <c r="UA130" s="18"/>
      <c r="UB130" s="18"/>
      <c r="UC130" s="18"/>
      <c r="UD130" s="18"/>
      <c r="UE130" s="18"/>
      <c r="UF130" s="18"/>
      <c r="UG130" s="18"/>
      <c r="UH130" s="18"/>
      <c r="UI130" s="18"/>
      <c r="UJ130" s="18"/>
      <c r="UK130" s="18"/>
      <c r="UL130" s="18"/>
      <c r="UM130" s="18"/>
      <c r="UN130" s="18"/>
      <c r="UO130" s="18"/>
      <c r="UP130" s="18"/>
      <c r="UQ130" s="18"/>
      <c r="UR130" s="18"/>
      <c r="US130" s="18"/>
      <c r="UT130" s="18"/>
      <c r="UU130" s="18"/>
      <c r="UV130" s="18"/>
      <c r="UW130" s="18"/>
      <c r="UX130" s="18"/>
      <c r="UY130" s="18"/>
      <c r="UZ130" s="18"/>
      <c r="VA130" s="18"/>
      <c r="VB130" s="18"/>
      <c r="VC130" s="18"/>
      <c r="VD130" s="18"/>
      <c r="VE130" s="18"/>
      <c r="VF130" s="18"/>
      <c r="VG130" s="18"/>
      <c r="VH130" s="18"/>
      <c r="VI130" s="18"/>
      <c r="VJ130" s="18"/>
      <c r="VK130" s="18"/>
      <c r="VL130" s="18"/>
      <c r="VM130" s="18"/>
      <c r="VN130" s="18"/>
      <c r="VO130" s="18"/>
      <c r="VP130" s="18"/>
      <c r="VQ130" s="18"/>
      <c r="VR130" s="18"/>
      <c r="VS130" s="18"/>
      <c r="VT130" s="18"/>
      <c r="VU130" s="18"/>
      <c r="VV130" s="18"/>
      <c r="VW130" s="18"/>
      <c r="VX130" s="18"/>
      <c r="VY130" s="18"/>
      <c r="VZ130" s="18"/>
      <c r="WA130" s="18"/>
      <c r="WB130" s="18"/>
      <c r="WC130" s="18"/>
      <c r="WD130" s="18"/>
      <c r="WE130" s="18"/>
      <c r="WF130" s="18"/>
      <c r="WG130" s="18"/>
      <c r="WH130" s="18"/>
      <c r="WI130" s="18"/>
      <c r="WJ130" s="18"/>
      <c r="WK130" s="18"/>
      <c r="WL130" s="18"/>
      <c r="WM130" s="18"/>
      <c r="WN130" s="18"/>
      <c r="WO130" s="18"/>
      <c r="WP130" s="18"/>
      <c r="WQ130" s="18"/>
      <c r="WR130" s="18"/>
      <c r="WS130" s="18"/>
      <c r="WT130" s="18"/>
      <c r="WU130" s="18"/>
      <c r="WV130" s="18"/>
      <c r="WW130" s="18"/>
      <c r="WX130" s="18"/>
      <c r="WY130" s="18"/>
      <c r="WZ130" s="18"/>
      <c r="XA130" s="18"/>
      <c r="XB130" s="18"/>
      <c r="XC130" s="18"/>
      <c r="XD130" s="18"/>
      <c r="XE130" s="18"/>
      <c r="XF130" s="18"/>
      <c r="XG130" s="18"/>
      <c r="XH130" s="18"/>
      <c r="XI130" s="18"/>
      <c r="XJ130" s="18"/>
      <c r="XK130" s="18"/>
      <c r="XL130" s="18"/>
      <c r="XM130" s="18"/>
      <c r="XN130" s="18"/>
      <c r="XO130" s="18"/>
      <c r="XP130" s="18"/>
      <c r="XQ130" s="18"/>
      <c r="XR130" s="18"/>
      <c r="XS130" s="18"/>
      <c r="XT130" s="18"/>
      <c r="XU130" s="18"/>
      <c r="XV130" s="18"/>
      <c r="XW130" s="18"/>
      <c r="XX130" s="18"/>
      <c r="XY130" s="18"/>
      <c r="XZ130" s="18"/>
      <c r="YA130" s="18"/>
      <c r="YB130" s="18"/>
      <c r="YC130" s="18"/>
      <c r="YD130" s="18"/>
      <c r="YE130" s="18"/>
      <c r="YF130" s="18"/>
      <c r="YG130" s="18"/>
      <c r="YH130" s="18"/>
      <c r="YI130" s="18"/>
      <c r="YJ130" s="18"/>
      <c r="YK130" s="18"/>
      <c r="YL130" s="18"/>
      <c r="YM130" s="18"/>
      <c r="YN130" s="18"/>
      <c r="YO130" s="18"/>
      <c r="YP130" s="18"/>
      <c r="YQ130" s="18"/>
      <c r="YR130" s="18"/>
      <c r="YS130" s="18"/>
      <c r="YT130" s="18"/>
      <c r="YU130" s="18"/>
      <c r="YV130" s="18"/>
      <c r="YW130" s="18"/>
      <c r="YX130" s="18"/>
      <c r="YY130" s="18"/>
      <c r="YZ130" s="18"/>
      <c r="ZA130" s="18"/>
      <c r="ZB130" s="18"/>
      <c r="ZC130" s="18"/>
      <c r="ZD130" s="18"/>
      <c r="ZE130" s="18"/>
      <c r="ZF130" s="18"/>
      <c r="ZG130" s="18"/>
      <c r="ZH130" s="18"/>
      <c r="ZI130" s="18"/>
      <c r="ZJ130" s="18"/>
      <c r="ZK130" s="18"/>
      <c r="ZL130" s="18"/>
      <c r="ZM130" s="18"/>
      <c r="ZN130" s="18"/>
      <c r="ZO130" s="18"/>
      <c r="ZP130" s="18"/>
      <c r="ZQ130" s="18"/>
      <c r="ZR130" s="18"/>
      <c r="ZS130" s="18"/>
      <c r="ZT130" s="18"/>
      <c r="ZU130" s="18"/>
      <c r="ZV130" s="18"/>
      <c r="ZW130" s="18"/>
      <c r="ZX130" s="18"/>
      <c r="ZY130" s="18"/>
      <c r="ZZ130" s="18"/>
      <c r="AAA130" s="18"/>
      <c r="AAB130" s="18"/>
      <c r="AAC130" s="18"/>
      <c r="AAD130" s="18"/>
      <c r="AAE130" s="18"/>
      <c r="AAF130" s="18"/>
      <c r="AAG130" s="18"/>
      <c r="AAH130" s="18"/>
      <c r="AAI130" s="18"/>
      <c r="AAJ130" s="18"/>
      <c r="AAK130" s="18"/>
      <c r="AAL130" s="18"/>
      <c r="AAM130" s="18"/>
      <c r="AAN130" s="18"/>
      <c r="AAO130" s="18"/>
      <c r="AAP130" s="18"/>
      <c r="AAQ130" s="18"/>
      <c r="AAR130" s="18"/>
      <c r="AAS130" s="18"/>
      <c r="AAT130" s="18"/>
      <c r="AAU130" s="18"/>
      <c r="AAV130" s="18"/>
      <c r="AAW130" s="18"/>
      <c r="AAX130" s="18"/>
      <c r="AAY130" s="18"/>
      <c r="AAZ130" s="18"/>
      <c r="ABA130" s="18"/>
      <c r="ABB130" s="18"/>
      <c r="ABC130" s="18"/>
      <c r="ABD130" s="18"/>
      <c r="ABE130" s="18"/>
      <c r="ABF130" s="18"/>
      <c r="ABG130" s="18"/>
      <c r="ABH130" s="18"/>
      <c r="ABI130" s="18"/>
      <c r="ABJ130" s="18"/>
      <c r="ABK130" s="18"/>
      <c r="ABL130" s="18"/>
      <c r="ABM130" s="18"/>
      <c r="ABN130" s="18"/>
      <c r="ABO130" s="18"/>
      <c r="ABP130" s="18"/>
      <c r="ABQ130" s="18"/>
      <c r="ABR130" s="18"/>
      <c r="ABS130" s="18"/>
      <c r="ABT130" s="18"/>
      <c r="ABU130" s="18"/>
      <c r="ABV130" s="18"/>
      <c r="ABW130" s="18"/>
      <c r="ABX130" s="18"/>
      <c r="ABY130" s="18"/>
      <c r="ABZ130" s="18"/>
      <c r="ACA130" s="18"/>
      <c r="ACB130" s="18"/>
      <c r="ACC130" s="18"/>
      <c r="ACD130" s="18"/>
      <c r="ACE130" s="18"/>
      <c r="ACF130" s="18"/>
      <c r="ACG130" s="18"/>
      <c r="ACH130" s="18"/>
      <c r="ACI130" s="18"/>
      <c r="ACJ130" s="18"/>
      <c r="ACK130" s="18"/>
      <c r="ACL130" s="18"/>
      <c r="ACM130" s="18"/>
      <c r="ACN130" s="18"/>
      <c r="ACO130" s="18"/>
      <c r="ACP130" s="18"/>
      <c r="ACQ130" s="18"/>
      <c r="ACR130" s="18"/>
      <c r="ACS130" s="18"/>
      <c r="ACT130" s="18"/>
      <c r="ACU130" s="18"/>
      <c r="ACV130" s="18"/>
      <c r="ACW130" s="18"/>
      <c r="ACX130" s="18"/>
      <c r="ACY130" s="18"/>
      <c r="ACZ130" s="18"/>
      <c r="ADA130" s="18"/>
      <c r="ADB130" s="18"/>
      <c r="ADC130" s="18"/>
      <c r="ADD130" s="18"/>
      <c r="ADE130" s="18"/>
      <c r="ADF130" s="18"/>
      <c r="ADG130" s="18"/>
      <c r="ADH130" s="18"/>
      <c r="ADI130" s="18"/>
      <c r="ADJ130" s="18"/>
      <c r="ADK130" s="18"/>
      <c r="ADL130" s="18"/>
      <c r="ADM130" s="18"/>
      <c r="ADN130" s="18"/>
      <c r="ADO130" s="18"/>
      <c r="ADP130" s="18"/>
      <c r="ADQ130" s="18"/>
      <c r="ADR130" s="18"/>
      <c r="ADS130" s="18"/>
      <c r="ADT130" s="18"/>
      <c r="ADU130" s="18"/>
      <c r="ADV130" s="18"/>
      <c r="ADW130" s="18"/>
      <c r="ADX130" s="18"/>
      <c r="ADY130" s="18"/>
      <c r="ADZ130" s="18"/>
      <c r="AEA130" s="18"/>
      <c r="AEB130" s="18"/>
      <c r="AEC130" s="18"/>
      <c r="AED130" s="18"/>
      <c r="AEE130" s="18"/>
      <c r="AEF130" s="18"/>
      <c r="AEG130" s="18"/>
      <c r="AEH130" s="18"/>
      <c r="AEI130" s="18"/>
      <c r="AEJ130" s="18"/>
      <c r="AEK130" s="18"/>
      <c r="AEL130" s="18"/>
      <c r="AEM130" s="18"/>
      <c r="AEN130" s="18"/>
      <c r="AEO130" s="18"/>
      <c r="AEP130" s="18"/>
      <c r="AEQ130" s="18"/>
      <c r="AER130" s="18"/>
      <c r="AES130" s="18"/>
      <c r="AET130" s="18"/>
      <c r="AEU130" s="18"/>
      <c r="AEV130" s="18"/>
      <c r="AEW130" s="18"/>
      <c r="AEX130" s="18"/>
      <c r="AEY130" s="18"/>
      <c r="AEZ130" s="18"/>
      <c r="AFA130" s="18"/>
      <c r="AFB130" s="18"/>
      <c r="AFC130" s="18"/>
      <c r="AFD130" s="18"/>
      <c r="AFE130" s="18"/>
      <c r="AFF130" s="18"/>
      <c r="AFG130" s="18"/>
      <c r="AFH130" s="18"/>
      <c r="AFI130" s="18"/>
      <c r="AFJ130" s="18"/>
      <c r="AFK130" s="18"/>
      <c r="AFL130" s="18"/>
      <c r="AFM130" s="18"/>
      <c r="AFN130" s="18"/>
      <c r="AFO130" s="18"/>
      <c r="AFP130" s="18"/>
      <c r="AFQ130" s="18"/>
      <c r="AFR130" s="18"/>
      <c r="AFS130" s="18"/>
      <c r="AFT130" s="18"/>
      <c r="AFU130" s="18"/>
      <c r="AFV130" s="18"/>
      <c r="AFW130" s="18"/>
      <c r="AFX130" s="18"/>
      <c r="AFY130" s="18"/>
      <c r="AFZ130" s="18"/>
      <c r="AGA130" s="18"/>
      <c r="AGB130" s="18"/>
      <c r="AGC130" s="18"/>
      <c r="AGD130" s="18"/>
      <c r="AGE130" s="18"/>
      <c r="AGF130" s="18"/>
      <c r="AGG130" s="18"/>
      <c r="AGH130" s="18"/>
      <c r="AGI130" s="18"/>
      <c r="AGJ130" s="18"/>
      <c r="AGK130" s="18"/>
      <c r="AGL130" s="18"/>
      <c r="AGM130" s="18"/>
      <c r="AGN130" s="18"/>
      <c r="AGO130" s="18"/>
      <c r="AGP130" s="18"/>
      <c r="AGQ130" s="18"/>
      <c r="AGR130" s="18"/>
      <c r="AGS130" s="18"/>
      <c r="AGT130" s="18"/>
      <c r="AGU130" s="18"/>
      <c r="AGV130" s="18"/>
      <c r="AGW130" s="18"/>
      <c r="AGX130" s="18"/>
      <c r="AGY130" s="18"/>
      <c r="AGZ130" s="18"/>
      <c r="AHA130" s="18"/>
      <c r="AHB130" s="18"/>
      <c r="AHC130" s="18"/>
      <c r="AHD130" s="18"/>
      <c r="AHE130" s="18"/>
      <c r="AHF130" s="18"/>
      <c r="AHG130" s="18"/>
      <c r="AHH130" s="18"/>
      <c r="AHI130" s="18"/>
      <c r="AHJ130" s="18"/>
      <c r="AHK130" s="18"/>
      <c r="AHL130" s="18"/>
      <c r="AHM130" s="18"/>
      <c r="AHN130" s="18"/>
      <c r="AHO130" s="18"/>
      <c r="AHP130" s="18"/>
      <c r="AHQ130" s="18"/>
      <c r="AHR130" s="18"/>
      <c r="AHS130" s="18"/>
      <c r="AHT130" s="18"/>
      <c r="AHU130" s="18"/>
      <c r="AHV130" s="18"/>
      <c r="AHW130" s="18"/>
      <c r="AHX130" s="18"/>
      <c r="AHY130" s="18"/>
      <c r="AHZ130" s="18"/>
      <c r="AIA130" s="18"/>
      <c r="AIB130" s="18"/>
      <c r="AIC130" s="18"/>
      <c r="AID130" s="18"/>
      <c r="AIE130" s="18"/>
      <c r="AIF130" s="18"/>
      <c r="AIG130" s="18"/>
      <c r="AIH130" s="18"/>
      <c r="AII130" s="18"/>
      <c r="AIJ130" s="18"/>
      <c r="AIK130" s="18"/>
      <c r="AIL130" s="18"/>
      <c r="AIM130" s="18"/>
      <c r="AIN130" s="18"/>
      <c r="AIO130" s="18"/>
      <c r="AIP130" s="18"/>
      <c r="AIQ130" s="18"/>
      <c r="AIR130" s="18"/>
      <c r="AIS130" s="18"/>
      <c r="AIT130" s="18"/>
      <c r="AIU130" s="18"/>
      <c r="AIV130" s="18"/>
      <c r="AIW130" s="18"/>
      <c r="AIX130" s="18"/>
      <c r="AIY130" s="18"/>
      <c r="AIZ130" s="18"/>
      <c r="AJA130" s="18"/>
      <c r="AJB130" s="18"/>
      <c r="AJC130" s="18"/>
      <c r="AJD130" s="18"/>
      <c r="AJE130" s="18"/>
      <c r="AJF130" s="18"/>
      <c r="AJG130" s="18"/>
      <c r="AJH130" s="18"/>
      <c r="AJI130" s="18"/>
      <c r="AJJ130" s="18"/>
      <c r="AJK130" s="18"/>
      <c r="AJL130" s="18"/>
      <c r="AJM130" s="18"/>
      <c r="AJN130" s="18"/>
      <c r="AJO130" s="18"/>
      <c r="AJP130" s="18"/>
      <c r="AJQ130" s="18"/>
      <c r="AJR130" s="18"/>
      <c r="AJS130" s="18"/>
      <c r="AJT130" s="18"/>
      <c r="AJU130" s="18"/>
      <c r="AJV130" s="18"/>
      <c r="AJW130" s="18"/>
      <c r="AJX130" s="18"/>
      <c r="AJY130" s="18"/>
      <c r="AJZ130" s="18"/>
      <c r="AKA130" s="18"/>
      <c r="AKB130" s="18"/>
      <c r="AKC130" s="18"/>
      <c r="AKD130" s="18"/>
      <c r="AKE130" s="18"/>
      <c r="AKF130" s="18"/>
      <c r="AKG130" s="18"/>
      <c r="AKH130" s="18"/>
      <c r="AKI130" s="18"/>
      <c r="AKJ130" s="18"/>
      <c r="AKK130" s="18"/>
      <c r="AKL130" s="18"/>
      <c r="AKM130" s="18"/>
      <c r="AKN130" s="18"/>
      <c r="AKO130" s="18"/>
      <c r="AKP130" s="18"/>
      <c r="AKQ130" s="18"/>
      <c r="AKR130" s="18"/>
      <c r="AKS130" s="18"/>
      <c r="AKT130" s="18"/>
      <c r="AKU130" s="18"/>
      <c r="AKV130" s="18"/>
      <c r="AKW130" s="18"/>
      <c r="AKX130" s="18"/>
      <c r="AKY130" s="18"/>
      <c r="AKZ130" s="18"/>
      <c r="ALA130" s="18"/>
      <c r="ALB130" s="18"/>
      <c r="ALC130" s="18"/>
      <c r="ALD130" s="18"/>
      <c r="ALE130" s="18"/>
      <c r="ALF130" s="18"/>
      <c r="ALG130" s="18"/>
      <c r="ALH130" s="18"/>
      <c r="ALI130" s="18"/>
      <c r="ALJ130" s="18"/>
      <c r="ALK130" s="18"/>
      <c r="ALL130" s="18"/>
      <c r="ALM130" s="18"/>
      <c r="ALN130" s="18"/>
      <c r="ALO130" s="18"/>
      <c r="ALP130" s="18"/>
      <c r="ALQ130" s="18"/>
      <c r="ALR130" s="18"/>
      <c r="ALS130" s="18"/>
      <c r="ALT130" s="18"/>
      <c r="ALU130" s="18"/>
      <c r="ALV130" s="18"/>
      <c r="ALW130" s="18"/>
      <c r="ALX130" s="18"/>
      <c r="ALY130" s="18"/>
      <c r="ALZ130" s="18"/>
      <c r="AMA130" s="18"/>
      <c r="AMB130" s="18"/>
      <c r="AMC130" s="18"/>
      <c r="AMD130" s="18"/>
      <c r="AME130" s="18"/>
      <c r="AMF130" s="18"/>
      <c r="AMG130" s="18"/>
      <c r="AMH130" s="18"/>
    </row>
    <row r="131" spans="1:1022" s="23" customFormat="1" x14ac:dyDescent="0.3">
      <c r="A131" s="33">
        <v>227</v>
      </c>
      <c r="B131" s="19"/>
      <c r="C131" s="19"/>
      <c r="D131" s="34"/>
      <c r="E131" s="34"/>
      <c r="F131" s="19"/>
      <c r="G131" s="19"/>
      <c r="H131" s="18"/>
      <c r="I131" s="31"/>
      <c r="J131" s="31"/>
      <c r="K131" s="31"/>
      <c r="L131" s="31"/>
      <c r="M131" s="32"/>
      <c r="N131" s="32"/>
      <c r="O131" s="18"/>
      <c r="P131" s="36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  <c r="BN131" s="18"/>
      <c r="BO131" s="18"/>
      <c r="BP131" s="18"/>
      <c r="BQ131" s="18"/>
      <c r="BR131" s="18"/>
      <c r="BS131" s="18"/>
      <c r="BT131" s="18"/>
      <c r="BU131" s="18"/>
      <c r="BV131" s="18"/>
      <c r="BW131" s="18"/>
      <c r="BX131" s="18"/>
      <c r="BY131" s="18"/>
      <c r="BZ131" s="18"/>
      <c r="CA131" s="18"/>
      <c r="CB131" s="18"/>
      <c r="CC131" s="18"/>
      <c r="CD131" s="18"/>
      <c r="CE131" s="18"/>
      <c r="CF131" s="18"/>
      <c r="CG131" s="18"/>
      <c r="CH131" s="18"/>
      <c r="CI131" s="18"/>
      <c r="CJ131" s="18"/>
      <c r="CK131" s="18"/>
      <c r="CL131" s="18"/>
      <c r="CM131" s="18"/>
      <c r="CN131" s="18"/>
      <c r="CO131" s="18"/>
      <c r="CP131" s="18"/>
      <c r="CQ131" s="18"/>
      <c r="CR131" s="18"/>
      <c r="CS131" s="18"/>
      <c r="CT131" s="18"/>
      <c r="CU131" s="18"/>
      <c r="CV131" s="18"/>
      <c r="CW131" s="18"/>
      <c r="CX131" s="18"/>
      <c r="CY131" s="18"/>
      <c r="CZ131" s="18"/>
      <c r="DA131" s="18"/>
      <c r="DB131" s="18"/>
      <c r="DC131" s="18"/>
      <c r="DD131" s="18"/>
      <c r="DE131" s="18"/>
      <c r="DF131" s="18"/>
      <c r="DG131" s="18"/>
      <c r="DH131" s="18"/>
      <c r="DI131" s="18"/>
      <c r="DJ131" s="18"/>
      <c r="DK131" s="18"/>
      <c r="DL131" s="18"/>
      <c r="DM131" s="18"/>
      <c r="DN131" s="18"/>
      <c r="DO131" s="18"/>
      <c r="DP131" s="18"/>
      <c r="DQ131" s="18"/>
      <c r="DR131" s="18"/>
      <c r="DS131" s="18"/>
      <c r="DT131" s="18"/>
      <c r="DU131" s="18"/>
      <c r="DV131" s="18"/>
      <c r="DW131" s="18"/>
      <c r="DX131" s="18"/>
      <c r="DY131" s="18"/>
      <c r="DZ131" s="18"/>
      <c r="EA131" s="18"/>
      <c r="EB131" s="18"/>
      <c r="EC131" s="18"/>
      <c r="ED131" s="18"/>
      <c r="EE131" s="18"/>
      <c r="EF131" s="18"/>
      <c r="EG131" s="18"/>
      <c r="EH131" s="18"/>
      <c r="EI131" s="18"/>
      <c r="EJ131" s="18"/>
      <c r="EK131" s="18"/>
      <c r="EL131" s="18"/>
      <c r="EM131" s="18"/>
      <c r="EN131" s="18"/>
      <c r="EO131" s="18"/>
      <c r="EP131" s="18"/>
      <c r="EQ131" s="18"/>
      <c r="ER131" s="18"/>
      <c r="ES131" s="18"/>
      <c r="ET131" s="18"/>
      <c r="EU131" s="18"/>
      <c r="EV131" s="18"/>
      <c r="EW131" s="18"/>
      <c r="EX131" s="18"/>
      <c r="EY131" s="18"/>
      <c r="EZ131" s="18"/>
      <c r="FA131" s="18"/>
      <c r="FB131" s="18"/>
      <c r="FC131" s="18"/>
      <c r="FD131" s="18"/>
      <c r="FE131" s="18"/>
      <c r="FF131" s="18"/>
      <c r="FG131" s="18"/>
      <c r="FH131" s="18"/>
      <c r="FI131" s="18"/>
      <c r="FJ131" s="18"/>
      <c r="FK131" s="18"/>
      <c r="FL131" s="18"/>
      <c r="FM131" s="18"/>
      <c r="FN131" s="18"/>
      <c r="FO131" s="18"/>
      <c r="FP131" s="18"/>
      <c r="FQ131" s="18"/>
      <c r="FR131" s="18"/>
      <c r="FS131" s="18"/>
      <c r="FT131" s="18"/>
      <c r="FU131" s="18"/>
      <c r="FV131" s="18"/>
      <c r="FW131" s="18"/>
      <c r="FX131" s="18"/>
      <c r="FY131" s="18"/>
      <c r="FZ131" s="18"/>
      <c r="GA131" s="18"/>
      <c r="GB131" s="18"/>
      <c r="GC131" s="18"/>
      <c r="GD131" s="18"/>
      <c r="GE131" s="18"/>
      <c r="GF131" s="18"/>
      <c r="GG131" s="18"/>
      <c r="GH131" s="18"/>
      <c r="GI131" s="18"/>
      <c r="GJ131" s="18"/>
      <c r="GK131" s="18"/>
      <c r="GL131" s="18"/>
      <c r="GM131" s="18"/>
      <c r="GN131" s="18"/>
      <c r="GO131" s="18"/>
      <c r="GP131" s="18"/>
      <c r="GQ131" s="18"/>
      <c r="GR131" s="18"/>
      <c r="GS131" s="18"/>
      <c r="GT131" s="18"/>
      <c r="GU131" s="18"/>
      <c r="GV131" s="18"/>
      <c r="GW131" s="18"/>
      <c r="GX131" s="18"/>
      <c r="GY131" s="18"/>
      <c r="GZ131" s="18"/>
      <c r="HA131" s="18"/>
      <c r="HB131" s="18"/>
      <c r="HC131" s="18"/>
      <c r="HD131" s="18"/>
      <c r="HE131" s="18"/>
      <c r="HF131" s="18"/>
      <c r="HG131" s="18"/>
      <c r="HH131" s="18"/>
      <c r="HI131" s="18"/>
      <c r="HJ131" s="18"/>
      <c r="HK131" s="18"/>
      <c r="HL131" s="18"/>
      <c r="HM131" s="18"/>
      <c r="HN131" s="18"/>
      <c r="HO131" s="18"/>
      <c r="HP131" s="18"/>
      <c r="HQ131" s="18"/>
      <c r="HR131" s="18"/>
      <c r="HS131" s="18"/>
      <c r="HT131" s="18"/>
      <c r="HU131" s="18"/>
      <c r="HV131" s="18"/>
      <c r="HW131" s="18"/>
      <c r="HX131" s="18"/>
      <c r="HY131" s="18"/>
      <c r="HZ131" s="18"/>
      <c r="IA131" s="18"/>
      <c r="IB131" s="18"/>
      <c r="IC131" s="18"/>
      <c r="ID131" s="18"/>
      <c r="IE131" s="18"/>
      <c r="IF131" s="18"/>
      <c r="IG131" s="18"/>
      <c r="IH131" s="18"/>
      <c r="II131" s="18"/>
      <c r="IJ131" s="18"/>
      <c r="IK131" s="18"/>
      <c r="IL131" s="18"/>
      <c r="IM131" s="18"/>
      <c r="IN131" s="18"/>
      <c r="IO131" s="18"/>
      <c r="IP131" s="18"/>
      <c r="IQ131" s="18"/>
      <c r="IR131" s="18"/>
      <c r="IS131" s="18"/>
      <c r="IT131" s="18"/>
      <c r="IU131" s="18"/>
      <c r="IV131" s="18"/>
      <c r="IW131" s="18"/>
      <c r="IX131" s="18"/>
      <c r="IY131" s="18"/>
      <c r="IZ131" s="18"/>
      <c r="JA131" s="18"/>
      <c r="JB131" s="18"/>
      <c r="JC131" s="18"/>
      <c r="JD131" s="18"/>
      <c r="JE131" s="18"/>
      <c r="JF131" s="18"/>
      <c r="JG131" s="18"/>
      <c r="JH131" s="18"/>
      <c r="JI131" s="18"/>
      <c r="JJ131" s="18"/>
      <c r="JK131" s="18"/>
      <c r="JL131" s="18"/>
      <c r="JM131" s="18"/>
      <c r="JN131" s="18"/>
      <c r="JO131" s="18"/>
      <c r="JP131" s="18"/>
      <c r="JQ131" s="18"/>
      <c r="JR131" s="18"/>
      <c r="JS131" s="18"/>
      <c r="JT131" s="18"/>
      <c r="JU131" s="18"/>
      <c r="JV131" s="18"/>
      <c r="JW131" s="18"/>
      <c r="JX131" s="18"/>
      <c r="JY131" s="18"/>
      <c r="JZ131" s="18"/>
      <c r="KA131" s="18"/>
      <c r="KB131" s="18"/>
      <c r="KC131" s="18"/>
      <c r="KD131" s="18"/>
      <c r="KE131" s="18"/>
      <c r="KF131" s="18"/>
      <c r="KG131" s="18"/>
      <c r="KH131" s="18"/>
      <c r="KI131" s="18"/>
      <c r="KJ131" s="18"/>
      <c r="KK131" s="18"/>
      <c r="KL131" s="18"/>
      <c r="KM131" s="18"/>
      <c r="KN131" s="18"/>
      <c r="KO131" s="18"/>
      <c r="KP131" s="18"/>
      <c r="KQ131" s="18"/>
      <c r="KR131" s="18"/>
      <c r="KS131" s="18"/>
      <c r="KT131" s="18"/>
      <c r="KU131" s="18"/>
      <c r="KV131" s="18"/>
      <c r="KW131" s="18"/>
      <c r="KX131" s="18"/>
      <c r="KY131" s="18"/>
      <c r="KZ131" s="18"/>
      <c r="LA131" s="18"/>
      <c r="LB131" s="18"/>
      <c r="LC131" s="18"/>
      <c r="LD131" s="18"/>
      <c r="LE131" s="18"/>
      <c r="LF131" s="18"/>
      <c r="LG131" s="18"/>
      <c r="LH131" s="18"/>
      <c r="LI131" s="18"/>
      <c r="LJ131" s="18"/>
      <c r="LK131" s="18"/>
      <c r="LL131" s="18"/>
      <c r="LM131" s="18"/>
      <c r="LN131" s="18"/>
      <c r="LO131" s="18"/>
      <c r="LP131" s="18"/>
      <c r="LQ131" s="18"/>
      <c r="LR131" s="18"/>
      <c r="LS131" s="18"/>
      <c r="LT131" s="18"/>
      <c r="LU131" s="18"/>
      <c r="LV131" s="18"/>
      <c r="LW131" s="18"/>
      <c r="LX131" s="18"/>
      <c r="LY131" s="18"/>
      <c r="LZ131" s="18"/>
      <c r="MA131" s="18"/>
      <c r="MB131" s="18"/>
      <c r="MC131" s="18"/>
      <c r="MD131" s="18"/>
      <c r="ME131" s="18"/>
      <c r="MF131" s="18"/>
      <c r="MG131" s="18"/>
      <c r="MH131" s="18"/>
      <c r="MI131" s="18"/>
      <c r="MJ131" s="18"/>
      <c r="MK131" s="18"/>
      <c r="ML131" s="18"/>
      <c r="MM131" s="18"/>
      <c r="MN131" s="18"/>
      <c r="MO131" s="18"/>
      <c r="MP131" s="18"/>
      <c r="MQ131" s="18"/>
      <c r="MR131" s="18"/>
      <c r="MS131" s="18"/>
      <c r="MT131" s="18"/>
      <c r="MU131" s="18"/>
      <c r="MV131" s="18"/>
      <c r="MW131" s="18"/>
      <c r="MX131" s="18"/>
      <c r="MY131" s="18"/>
      <c r="MZ131" s="18"/>
      <c r="NA131" s="18"/>
      <c r="NB131" s="18"/>
      <c r="NC131" s="18"/>
      <c r="ND131" s="18"/>
      <c r="NE131" s="18"/>
      <c r="NF131" s="18"/>
      <c r="NG131" s="18"/>
      <c r="NH131" s="18"/>
      <c r="NI131" s="18"/>
      <c r="NJ131" s="18"/>
      <c r="NK131" s="18"/>
      <c r="NL131" s="18"/>
      <c r="NM131" s="18"/>
      <c r="NN131" s="18"/>
      <c r="NO131" s="18"/>
      <c r="NP131" s="18"/>
      <c r="NQ131" s="18"/>
      <c r="NR131" s="18"/>
      <c r="NS131" s="18"/>
      <c r="NT131" s="18"/>
      <c r="NU131" s="18"/>
      <c r="NV131" s="18"/>
      <c r="NW131" s="18"/>
      <c r="NX131" s="18"/>
      <c r="NY131" s="18"/>
      <c r="NZ131" s="18"/>
      <c r="OA131" s="18"/>
      <c r="OB131" s="18"/>
      <c r="OC131" s="18"/>
      <c r="OD131" s="18"/>
      <c r="OE131" s="18"/>
      <c r="OF131" s="18"/>
      <c r="OG131" s="18"/>
      <c r="OH131" s="18"/>
      <c r="OI131" s="18"/>
      <c r="OJ131" s="18"/>
      <c r="OK131" s="18"/>
      <c r="OL131" s="18"/>
      <c r="OM131" s="18"/>
      <c r="ON131" s="18"/>
      <c r="OO131" s="18"/>
      <c r="OP131" s="18"/>
      <c r="OQ131" s="18"/>
      <c r="OR131" s="18"/>
      <c r="OS131" s="18"/>
      <c r="OT131" s="18"/>
      <c r="OU131" s="18"/>
      <c r="OV131" s="18"/>
      <c r="OW131" s="18"/>
      <c r="OX131" s="18"/>
      <c r="OY131" s="18"/>
      <c r="OZ131" s="18"/>
      <c r="PA131" s="18"/>
      <c r="PB131" s="18"/>
      <c r="PC131" s="18"/>
      <c r="PD131" s="18"/>
      <c r="PE131" s="18"/>
      <c r="PF131" s="18"/>
      <c r="PG131" s="18"/>
      <c r="PH131" s="18"/>
      <c r="PI131" s="18"/>
      <c r="PJ131" s="18"/>
      <c r="PK131" s="18"/>
      <c r="PL131" s="18"/>
      <c r="PM131" s="18"/>
      <c r="PN131" s="18"/>
      <c r="PO131" s="18"/>
      <c r="PP131" s="18"/>
      <c r="PQ131" s="18"/>
      <c r="PR131" s="18"/>
      <c r="PS131" s="18"/>
      <c r="PT131" s="18"/>
      <c r="PU131" s="18"/>
      <c r="PV131" s="18"/>
      <c r="PW131" s="18"/>
      <c r="PX131" s="18"/>
      <c r="PY131" s="18"/>
      <c r="PZ131" s="18"/>
      <c r="QA131" s="18"/>
      <c r="QB131" s="18"/>
      <c r="QC131" s="18"/>
      <c r="QD131" s="18"/>
      <c r="QE131" s="18"/>
      <c r="QF131" s="18"/>
      <c r="QG131" s="18"/>
      <c r="QH131" s="18"/>
      <c r="QI131" s="18"/>
      <c r="QJ131" s="18"/>
      <c r="QK131" s="18"/>
      <c r="QL131" s="18"/>
      <c r="QM131" s="18"/>
      <c r="QN131" s="18"/>
      <c r="QO131" s="18"/>
      <c r="QP131" s="18"/>
      <c r="QQ131" s="18"/>
      <c r="QR131" s="18"/>
      <c r="QS131" s="18"/>
      <c r="QT131" s="18"/>
      <c r="QU131" s="18"/>
      <c r="QV131" s="18"/>
      <c r="QW131" s="18"/>
      <c r="QX131" s="18"/>
      <c r="QY131" s="18"/>
      <c r="QZ131" s="18"/>
      <c r="RA131" s="18"/>
      <c r="RB131" s="18"/>
      <c r="RC131" s="18"/>
      <c r="RD131" s="18"/>
      <c r="RE131" s="18"/>
      <c r="RF131" s="18"/>
      <c r="RG131" s="18"/>
      <c r="RH131" s="18"/>
      <c r="RI131" s="18"/>
      <c r="RJ131" s="18"/>
      <c r="RK131" s="18"/>
      <c r="RL131" s="18"/>
      <c r="RM131" s="18"/>
      <c r="RN131" s="18"/>
      <c r="RO131" s="18"/>
      <c r="RP131" s="18"/>
      <c r="RQ131" s="18"/>
      <c r="RR131" s="18"/>
      <c r="RS131" s="18"/>
      <c r="RT131" s="18"/>
      <c r="RU131" s="18"/>
      <c r="RV131" s="18"/>
      <c r="RW131" s="18"/>
      <c r="RX131" s="18"/>
      <c r="RY131" s="18"/>
      <c r="RZ131" s="18"/>
      <c r="SA131" s="18"/>
      <c r="SB131" s="18"/>
      <c r="SC131" s="18"/>
      <c r="SD131" s="18"/>
      <c r="SE131" s="18"/>
      <c r="SF131" s="18"/>
      <c r="SG131" s="18"/>
      <c r="SH131" s="18"/>
      <c r="SI131" s="18"/>
      <c r="SJ131" s="18"/>
      <c r="SK131" s="18"/>
      <c r="SL131" s="18"/>
      <c r="SM131" s="18"/>
      <c r="SN131" s="18"/>
      <c r="SO131" s="18"/>
      <c r="SP131" s="18"/>
      <c r="SQ131" s="18"/>
      <c r="SR131" s="18"/>
      <c r="SS131" s="18"/>
      <c r="ST131" s="18"/>
      <c r="SU131" s="18"/>
      <c r="SV131" s="18"/>
      <c r="SW131" s="18"/>
      <c r="SX131" s="18"/>
      <c r="SY131" s="18"/>
      <c r="SZ131" s="18"/>
      <c r="TA131" s="18"/>
      <c r="TB131" s="18"/>
      <c r="TC131" s="18"/>
      <c r="TD131" s="18"/>
      <c r="TE131" s="18"/>
      <c r="TF131" s="18"/>
      <c r="TG131" s="18"/>
      <c r="TH131" s="18"/>
      <c r="TI131" s="18"/>
      <c r="TJ131" s="18"/>
      <c r="TK131" s="18"/>
      <c r="TL131" s="18"/>
      <c r="TM131" s="18"/>
      <c r="TN131" s="18"/>
      <c r="TO131" s="18"/>
      <c r="TP131" s="18"/>
      <c r="TQ131" s="18"/>
      <c r="TR131" s="18"/>
      <c r="TS131" s="18"/>
      <c r="TT131" s="18"/>
      <c r="TU131" s="18"/>
      <c r="TV131" s="18"/>
      <c r="TW131" s="18"/>
      <c r="TX131" s="18"/>
      <c r="TY131" s="18"/>
      <c r="TZ131" s="18"/>
      <c r="UA131" s="18"/>
      <c r="UB131" s="18"/>
      <c r="UC131" s="18"/>
      <c r="UD131" s="18"/>
      <c r="UE131" s="18"/>
      <c r="UF131" s="18"/>
      <c r="UG131" s="18"/>
      <c r="UH131" s="18"/>
      <c r="UI131" s="18"/>
      <c r="UJ131" s="18"/>
      <c r="UK131" s="18"/>
      <c r="UL131" s="18"/>
      <c r="UM131" s="18"/>
      <c r="UN131" s="18"/>
      <c r="UO131" s="18"/>
      <c r="UP131" s="18"/>
      <c r="UQ131" s="18"/>
      <c r="UR131" s="18"/>
      <c r="US131" s="18"/>
      <c r="UT131" s="18"/>
      <c r="UU131" s="18"/>
      <c r="UV131" s="18"/>
      <c r="UW131" s="18"/>
      <c r="UX131" s="18"/>
      <c r="UY131" s="18"/>
      <c r="UZ131" s="18"/>
      <c r="VA131" s="18"/>
      <c r="VB131" s="18"/>
      <c r="VC131" s="18"/>
      <c r="VD131" s="18"/>
      <c r="VE131" s="18"/>
      <c r="VF131" s="18"/>
      <c r="VG131" s="18"/>
      <c r="VH131" s="18"/>
      <c r="VI131" s="18"/>
      <c r="VJ131" s="18"/>
      <c r="VK131" s="18"/>
      <c r="VL131" s="18"/>
      <c r="VM131" s="18"/>
      <c r="VN131" s="18"/>
      <c r="VO131" s="18"/>
      <c r="VP131" s="18"/>
      <c r="VQ131" s="18"/>
      <c r="VR131" s="18"/>
      <c r="VS131" s="18"/>
      <c r="VT131" s="18"/>
      <c r="VU131" s="18"/>
      <c r="VV131" s="18"/>
      <c r="VW131" s="18"/>
      <c r="VX131" s="18"/>
      <c r="VY131" s="18"/>
      <c r="VZ131" s="18"/>
      <c r="WA131" s="18"/>
      <c r="WB131" s="18"/>
      <c r="WC131" s="18"/>
      <c r="WD131" s="18"/>
      <c r="WE131" s="18"/>
      <c r="WF131" s="18"/>
      <c r="WG131" s="18"/>
      <c r="WH131" s="18"/>
      <c r="WI131" s="18"/>
      <c r="WJ131" s="18"/>
      <c r="WK131" s="18"/>
      <c r="WL131" s="18"/>
      <c r="WM131" s="18"/>
      <c r="WN131" s="18"/>
      <c r="WO131" s="18"/>
      <c r="WP131" s="18"/>
      <c r="WQ131" s="18"/>
      <c r="WR131" s="18"/>
      <c r="WS131" s="18"/>
      <c r="WT131" s="18"/>
      <c r="WU131" s="18"/>
      <c r="WV131" s="18"/>
      <c r="WW131" s="18"/>
      <c r="WX131" s="18"/>
      <c r="WY131" s="18"/>
      <c r="WZ131" s="18"/>
      <c r="XA131" s="18"/>
      <c r="XB131" s="18"/>
      <c r="XC131" s="18"/>
      <c r="XD131" s="18"/>
      <c r="XE131" s="18"/>
      <c r="XF131" s="18"/>
      <c r="XG131" s="18"/>
      <c r="XH131" s="18"/>
      <c r="XI131" s="18"/>
      <c r="XJ131" s="18"/>
      <c r="XK131" s="18"/>
      <c r="XL131" s="18"/>
      <c r="XM131" s="18"/>
      <c r="XN131" s="18"/>
      <c r="XO131" s="18"/>
      <c r="XP131" s="18"/>
      <c r="XQ131" s="18"/>
      <c r="XR131" s="18"/>
      <c r="XS131" s="18"/>
      <c r="XT131" s="18"/>
      <c r="XU131" s="18"/>
      <c r="XV131" s="18"/>
      <c r="XW131" s="18"/>
      <c r="XX131" s="18"/>
      <c r="XY131" s="18"/>
      <c r="XZ131" s="18"/>
      <c r="YA131" s="18"/>
      <c r="YB131" s="18"/>
      <c r="YC131" s="18"/>
      <c r="YD131" s="18"/>
      <c r="YE131" s="18"/>
      <c r="YF131" s="18"/>
      <c r="YG131" s="18"/>
      <c r="YH131" s="18"/>
      <c r="YI131" s="18"/>
      <c r="YJ131" s="18"/>
      <c r="YK131" s="18"/>
      <c r="YL131" s="18"/>
      <c r="YM131" s="18"/>
      <c r="YN131" s="18"/>
      <c r="YO131" s="18"/>
      <c r="YP131" s="18"/>
      <c r="YQ131" s="18"/>
      <c r="YR131" s="18"/>
      <c r="YS131" s="18"/>
      <c r="YT131" s="18"/>
      <c r="YU131" s="18"/>
      <c r="YV131" s="18"/>
      <c r="YW131" s="18"/>
      <c r="YX131" s="18"/>
      <c r="YY131" s="18"/>
      <c r="YZ131" s="18"/>
      <c r="ZA131" s="18"/>
      <c r="ZB131" s="18"/>
      <c r="ZC131" s="18"/>
      <c r="ZD131" s="18"/>
      <c r="ZE131" s="18"/>
      <c r="ZF131" s="18"/>
      <c r="ZG131" s="18"/>
      <c r="ZH131" s="18"/>
      <c r="ZI131" s="18"/>
      <c r="ZJ131" s="18"/>
      <c r="ZK131" s="18"/>
      <c r="ZL131" s="18"/>
      <c r="ZM131" s="18"/>
      <c r="ZN131" s="18"/>
      <c r="ZO131" s="18"/>
      <c r="ZP131" s="18"/>
      <c r="ZQ131" s="18"/>
      <c r="ZR131" s="18"/>
      <c r="ZS131" s="18"/>
      <c r="ZT131" s="18"/>
      <c r="ZU131" s="18"/>
      <c r="ZV131" s="18"/>
      <c r="ZW131" s="18"/>
      <c r="ZX131" s="18"/>
      <c r="ZY131" s="18"/>
      <c r="ZZ131" s="18"/>
      <c r="AAA131" s="18"/>
      <c r="AAB131" s="18"/>
      <c r="AAC131" s="18"/>
      <c r="AAD131" s="18"/>
      <c r="AAE131" s="18"/>
      <c r="AAF131" s="18"/>
      <c r="AAG131" s="18"/>
      <c r="AAH131" s="18"/>
      <c r="AAI131" s="18"/>
      <c r="AAJ131" s="18"/>
      <c r="AAK131" s="18"/>
      <c r="AAL131" s="18"/>
      <c r="AAM131" s="18"/>
      <c r="AAN131" s="18"/>
      <c r="AAO131" s="18"/>
      <c r="AAP131" s="18"/>
      <c r="AAQ131" s="18"/>
      <c r="AAR131" s="18"/>
      <c r="AAS131" s="18"/>
      <c r="AAT131" s="18"/>
      <c r="AAU131" s="18"/>
      <c r="AAV131" s="18"/>
      <c r="AAW131" s="18"/>
      <c r="AAX131" s="18"/>
      <c r="AAY131" s="18"/>
      <c r="AAZ131" s="18"/>
      <c r="ABA131" s="18"/>
      <c r="ABB131" s="18"/>
      <c r="ABC131" s="18"/>
      <c r="ABD131" s="18"/>
      <c r="ABE131" s="18"/>
      <c r="ABF131" s="18"/>
      <c r="ABG131" s="18"/>
      <c r="ABH131" s="18"/>
      <c r="ABI131" s="18"/>
      <c r="ABJ131" s="18"/>
      <c r="ABK131" s="18"/>
      <c r="ABL131" s="18"/>
      <c r="ABM131" s="18"/>
      <c r="ABN131" s="18"/>
      <c r="ABO131" s="18"/>
      <c r="ABP131" s="18"/>
      <c r="ABQ131" s="18"/>
      <c r="ABR131" s="18"/>
      <c r="ABS131" s="18"/>
      <c r="ABT131" s="18"/>
      <c r="ABU131" s="18"/>
      <c r="ABV131" s="18"/>
      <c r="ABW131" s="18"/>
      <c r="ABX131" s="18"/>
      <c r="ABY131" s="18"/>
      <c r="ABZ131" s="18"/>
      <c r="ACA131" s="18"/>
      <c r="ACB131" s="18"/>
      <c r="ACC131" s="18"/>
      <c r="ACD131" s="18"/>
      <c r="ACE131" s="18"/>
      <c r="ACF131" s="18"/>
      <c r="ACG131" s="18"/>
      <c r="ACH131" s="18"/>
      <c r="ACI131" s="18"/>
      <c r="ACJ131" s="18"/>
      <c r="ACK131" s="18"/>
      <c r="ACL131" s="18"/>
      <c r="ACM131" s="18"/>
      <c r="ACN131" s="18"/>
      <c r="ACO131" s="18"/>
      <c r="ACP131" s="18"/>
      <c r="ACQ131" s="18"/>
      <c r="ACR131" s="18"/>
      <c r="ACS131" s="18"/>
      <c r="ACT131" s="18"/>
      <c r="ACU131" s="18"/>
      <c r="ACV131" s="18"/>
      <c r="ACW131" s="18"/>
      <c r="ACX131" s="18"/>
      <c r="ACY131" s="18"/>
      <c r="ACZ131" s="18"/>
      <c r="ADA131" s="18"/>
      <c r="ADB131" s="18"/>
      <c r="ADC131" s="18"/>
      <c r="ADD131" s="18"/>
      <c r="ADE131" s="18"/>
      <c r="ADF131" s="18"/>
      <c r="ADG131" s="18"/>
      <c r="ADH131" s="18"/>
      <c r="ADI131" s="18"/>
      <c r="ADJ131" s="18"/>
      <c r="ADK131" s="18"/>
      <c r="ADL131" s="18"/>
      <c r="ADM131" s="18"/>
      <c r="ADN131" s="18"/>
      <c r="ADO131" s="18"/>
      <c r="ADP131" s="18"/>
      <c r="ADQ131" s="18"/>
      <c r="ADR131" s="18"/>
      <c r="ADS131" s="18"/>
      <c r="ADT131" s="18"/>
      <c r="ADU131" s="18"/>
      <c r="ADV131" s="18"/>
      <c r="ADW131" s="18"/>
      <c r="ADX131" s="18"/>
      <c r="ADY131" s="18"/>
      <c r="ADZ131" s="18"/>
      <c r="AEA131" s="18"/>
      <c r="AEB131" s="18"/>
      <c r="AEC131" s="18"/>
      <c r="AED131" s="18"/>
      <c r="AEE131" s="18"/>
      <c r="AEF131" s="18"/>
      <c r="AEG131" s="18"/>
      <c r="AEH131" s="18"/>
      <c r="AEI131" s="18"/>
      <c r="AEJ131" s="18"/>
      <c r="AEK131" s="18"/>
      <c r="AEL131" s="18"/>
      <c r="AEM131" s="18"/>
      <c r="AEN131" s="18"/>
      <c r="AEO131" s="18"/>
      <c r="AEP131" s="18"/>
      <c r="AEQ131" s="18"/>
      <c r="AER131" s="18"/>
      <c r="AES131" s="18"/>
      <c r="AET131" s="18"/>
      <c r="AEU131" s="18"/>
      <c r="AEV131" s="18"/>
      <c r="AEW131" s="18"/>
      <c r="AEX131" s="18"/>
      <c r="AEY131" s="18"/>
      <c r="AEZ131" s="18"/>
      <c r="AFA131" s="18"/>
      <c r="AFB131" s="18"/>
      <c r="AFC131" s="18"/>
      <c r="AFD131" s="18"/>
      <c r="AFE131" s="18"/>
      <c r="AFF131" s="18"/>
      <c r="AFG131" s="18"/>
      <c r="AFH131" s="18"/>
      <c r="AFI131" s="18"/>
      <c r="AFJ131" s="18"/>
      <c r="AFK131" s="18"/>
      <c r="AFL131" s="18"/>
      <c r="AFM131" s="18"/>
      <c r="AFN131" s="18"/>
      <c r="AFO131" s="18"/>
      <c r="AFP131" s="18"/>
      <c r="AFQ131" s="18"/>
      <c r="AFR131" s="18"/>
      <c r="AFS131" s="18"/>
      <c r="AFT131" s="18"/>
      <c r="AFU131" s="18"/>
      <c r="AFV131" s="18"/>
      <c r="AFW131" s="18"/>
      <c r="AFX131" s="18"/>
      <c r="AFY131" s="18"/>
      <c r="AFZ131" s="18"/>
      <c r="AGA131" s="18"/>
      <c r="AGB131" s="18"/>
      <c r="AGC131" s="18"/>
      <c r="AGD131" s="18"/>
      <c r="AGE131" s="18"/>
      <c r="AGF131" s="18"/>
      <c r="AGG131" s="18"/>
      <c r="AGH131" s="18"/>
      <c r="AGI131" s="18"/>
      <c r="AGJ131" s="18"/>
      <c r="AGK131" s="18"/>
      <c r="AGL131" s="18"/>
      <c r="AGM131" s="18"/>
      <c r="AGN131" s="18"/>
      <c r="AGO131" s="18"/>
      <c r="AGP131" s="18"/>
      <c r="AGQ131" s="18"/>
      <c r="AGR131" s="18"/>
      <c r="AGS131" s="18"/>
      <c r="AGT131" s="18"/>
      <c r="AGU131" s="18"/>
      <c r="AGV131" s="18"/>
      <c r="AGW131" s="18"/>
      <c r="AGX131" s="18"/>
      <c r="AGY131" s="18"/>
      <c r="AGZ131" s="18"/>
      <c r="AHA131" s="18"/>
      <c r="AHB131" s="18"/>
      <c r="AHC131" s="18"/>
      <c r="AHD131" s="18"/>
      <c r="AHE131" s="18"/>
      <c r="AHF131" s="18"/>
      <c r="AHG131" s="18"/>
      <c r="AHH131" s="18"/>
      <c r="AHI131" s="18"/>
      <c r="AHJ131" s="18"/>
      <c r="AHK131" s="18"/>
      <c r="AHL131" s="18"/>
      <c r="AHM131" s="18"/>
      <c r="AHN131" s="18"/>
      <c r="AHO131" s="18"/>
      <c r="AHP131" s="18"/>
      <c r="AHQ131" s="18"/>
      <c r="AHR131" s="18"/>
      <c r="AHS131" s="18"/>
      <c r="AHT131" s="18"/>
      <c r="AHU131" s="18"/>
      <c r="AHV131" s="18"/>
      <c r="AHW131" s="18"/>
      <c r="AHX131" s="18"/>
      <c r="AHY131" s="18"/>
      <c r="AHZ131" s="18"/>
      <c r="AIA131" s="18"/>
      <c r="AIB131" s="18"/>
      <c r="AIC131" s="18"/>
      <c r="AID131" s="18"/>
      <c r="AIE131" s="18"/>
      <c r="AIF131" s="18"/>
      <c r="AIG131" s="18"/>
      <c r="AIH131" s="18"/>
      <c r="AII131" s="18"/>
      <c r="AIJ131" s="18"/>
      <c r="AIK131" s="18"/>
      <c r="AIL131" s="18"/>
      <c r="AIM131" s="18"/>
      <c r="AIN131" s="18"/>
      <c r="AIO131" s="18"/>
      <c r="AIP131" s="18"/>
      <c r="AIQ131" s="18"/>
      <c r="AIR131" s="18"/>
      <c r="AIS131" s="18"/>
      <c r="AIT131" s="18"/>
      <c r="AIU131" s="18"/>
      <c r="AIV131" s="18"/>
      <c r="AIW131" s="18"/>
      <c r="AIX131" s="18"/>
      <c r="AIY131" s="18"/>
      <c r="AIZ131" s="18"/>
      <c r="AJA131" s="18"/>
      <c r="AJB131" s="18"/>
      <c r="AJC131" s="18"/>
      <c r="AJD131" s="18"/>
      <c r="AJE131" s="18"/>
      <c r="AJF131" s="18"/>
      <c r="AJG131" s="18"/>
      <c r="AJH131" s="18"/>
      <c r="AJI131" s="18"/>
      <c r="AJJ131" s="18"/>
      <c r="AJK131" s="18"/>
      <c r="AJL131" s="18"/>
      <c r="AJM131" s="18"/>
      <c r="AJN131" s="18"/>
      <c r="AJO131" s="18"/>
      <c r="AJP131" s="18"/>
      <c r="AJQ131" s="18"/>
      <c r="AJR131" s="18"/>
      <c r="AJS131" s="18"/>
      <c r="AJT131" s="18"/>
      <c r="AJU131" s="18"/>
      <c r="AJV131" s="18"/>
      <c r="AJW131" s="18"/>
      <c r="AJX131" s="18"/>
      <c r="AJY131" s="18"/>
      <c r="AJZ131" s="18"/>
      <c r="AKA131" s="18"/>
      <c r="AKB131" s="18"/>
      <c r="AKC131" s="18"/>
      <c r="AKD131" s="18"/>
      <c r="AKE131" s="18"/>
      <c r="AKF131" s="18"/>
      <c r="AKG131" s="18"/>
      <c r="AKH131" s="18"/>
      <c r="AKI131" s="18"/>
      <c r="AKJ131" s="18"/>
      <c r="AKK131" s="18"/>
      <c r="AKL131" s="18"/>
      <c r="AKM131" s="18"/>
      <c r="AKN131" s="18"/>
      <c r="AKO131" s="18"/>
      <c r="AKP131" s="18"/>
      <c r="AKQ131" s="18"/>
      <c r="AKR131" s="18"/>
      <c r="AKS131" s="18"/>
      <c r="AKT131" s="18"/>
      <c r="AKU131" s="18"/>
      <c r="AKV131" s="18"/>
      <c r="AKW131" s="18"/>
      <c r="AKX131" s="18"/>
      <c r="AKY131" s="18"/>
      <c r="AKZ131" s="18"/>
      <c r="ALA131" s="18"/>
      <c r="ALB131" s="18"/>
      <c r="ALC131" s="18"/>
      <c r="ALD131" s="18"/>
      <c r="ALE131" s="18"/>
      <c r="ALF131" s="18"/>
      <c r="ALG131" s="18"/>
      <c r="ALH131" s="18"/>
      <c r="ALI131" s="18"/>
      <c r="ALJ131" s="18"/>
      <c r="ALK131" s="18"/>
      <c r="ALL131" s="18"/>
      <c r="ALM131" s="18"/>
      <c r="ALN131" s="18"/>
      <c r="ALO131" s="18"/>
      <c r="ALP131" s="18"/>
      <c r="ALQ131" s="18"/>
      <c r="ALR131" s="18"/>
      <c r="ALS131" s="18"/>
      <c r="ALT131" s="18"/>
      <c r="ALU131" s="18"/>
      <c r="ALV131" s="18"/>
      <c r="ALW131" s="18"/>
      <c r="ALX131" s="18"/>
      <c r="ALY131" s="18"/>
      <c r="ALZ131" s="18"/>
      <c r="AMA131" s="18"/>
      <c r="AMB131" s="18"/>
      <c r="AMC131" s="18"/>
      <c r="AMD131" s="18"/>
      <c r="AME131" s="18"/>
      <c r="AMF131" s="18"/>
      <c r="AMG131" s="18"/>
      <c r="AMH131" s="18"/>
    </row>
    <row r="132" spans="1:1022" s="23" customFormat="1" x14ac:dyDescent="0.3">
      <c r="A132" s="33">
        <v>228</v>
      </c>
      <c r="B132" s="19"/>
      <c r="C132" s="19"/>
      <c r="D132" s="34"/>
      <c r="E132" s="34"/>
      <c r="F132" s="19"/>
      <c r="G132" s="19"/>
      <c r="H132" s="18"/>
      <c r="I132" s="31"/>
      <c r="J132" s="31"/>
      <c r="K132" s="31"/>
      <c r="L132" s="31"/>
      <c r="M132" s="32"/>
      <c r="N132" s="32"/>
      <c r="O132" s="18"/>
      <c r="P132" s="36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  <c r="BB132" s="18"/>
      <c r="BC132" s="18"/>
      <c r="BD132" s="18"/>
      <c r="BE132" s="18"/>
      <c r="BF132" s="18"/>
      <c r="BG132" s="18"/>
      <c r="BH132" s="18"/>
      <c r="BI132" s="18"/>
      <c r="BJ132" s="18"/>
      <c r="BK132" s="18"/>
      <c r="BL132" s="18"/>
      <c r="BM132" s="18"/>
      <c r="BN132" s="18"/>
      <c r="BO132" s="18"/>
      <c r="BP132" s="18"/>
      <c r="BQ132" s="18"/>
      <c r="BR132" s="18"/>
      <c r="BS132" s="18"/>
      <c r="BT132" s="18"/>
      <c r="BU132" s="18"/>
      <c r="BV132" s="18"/>
      <c r="BW132" s="18"/>
      <c r="BX132" s="18"/>
      <c r="BY132" s="18"/>
      <c r="BZ132" s="18"/>
      <c r="CA132" s="18"/>
      <c r="CB132" s="18"/>
      <c r="CC132" s="18"/>
      <c r="CD132" s="18"/>
      <c r="CE132" s="18"/>
      <c r="CF132" s="18"/>
      <c r="CG132" s="18"/>
      <c r="CH132" s="18"/>
      <c r="CI132" s="18"/>
      <c r="CJ132" s="18"/>
      <c r="CK132" s="18"/>
      <c r="CL132" s="18"/>
      <c r="CM132" s="18"/>
      <c r="CN132" s="18"/>
      <c r="CO132" s="18"/>
      <c r="CP132" s="18"/>
      <c r="CQ132" s="18"/>
      <c r="CR132" s="18"/>
      <c r="CS132" s="18"/>
      <c r="CT132" s="18"/>
      <c r="CU132" s="18"/>
      <c r="CV132" s="18"/>
      <c r="CW132" s="18"/>
      <c r="CX132" s="18"/>
      <c r="CY132" s="18"/>
      <c r="CZ132" s="18"/>
      <c r="DA132" s="18"/>
      <c r="DB132" s="18"/>
      <c r="DC132" s="18"/>
      <c r="DD132" s="18"/>
      <c r="DE132" s="18"/>
      <c r="DF132" s="18"/>
      <c r="DG132" s="18"/>
      <c r="DH132" s="18"/>
      <c r="DI132" s="18"/>
      <c r="DJ132" s="18"/>
      <c r="DK132" s="18"/>
      <c r="DL132" s="18"/>
      <c r="DM132" s="18"/>
      <c r="DN132" s="18"/>
      <c r="DO132" s="18"/>
      <c r="DP132" s="18"/>
      <c r="DQ132" s="18"/>
      <c r="DR132" s="18"/>
      <c r="DS132" s="18"/>
      <c r="DT132" s="18"/>
      <c r="DU132" s="18"/>
      <c r="DV132" s="18"/>
      <c r="DW132" s="18"/>
      <c r="DX132" s="18"/>
      <c r="DY132" s="18"/>
      <c r="DZ132" s="18"/>
      <c r="EA132" s="18"/>
      <c r="EB132" s="18"/>
      <c r="EC132" s="18"/>
      <c r="ED132" s="18"/>
      <c r="EE132" s="18"/>
      <c r="EF132" s="18"/>
      <c r="EG132" s="18"/>
      <c r="EH132" s="18"/>
      <c r="EI132" s="18"/>
      <c r="EJ132" s="18"/>
      <c r="EK132" s="18"/>
      <c r="EL132" s="18"/>
      <c r="EM132" s="18"/>
      <c r="EN132" s="18"/>
      <c r="EO132" s="18"/>
      <c r="EP132" s="18"/>
      <c r="EQ132" s="18"/>
      <c r="ER132" s="18"/>
      <c r="ES132" s="18"/>
      <c r="ET132" s="18"/>
      <c r="EU132" s="18"/>
      <c r="EV132" s="18"/>
      <c r="EW132" s="18"/>
      <c r="EX132" s="18"/>
      <c r="EY132" s="18"/>
      <c r="EZ132" s="18"/>
      <c r="FA132" s="18"/>
      <c r="FB132" s="18"/>
      <c r="FC132" s="18"/>
      <c r="FD132" s="18"/>
      <c r="FE132" s="18"/>
      <c r="FF132" s="18"/>
      <c r="FG132" s="18"/>
      <c r="FH132" s="18"/>
      <c r="FI132" s="18"/>
      <c r="FJ132" s="18"/>
      <c r="FK132" s="18"/>
      <c r="FL132" s="18"/>
      <c r="FM132" s="18"/>
      <c r="FN132" s="18"/>
      <c r="FO132" s="18"/>
      <c r="FP132" s="18"/>
      <c r="FQ132" s="18"/>
      <c r="FR132" s="18"/>
      <c r="FS132" s="18"/>
      <c r="FT132" s="18"/>
      <c r="FU132" s="18"/>
      <c r="FV132" s="18"/>
      <c r="FW132" s="18"/>
      <c r="FX132" s="18"/>
      <c r="FY132" s="18"/>
      <c r="FZ132" s="18"/>
      <c r="GA132" s="18"/>
      <c r="GB132" s="18"/>
      <c r="GC132" s="18"/>
      <c r="GD132" s="18"/>
      <c r="GE132" s="18"/>
      <c r="GF132" s="18"/>
      <c r="GG132" s="18"/>
      <c r="GH132" s="18"/>
      <c r="GI132" s="18"/>
      <c r="GJ132" s="18"/>
      <c r="GK132" s="18"/>
      <c r="GL132" s="18"/>
      <c r="GM132" s="18"/>
      <c r="GN132" s="18"/>
      <c r="GO132" s="18"/>
      <c r="GP132" s="18"/>
      <c r="GQ132" s="18"/>
      <c r="GR132" s="18"/>
      <c r="GS132" s="18"/>
      <c r="GT132" s="18"/>
      <c r="GU132" s="18"/>
      <c r="GV132" s="18"/>
      <c r="GW132" s="18"/>
      <c r="GX132" s="18"/>
      <c r="GY132" s="18"/>
      <c r="GZ132" s="18"/>
      <c r="HA132" s="18"/>
      <c r="HB132" s="18"/>
      <c r="HC132" s="18"/>
      <c r="HD132" s="18"/>
      <c r="HE132" s="18"/>
      <c r="HF132" s="18"/>
      <c r="HG132" s="18"/>
      <c r="HH132" s="18"/>
      <c r="HI132" s="18"/>
      <c r="HJ132" s="18"/>
      <c r="HK132" s="18"/>
      <c r="HL132" s="18"/>
      <c r="HM132" s="18"/>
      <c r="HN132" s="18"/>
      <c r="HO132" s="18"/>
      <c r="HP132" s="18"/>
      <c r="HQ132" s="18"/>
      <c r="HR132" s="18"/>
      <c r="HS132" s="18"/>
      <c r="HT132" s="18"/>
      <c r="HU132" s="18"/>
      <c r="HV132" s="18"/>
      <c r="HW132" s="18"/>
      <c r="HX132" s="18"/>
      <c r="HY132" s="18"/>
      <c r="HZ132" s="18"/>
      <c r="IA132" s="18"/>
      <c r="IB132" s="18"/>
      <c r="IC132" s="18"/>
      <c r="ID132" s="18"/>
      <c r="IE132" s="18"/>
      <c r="IF132" s="18"/>
      <c r="IG132" s="18"/>
      <c r="IH132" s="18"/>
      <c r="II132" s="18"/>
      <c r="IJ132" s="18"/>
      <c r="IK132" s="18"/>
      <c r="IL132" s="18"/>
      <c r="IM132" s="18"/>
      <c r="IN132" s="18"/>
      <c r="IO132" s="18"/>
      <c r="IP132" s="18"/>
      <c r="IQ132" s="18"/>
      <c r="IR132" s="18"/>
      <c r="IS132" s="18"/>
      <c r="IT132" s="18"/>
      <c r="IU132" s="18"/>
      <c r="IV132" s="18"/>
      <c r="IW132" s="18"/>
      <c r="IX132" s="18"/>
      <c r="IY132" s="18"/>
      <c r="IZ132" s="18"/>
      <c r="JA132" s="18"/>
      <c r="JB132" s="18"/>
      <c r="JC132" s="18"/>
      <c r="JD132" s="18"/>
      <c r="JE132" s="18"/>
      <c r="JF132" s="18"/>
      <c r="JG132" s="18"/>
      <c r="JH132" s="18"/>
      <c r="JI132" s="18"/>
      <c r="JJ132" s="18"/>
      <c r="JK132" s="18"/>
      <c r="JL132" s="18"/>
      <c r="JM132" s="18"/>
      <c r="JN132" s="18"/>
      <c r="JO132" s="18"/>
      <c r="JP132" s="18"/>
      <c r="JQ132" s="18"/>
      <c r="JR132" s="18"/>
      <c r="JS132" s="18"/>
      <c r="JT132" s="18"/>
      <c r="JU132" s="18"/>
      <c r="JV132" s="18"/>
      <c r="JW132" s="18"/>
      <c r="JX132" s="18"/>
      <c r="JY132" s="18"/>
      <c r="JZ132" s="18"/>
      <c r="KA132" s="18"/>
      <c r="KB132" s="18"/>
      <c r="KC132" s="18"/>
      <c r="KD132" s="18"/>
      <c r="KE132" s="18"/>
      <c r="KF132" s="18"/>
      <c r="KG132" s="18"/>
      <c r="KH132" s="18"/>
      <c r="KI132" s="18"/>
      <c r="KJ132" s="18"/>
      <c r="KK132" s="18"/>
      <c r="KL132" s="18"/>
      <c r="KM132" s="18"/>
      <c r="KN132" s="18"/>
      <c r="KO132" s="18"/>
      <c r="KP132" s="18"/>
      <c r="KQ132" s="18"/>
      <c r="KR132" s="18"/>
      <c r="KS132" s="18"/>
      <c r="KT132" s="18"/>
      <c r="KU132" s="18"/>
      <c r="KV132" s="18"/>
      <c r="KW132" s="18"/>
      <c r="KX132" s="18"/>
      <c r="KY132" s="18"/>
      <c r="KZ132" s="18"/>
      <c r="LA132" s="18"/>
      <c r="LB132" s="18"/>
      <c r="LC132" s="18"/>
      <c r="LD132" s="18"/>
      <c r="LE132" s="18"/>
      <c r="LF132" s="18"/>
      <c r="LG132" s="18"/>
      <c r="LH132" s="18"/>
      <c r="LI132" s="18"/>
      <c r="LJ132" s="18"/>
      <c r="LK132" s="18"/>
      <c r="LL132" s="18"/>
      <c r="LM132" s="18"/>
      <c r="LN132" s="18"/>
      <c r="LO132" s="18"/>
      <c r="LP132" s="18"/>
      <c r="LQ132" s="18"/>
      <c r="LR132" s="18"/>
      <c r="LS132" s="18"/>
      <c r="LT132" s="18"/>
      <c r="LU132" s="18"/>
      <c r="LV132" s="18"/>
      <c r="LW132" s="18"/>
      <c r="LX132" s="18"/>
      <c r="LY132" s="18"/>
      <c r="LZ132" s="18"/>
      <c r="MA132" s="18"/>
      <c r="MB132" s="18"/>
      <c r="MC132" s="18"/>
      <c r="MD132" s="18"/>
      <c r="ME132" s="18"/>
      <c r="MF132" s="18"/>
      <c r="MG132" s="18"/>
      <c r="MH132" s="18"/>
      <c r="MI132" s="18"/>
      <c r="MJ132" s="18"/>
      <c r="MK132" s="18"/>
      <c r="ML132" s="18"/>
      <c r="MM132" s="18"/>
      <c r="MN132" s="18"/>
      <c r="MO132" s="18"/>
      <c r="MP132" s="18"/>
      <c r="MQ132" s="18"/>
      <c r="MR132" s="18"/>
      <c r="MS132" s="18"/>
      <c r="MT132" s="18"/>
      <c r="MU132" s="18"/>
      <c r="MV132" s="18"/>
      <c r="MW132" s="18"/>
      <c r="MX132" s="18"/>
      <c r="MY132" s="18"/>
      <c r="MZ132" s="18"/>
      <c r="NA132" s="18"/>
      <c r="NB132" s="18"/>
      <c r="NC132" s="18"/>
      <c r="ND132" s="18"/>
      <c r="NE132" s="18"/>
      <c r="NF132" s="18"/>
      <c r="NG132" s="18"/>
      <c r="NH132" s="18"/>
      <c r="NI132" s="18"/>
      <c r="NJ132" s="18"/>
      <c r="NK132" s="18"/>
      <c r="NL132" s="18"/>
      <c r="NM132" s="18"/>
      <c r="NN132" s="18"/>
      <c r="NO132" s="18"/>
      <c r="NP132" s="18"/>
      <c r="NQ132" s="18"/>
      <c r="NR132" s="18"/>
      <c r="NS132" s="18"/>
      <c r="NT132" s="18"/>
      <c r="NU132" s="18"/>
      <c r="NV132" s="18"/>
      <c r="NW132" s="18"/>
      <c r="NX132" s="18"/>
      <c r="NY132" s="18"/>
      <c r="NZ132" s="18"/>
      <c r="OA132" s="18"/>
      <c r="OB132" s="18"/>
      <c r="OC132" s="18"/>
      <c r="OD132" s="18"/>
      <c r="OE132" s="18"/>
      <c r="OF132" s="18"/>
      <c r="OG132" s="18"/>
      <c r="OH132" s="18"/>
      <c r="OI132" s="18"/>
      <c r="OJ132" s="18"/>
      <c r="OK132" s="18"/>
      <c r="OL132" s="18"/>
      <c r="OM132" s="18"/>
      <c r="ON132" s="18"/>
      <c r="OO132" s="18"/>
      <c r="OP132" s="18"/>
      <c r="OQ132" s="18"/>
      <c r="OR132" s="18"/>
      <c r="OS132" s="18"/>
      <c r="OT132" s="18"/>
      <c r="OU132" s="18"/>
      <c r="OV132" s="18"/>
      <c r="OW132" s="18"/>
      <c r="OX132" s="18"/>
      <c r="OY132" s="18"/>
      <c r="OZ132" s="18"/>
      <c r="PA132" s="18"/>
      <c r="PB132" s="18"/>
      <c r="PC132" s="18"/>
      <c r="PD132" s="18"/>
      <c r="PE132" s="18"/>
      <c r="PF132" s="18"/>
      <c r="PG132" s="18"/>
      <c r="PH132" s="18"/>
      <c r="PI132" s="18"/>
      <c r="PJ132" s="18"/>
      <c r="PK132" s="18"/>
      <c r="PL132" s="18"/>
      <c r="PM132" s="18"/>
      <c r="PN132" s="18"/>
      <c r="PO132" s="18"/>
      <c r="PP132" s="18"/>
      <c r="PQ132" s="18"/>
      <c r="PR132" s="18"/>
      <c r="PS132" s="18"/>
      <c r="PT132" s="18"/>
      <c r="PU132" s="18"/>
      <c r="PV132" s="18"/>
      <c r="PW132" s="18"/>
      <c r="PX132" s="18"/>
      <c r="PY132" s="18"/>
      <c r="PZ132" s="18"/>
      <c r="QA132" s="18"/>
      <c r="QB132" s="18"/>
      <c r="QC132" s="18"/>
      <c r="QD132" s="18"/>
      <c r="QE132" s="18"/>
      <c r="QF132" s="18"/>
      <c r="QG132" s="18"/>
      <c r="QH132" s="18"/>
      <c r="QI132" s="18"/>
      <c r="QJ132" s="18"/>
      <c r="QK132" s="18"/>
      <c r="QL132" s="18"/>
      <c r="QM132" s="18"/>
      <c r="QN132" s="18"/>
      <c r="QO132" s="18"/>
      <c r="QP132" s="18"/>
      <c r="QQ132" s="18"/>
      <c r="QR132" s="18"/>
      <c r="QS132" s="18"/>
      <c r="QT132" s="18"/>
      <c r="QU132" s="18"/>
      <c r="QV132" s="18"/>
      <c r="QW132" s="18"/>
      <c r="QX132" s="18"/>
      <c r="QY132" s="18"/>
      <c r="QZ132" s="18"/>
      <c r="RA132" s="18"/>
      <c r="RB132" s="18"/>
      <c r="RC132" s="18"/>
      <c r="RD132" s="18"/>
      <c r="RE132" s="18"/>
      <c r="RF132" s="18"/>
      <c r="RG132" s="18"/>
      <c r="RH132" s="18"/>
      <c r="RI132" s="18"/>
      <c r="RJ132" s="18"/>
      <c r="RK132" s="18"/>
      <c r="RL132" s="18"/>
      <c r="RM132" s="18"/>
      <c r="RN132" s="18"/>
      <c r="RO132" s="18"/>
      <c r="RP132" s="18"/>
      <c r="RQ132" s="18"/>
      <c r="RR132" s="18"/>
      <c r="RS132" s="18"/>
      <c r="RT132" s="18"/>
      <c r="RU132" s="18"/>
      <c r="RV132" s="18"/>
      <c r="RW132" s="18"/>
      <c r="RX132" s="18"/>
      <c r="RY132" s="18"/>
      <c r="RZ132" s="18"/>
      <c r="SA132" s="18"/>
      <c r="SB132" s="18"/>
      <c r="SC132" s="18"/>
      <c r="SD132" s="18"/>
      <c r="SE132" s="18"/>
      <c r="SF132" s="18"/>
      <c r="SG132" s="18"/>
      <c r="SH132" s="18"/>
      <c r="SI132" s="18"/>
      <c r="SJ132" s="18"/>
      <c r="SK132" s="18"/>
      <c r="SL132" s="18"/>
      <c r="SM132" s="18"/>
      <c r="SN132" s="18"/>
      <c r="SO132" s="18"/>
      <c r="SP132" s="18"/>
      <c r="SQ132" s="18"/>
      <c r="SR132" s="18"/>
      <c r="SS132" s="18"/>
      <c r="ST132" s="18"/>
      <c r="SU132" s="18"/>
      <c r="SV132" s="18"/>
      <c r="SW132" s="18"/>
      <c r="SX132" s="18"/>
      <c r="SY132" s="18"/>
      <c r="SZ132" s="18"/>
      <c r="TA132" s="18"/>
      <c r="TB132" s="18"/>
      <c r="TC132" s="18"/>
      <c r="TD132" s="18"/>
      <c r="TE132" s="18"/>
      <c r="TF132" s="18"/>
      <c r="TG132" s="18"/>
      <c r="TH132" s="18"/>
      <c r="TI132" s="18"/>
      <c r="TJ132" s="18"/>
      <c r="TK132" s="18"/>
      <c r="TL132" s="18"/>
      <c r="TM132" s="18"/>
      <c r="TN132" s="18"/>
      <c r="TO132" s="18"/>
      <c r="TP132" s="18"/>
      <c r="TQ132" s="18"/>
      <c r="TR132" s="18"/>
      <c r="TS132" s="18"/>
      <c r="TT132" s="18"/>
      <c r="TU132" s="18"/>
      <c r="TV132" s="18"/>
      <c r="TW132" s="18"/>
      <c r="TX132" s="18"/>
      <c r="TY132" s="18"/>
      <c r="TZ132" s="18"/>
      <c r="UA132" s="18"/>
      <c r="UB132" s="18"/>
      <c r="UC132" s="18"/>
      <c r="UD132" s="18"/>
      <c r="UE132" s="18"/>
      <c r="UF132" s="18"/>
      <c r="UG132" s="18"/>
      <c r="UH132" s="18"/>
      <c r="UI132" s="18"/>
      <c r="UJ132" s="18"/>
      <c r="UK132" s="18"/>
      <c r="UL132" s="18"/>
      <c r="UM132" s="18"/>
      <c r="UN132" s="18"/>
      <c r="UO132" s="18"/>
      <c r="UP132" s="18"/>
      <c r="UQ132" s="18"/>
      <c r="UR132" s="18"/>
      <c r="US132" s="18"/>
      <c r="UT132" s="18"/>
      <c r="UU132" s="18"/>
      <c r="UV132" s="18"/>
      <c r="UW132" s="18"/>
      <c r="UX132" s="18"/>
      <c r="UY132" s="18"/>
      <c r="UZ132" s="18"/>
      <c r="VA132" s="18"/>
      <c r="VB132" s="18"/>
      <c r="VC132" s="18"/>
      <c r="VD132" s="18"/>
      <c r="VE132" s="18"/>
      <c r="VF132" s="18"/>
      <c r="VG132" s="18"/>
      <c r="VH132" s="18"/>
      <c r="VI132" s="18"/>
      <c r="VJ132" s="18"/>
      <c r="VK132" s="18"/>
      <c r="VL132" s="18"/>
      <c r="VM132" s="18"/>
      <c r="VN132" s="18"/>
      <c r="VO132" s="18"/>
      <c r="VP132" s="18"/>
      <c r="VQ132" s="18"/>
      <c r="VR132" s="18"/>
      <c r="VS132" s="18"/>
      <c r="VT132" s="18"/>
      <c r="VU132" s="18"/>
      <c r="VV132" s="18"/>
      <c r="VW132" s="18"/>
      <c r="VX132" s="18"/>
      <c r="VY132" s="18"/>
      <c r="VZ132" s="18"/>
      <c r="WA132" s="18"/>
      <c r="WB132" s="18"/>
      <c r="WC132" s="18"/>
      <c r="WD132" s="18"/>
      <c r="WE132" s="18"/>
      <c r="WF132" s="18"/>
      <c r="WG132" s="18"/>
      <c r="WH132" s="18"/>
      <c r="WI132" s="18"/>
      <c r="WJ132" s="18"/>
      <c r="WK132" s="18"/>
      <c r="WL132" s="18"/>
      <c r="WM132" s="18"/>
      <c r="WN132" s="18"/>
      <c r="WO132" s="18"/>
      <c r="WP132" s="18"/>
      <c r="WQ132" s="18"/>
      <c r="WR132" s="18"/>
      <c r="WS132" s="18"/>
      <c r="WT132" s="18"/>
      <c r="WU132" s="18"/>
      <c r="WV132" s="18"/>
      <c r="WW132" s="18"/>
      <c r="WX132" s="18"/>
      <c r="WY132" s="18"/>
      <c r="WZ132" s="18"/>
      <c r="XA132" s="18"/>
      <c r="XB132" s="18"/>
      <c r="XC132" s="18"/>
      <c r="XD132" s="18"/>
      <c r="XE132" s="18"/>
      <c r="XF132" s="18"/>
      <c r="XG132" s="18"/>
      <c r="XH132" s="18"/>
      <c r="XI132" s="18"/>
      <c r="XJ132" s="18"/>
      <c r="XK132" s="18"/>
      <c r="XL132" s="18"/>
      <c r="XM132" s="18"/>
      <c r="XN132" s="18"/>
      <c r="XO132" s="18"/>
      <c r="XP132" s="18"/>
      <c r="XQ132" s="18"/>
      <c r="XR132" s="18"/>
      <c r="XS132" s="18"/>
      <c r="XT132" s="18"/>
      <c r="XU132" s="18"/>
      <c r="XV132" s="18"/>
      <c r="XW132" s="18"/>
      <c r="XX132" s="18"/>
      <c r="XY132" s="18"/>
      <c r="XZ132" s="18"/>
      <c r="YA132" s="18"/>
      <c r="YB132" s="18"/>
      <c r="YC132" s="18"/>
      <c r="YD132" s="18"/>
      <c r="YE132" s="18"/>
      <c r="YF132" s="18"/>
      <c r="YG132" s="18"/>
      <c r="YH132" s="18"/>
      <c r="YI132" s="18"/>
      <c r="YJ132" s="18"/>
      <c r="YK132" s="18"/>
      <c r="YL132" s="18"/>
      <c r="YM132" s="18"/>
      <c r="YN132" s="18"/>
      <c r="YO132" s="18"/>
      <c r="YP132" s="18"/>
      <c r="YQ132" s="18"/>
      <c r="YR132" s="18"/>
      <c r="YS132" s="18"/>
      <c r="YT132" s="18"/>
      <c r="YU132" s="18"/>
      <c r="YV132" s="18"/>
      <c r="YW132" s="18"/>
      <c r="YX132" s="18"/>
      <c r="YY132" s="18"/>
      <c r="YZ132" s="18"/>
      <c r="ZA132" s="18"/>
      <c r="ZB132" s="18"/>
      <c r="ZC132" s="18"/>
      <c r="ZD132" s="18"/>
      <c r="ZE132" s="18"/>
      <c r="ZF132" s="18"/>
      <c r="ZG132" s="18"/>
      <c r="ZH132" s="18"/>
      <c r="ZI132" s="18"/>
      <c r="ZJ132" s="18"/>
      <c r="ZK132" s="18"/>
      <c r="ZL132" s="18"/>
      <c r="ZM132" s="18"/>
      <c r="ZN132" s="18"/>
      <c r="ZO132" s="18"/>
      <c r="ZP132" s="18"/>
      <c r="ZQ132" s="18"/>
      <c r="ZR132" s="18"/>
      <c r="ZS132" s="18"/>
      <c r="ZT132" s="18"/>
      <c r="ZU132" s="18"/>
      <c r="ZV132" s="18"/>
      <c r="ZW132" s="18"/>
      <c r="ZX132" s="18"/>
      <c r="ZY132" s="18"/>
      <c r="ZZ132" s="18"/>
      <c r="AAA132" s="18"/>
      <c r="AAB132" s="18"/>
      <c r="AAC132" s="18"/>
      <c r="AAD132" s="18"/>
      <c r="AAE132" s="18"/>
      <c r="AAF132" s="18"/>
      <c r="AAG132" s="18"/>
      <c r="AAH132" s="18"/>
      <c r="AAI132" s="18"/>
      <c r="AAJ132" s="18"/>
      <c r="AAK132" s="18"/>
      <c r="AAL132" s="18"/>
      <c r="AAM132" s="18"/>
      <c r="AAN132" s="18"/>
      <c r="AAO132" s="18"/>
      <c r="AAP132" s="18"/>
      <c r="AAQ132" s="18"/>
      <c r="AAR132" s="18"/>
      <c r="AAS132" s="18"/>
      <c r="AAT132" s="18"/>
      <c r="AAU132" s="18"/>
      <c r="AAV132" s="18"/>
      <c r="AAW132" s="18"/>
      <c r="AAX132" s="18"/>
      <c r="AAY132" s="18"/>
      <c r="AAZ132" s="18"/>
      <c r="ABA132" s="18"/>
      <c r="ABB132" s="18"/>
      <c r="ABC132" s="18"/>
      <c r="ABD132" s="18"/>
      <c r="ABE132" s="18"/>
      <c r="ABF132" s="18"/>
      <c r="ABG132" s="18"/>
      <c r="ABH132" s="18"/>
      <c r="ABI132" s="18"/>
      <c r="ABJ132" s="18"/>
      <c r="ABK132" s="18"/>
      <c r="ABL132" s="18"/>
      <c r="ABM132" s="18"/>
      <c r="ABN132" s="18"/>
      <c r="ABO132" s="18"/>
      <c r="ABP132" s="18"/>
      <c r="ABQ132" s="18"/>
      <c r="ABR132" s="18"/>
      <c r="ABS132" s="18"/>
      <c r="ABT132" s="18"/>
      <c r="ABU132" s="18"/>
      <c r="ABV132" s="18"/>
      <c r="ABW132" s="18"/>
      <c r="ABX132" s="18"/>
      <c r="ABY132" s="18"/>
      <c r="ABZ132" s="18"/>
      <c r="ACA132" s="18"/>
      <c r="ACB132" s="18"/>
      <c r="ACC132" s="18"/>
      <c r="ACD132" s="18"/>
      <c r="ACE132" s="18"/>
      <c r="ACF132" s="18"/>
      <c r="ACG132" s="18"/>
      <c r="ACH132" s="18"/>
      <c r="ACI132" s="18"/>
      <c r="ACJ132" s="18"/>
      <c r="ACK132" s="18"/>
      <c r="ACL132" s="18"/>
      <c r="ACM132" s="18"/>
      <c r="ACN132" s="18"/>
      <c r="ACO132" s="18"/>
      <c r="ACP132" s="18"/>
      <c r="ACQ132" s="18"/>
      <c r="ACR132" s="18"/>
      <c r="ACS132" s="18"/>
      <c r="ACT132" s="18"/>
      <c r="ACU132" s="18"/>
      <c r="ACV132" s="18"/>
      <c r="ACW132" s="18"/>
      <c r="ACX132" s="18"/>
      <c r="ACY132" s="18"/>
      <c r="ACZ132" s="18"/>
      <c r="ADA132" s="18"/>
      <c r="ADB132" s="18"/>
      <c r="ADC132" s="18"/>
      <c r="ADD132" s="18"/>
      <c r="ADE132" s="18"/>
      <c r="ADF132" s="18"/>
      <c r="ADG132" s="18"/>
      <c r="ADH132" s="18"/>
      <c r="ADI132" s="18"/>
      <c r="ADJ132" s="18"/>
      <c r="ADK132" s="18"/>
      <c r="ADL132" s="18"/>
      <c r="ADM132" s="18"/>
      <c r="ADN132" s="18"/>
      <c r="ADO132" s="18"/>
      <c r="ADP132" s="18"/>
      <c r="ADQ132" s="18"/>
      <c r="ADR132" s="18"/>
      <c r="ADS132" s="18"/>
      <c r="ADT132" s="18"/>
      <c r="ADU132" s="18"/>
      <c r="ADV132" s="18"/>
      <c r="ADW132" s="18"/>
      <c r="ADX132" s="18"/>
      <c r="ADY132" s="18"/>
      <c r="ADZ132" s="18"/>
      <c r="AEA132" s="18"/>
      <c r="AEB132" s="18"/>
      <c r="AEC132" s="18"/>
      <c r="AED132" s="18"/>
      <c r="AEE132" s="18"/>
      <c r="AEF132" s="18"/>
      <c r="AEG132" s="18"/>
      <c r="AEH132" s="18"/>
      <c r="AEI132" s="18"/>
      <c r="AEJ132" s="18"/>
      <c r="AEK132" s="18"/>
      <c r="AEL132" s="18"/>
      <c r="AEM132" s="18"/>
      <c r="AEN132" s="18"/>
      <c r="AEO132" s="18"/>
      <c r="AEP132" s="18"/>
      <c r="AEQ132" s="18"/>
      <c r="AER132" s="18"/>
      <c r="AES132" s="18"/>
      <c r="AET132" s="18"/>
      <c r="AEU132" s="18"/>
      <c r="AEV132" s="18"/>
      <c r="AEW132" s="18"/>
      <c r="AEX132" s="18"/>
      <c r="AEY132" s="18"/>
      <c r="AEZ132" s="18"/>
      <c r="AFA132" s="18"/>
      <c r="AFB132" s="18"/>
      <c r="AFC132" s="18"/>
      <c r="AFD132" s="18"/>
      <c r="AFE132" s="18"/>
      <c r="AFF132" s="18"/>
      <c r="AFG132" s="18"/>
      <c r="AFH132" s="18"/>
      <c r="AFI132" s="18"/>
      <c r="AFJ132" s="18"/>
      <c r="AFK132" s="18"/>
      <c r="AFL132" s="18"/>
      <c r="AFM132" s="18"/>
      <c r="AFN132" s="18"/>
      <c r="AFO132" s="18"/>
      <c r="AFP132" s="18"/>
      <c r="AFQ132" s="18"/>
      <c r="AFR132" s="18"/>
      <c r="AFS132" s="18"/>
      <c r="AFT132" s="18"/>
      <c r="AFU132" s="18"/>
      <c r="AFV132" s="18"/>
      <c r="AFW132" s="18"/>
      <c r="AFX132" s="18"/>
      <c r="AFY132" s="18"/>
      <c r="AFZ132" s="18"/>
      <c r="AGA132" s="18"/>
      <c r="AGB132" s="18"/>
      <c r="AGC132" s="18"/>
      <c r="AGD132" s="18"/>
      <c r="AGE132" s="18"/>
      <c r="AGF132" s="18"/>
      <c r="AGG132" s="18"/>
      <c r="AGH132" s="18"/>
      <c r="AGI132" s="18"/>
      <c r="AGJ132" s="18"/>
      <c r="AGK132" s="18"/>
      <c r="AGL132" s="18"/>
      <c r="AGM132" s="18"/>
      <c r="AGN132" s="18"/>
      <c r="AGO132" s="18"/>
      <c r="AGP132" s="18"/>
      <c r="AGQ132" s="18"/>
      <c r="AGR132" s="18"/>
      <c r="AGS132" s="18"/>
      <c r="AGT132" s="18"/>
      <c r="AGU132" s="18"/>
      <c r="AGV132" s="18"/>
      <c r="AGW132" s="18"/>
      <c r="AGX132" s="18"/>
      <c r="AGY132" s="18"/>
      <c r="AGZ132" s="18"/>
      <c r="AHA132" s="18"/>
      <c r="AHB132" s="18"/>
      <c r="AHC132" s="18"/>
      <c r="AHD132" s="18"/>
      <c r="AHE132" s="18"/>
      <c r="AHF132" s="18"/>
      <c r="AHG132" s="18"/>
      <c r="AHH132" s="18"/>
      <c r="AHI132" s="18"/>
      <c r="AHJ132" s="18"/>
      <c r="AHK132" s="18"/>
      <c r="AHL132" s="18"/>
      <c r="AHM132" s="18"/>
      <c r="AHN132" s="18"/>
      <c r="AHO132" s="18"/>
      <c r="AHP132" s="18"/>
      <c r="AHQ132" s="18"/>
      <c r="AHR132" s="18"/>
      <c r="AHS132" s="18"/>
      <c r="AHT132" s="18"/>
      <c r="AHU132" s="18"/>
      <c r="AHV132" s="18"/>
      <c r="AHW132" s="18"/>
      <c r="AHX132" s="18"/>
      <c r="AHY132" s="18"/>
      <c r="AHZ132" s="18"/>
      <c r="AIA132" s="18"/>
      <c r="AIB132" s="18"/>
      <c r="AIC132" s="18"/>
      <c r="AID132" s="18"/>
      <c r="AIE132" s="18"/>
      <c r="AIF132" s="18"/>
      <c r="AIG132" s="18"/>
      <c r="AIH132" s="18"/>
      <c r="AII132" s="18"/>
      <c r="AIJ132" s="18"/>
      <c r="AIK132" s="18"/>
      <c r="AIL132" s="18"/>
      <c r="AIM132" s="18"/>
      <c r="AIN132" s="18"/>
      <c r="AIO132" s="18"/>
      <c r="AIP132" s="18"/>
      <c r="AIQ132" s="18"/>
      <c r="AIR132" s="18"/>
      <c r="AIS132" s="18"/>
      <c r="AIT132" s="18"/>
      <c r="AIU132" s="18"/>
      <c r="AIV132" s="18"/>
      <c r="AIW132" s="18"/>
      <c r="AIX132" s="18"/>
      <c r="AIY132" s="18"/>
      <c r="AIZ132" s="18"/>
      <c r="AJA132" s="18"/>
      <c r="AJB132" s="18"/>
      <c r="AJC132" s="18"/>
      <c r="AJD132" s="18"/>
      <c r="AJE132" s="18"/>
      <c r="AJF132" s="18"/>
      <c r="AJG132" s="18"/>
      <c r="AJH132" s="18"/>
      <c r="AJI132" s="18"/>
      <c r="AJJ132" s="18"/>
      <c r="AJK132" s="18"/>
      <c r="AJL132" s="18"/>
      <c r="AJM132" s="18"/>
      <c r="AJN132" s="18"/>
      <c r="AJO132" s="18"/>
      <c r="AJP132" s="18"/>
      <c r="AJQ132" s="18"/>
      <c r="AJR132" s="18"/>
      <c r="AJS132" s="18"/>
      <c r="AJT132" s="18"/>
      <c r="AJU132" s="18"/>
      <c r="AJV132" s="18"/>
      <c r="AJW132" s="18"/>
      <c r="AJX132" s="18"/>
      <c r="AJY132" s="18"/>
      <c r="AJZ132" s="18"/>
      <c r="AKA132" s="18"/>
      <c r="AKB132" s="18"/>
      <c r="AKC132" s="18"/>
      <c r="AKD132" s="18"/>
      <c r="AKE132" s="18"/>
      <c r="AKF132" s="18"/>
      <c r="AKG132" s="18"/>
      <c r="AKH132" s="18"/>
      <c r="AKI132" s="18"/>
      <c r="AKJ132" s="18"/>
      <c r="AKK132" s="18"/>
      <c r="AKL132" s="18"/>
      <c r="AKM132" s="18"/>
      <c r="AKN132" s="18"/>
      <c r="AKO132" s="18"/>
      <c r="AKP132" s="18"/>
      <c r="AKQ132" s="18"/>
      <c r="AKR132" s="18"/>
      <c r="AKS132" s="18"/>
      <c r="AKT132" s="18"/>
      <c r="AKU132" s="18"/>
      <c r="AKV132" s="18"/>
      <c r="AKW132" s="18"/>
      <c r="AKX132" s="18"/>
      <c r="AKY132" s="18"/>
      <c r="AKZ132" s="18"/>
      <c r="ALA132" s="18"/>
      <c r="ALB132" s="18"/>
      <c r="ALC132" s="18"/>
      <c r="ALD132" s="18"/>
      <c r="ALE132" s="18"/>
      <c r="ALF132" s="18"/>
      <c r="ALG132" s="18"/>
      <c r="ALH132" s="18"/>
      <c r="ALI132" s="18"/>
      <c r="ALJ132" s="18"/>
      <c r="ALK132" s="18"/>
      <c r="ALL132" s="18"/>
      <c r="ALM132" s="18"/>
      <c r="ALN132" s="18"/>
      <c r="ALO132" s="18"/>
      <c r="ALP132" s="18"/>
      <c r="ALQ132" s="18"/>
      <c r="ALR132" s="18"/>
      <c r="ALS132" s="18"/>
      <c r="ALT132" s="18"/>
      <c r="ALU132" s="18"/>
      <c r="ALV132" s="18"/>
      <c r="ALW132" s="18"/>
      <c r="ALX132" s="18"/>
      <c r="ALY132" s="18"/>
      <c r="ALZ132" s="18"/>
      <c r="AMA132" s="18"/>
      <c r="AMB132" s="18"/>
      <c r="AMC132" s="18"/>
      <c r="AMD132" s="18"/>
      <c r="AME132" s="18"/>
      <c r="AMF132" s="18"/>
      <c r="AMG132" s="18"/>
      <c r="AMH132" s="18"/>
    </row>
    <row r="133" spans="1:1022" s="23" customFormat="1" x14ac:dyDescent="0.3">
      <c r="A133" s="33">
        <v>229</v>
      </c>
      <c r="B133" s="19"/>
      <c r="C133" s="19"/>
      <c r="D133" s="34"/>
      <c r="E133" s="34"/>
      <c r="F133" s="19"/>
      <c r="G133" s="19"/>
      <c r="H133" s="18"/>
      <c r="I133" s="31"/>
      <c r="J133" s="31"/>
      <c r="K133" s="31"/>
      <c r="L133" s="31"/>
      <c r="M133" s="32"/>
      <c r="N133" s="32"/>
      <c r="O133" s="18"/>
      <c r="P133" s="36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  <c r="BB133" s="18"/>
      <c r="BC133" s="18"/>
      <c r="BD133" s="18"/>
      <c r="BE133" s="18"/>
      <c r="BF133" s="18"/>
      <c r="BG133" s="18"/>
      <c r="BH133" s="18"/>
      <c r="BI133" s="18"/>
      <c r="BJ133" s="18"/>
      <c r="BK133" s="18"/>
      <c r="BL133" s="18"/>
      <c r="BM133" s="18"/>
      <c r="BN133" s="18"/>
      <c r="BO133" s="18"/>
      <c r="BP133" s="18"/>
      <c r="BQ133" s="18"/>
      <c r="BR133" s="18"/>
      <c r="BS133" s="18"/>
      <c r="BT133" s="18"/>
      <c r="BU133" s="18"/>
      <c r="BV133" s="18"/>
      <c r="BW133" s="18"/>
      <c r="BX133" s="18"/>
      <c r="BY133" s="18"/>
      <c r="BZ133" s="18"/>
      <c r="CA133" s="18"/>
      <c r="CB133" s="18"/>
      <c r="CC133" s="18"/>
      <c r="CD133" s="18"/>
      <c r="CE133" s="18"/>
      <c r="CF133" s="18"/>
      <c r="CG133" s="18"/>
      <c r="CH133" s="18"/>
      <c r="CI133" s="18"/>
      <c r="CJ133" s="18"/>
      <c r="CK133" s="18"/>
      <c r="CL133" s="18"/>
      <c r="CM133" s="18"/>
      <c r="CN133" s="18"/>
      <c r="CO133" s="18"/>
      <c r="CP133" s="18"/>
      <c r="CQ133" s="18"/>
      <c r="CR133" s="18"/>
      <c r="CS133" s="18"/>
      <c r="CT133" s="18"/>
      <c r="CU133" s="18"/>
      <c r="CV133" s="18"/>
      <c r="CW133" s="18"/>
      <c r="CX133" s="18"/>
      <c r="CY133" s="18"/>
      <c r="CZ133" s="18"/>
      <c r="DA133" s="18"/>
      <c r="DB133" s="18"/>
      <c r="DC133" s="18"/>
      <c r="DD133" s="18"/>
      <c r="DE133" s="18"/>
      <c r="DF133" s="18"/>
      <c r="DG133" s="18"/>
      <c r="DH133" s="18"/>
      <c r="DI133" s="18"/>
      <c r="DJ133" s="18"/>
      <c r="DK133" s="18"/>
      <c r="DL133" s="18"/>
      <c r="DM133" s="18"/>
      <c r="DN133" s="18"/>
      <c r="DO133" s="18"/>
      <c r="DP133" s="18"/>
      <c r="DQ133" s="18"/>
      <c r="DR133" s="18"/>
      <c r="DS133" s="18"/>
      <c r="DT133" s="18"/>
      <c r="DU133" s="18"/>
      <c r="DV133" s="18"/>
      <c r="DW133" s="18"/>
      <c r="DX133" s="18"/>
      <c r="DY133" s="18"/>
      <c r="DZ133" s="18"/>
      <c r="EA133" s="18"/>
      <c r="EB133" s="18"/>
      <c r="EC133" s="18"/>
      <c r="ED133" s="18"/>
      <c r="EE133" s="18"/>
      <c r="EF133" s="18"/>
      <c r="EG133" s="18"/>
      <c r="EH133" s="18"/>
      <c r="EI133" s="18"/>
      <c r="EJ133" s="18"/>
      <c r="EK133" s="18"/>
      <c r="EL133" s="18"/>
      <c r="EM133" s="18"/>
      <c r="EN133" s="18"/>
      <c r="EO133" s="18"/>
      <c r="EP133" s="18"/>
      <c r="EQ133" s="18"/>
      <c r="ER133" s="18"/>
      <c r="ES133" s="18"/>
      <c r="ET133" s="18"/>
      <c r="EU133" s="18"/>
      <c r="EV133" s="18"/>
      <c r="EW133" s="18"/>
      <c r="EX133" s="18"/>
      <c r="EY133" s="18"/>
      <c r="EZ133" s="18"/>
      <c r="FA133" s="18"/>
      <c r="FB133" s="18"/>
      <c r="FC133" s="18"/>
      <c r="FD133" s="18"/>
      <c r="FE133" s="18"/>
      <c r="FF133" s="18"/>
      <c r="FG133" s="18"/>
      <c r="FH133" s="18"/>
      <c r="FI133" s="18"/>
      <c r="FJ133" s="18"/>
      <c r="FK133" s="18"/>
      <c r="FL133" s="18"/>
      <c r="FM133" s="18"/>
      <c r="FN133" s="18"/>
      <c r="FO133" s="18"/>
      <c r="FP133" s="18"/>
      <c r="FQ133" s="18"/>
      <c r="FR133" s="18"/>
      <c r="FS133" s="18"/>
      <c r="FT133" s="18"/>
      <c r="FU133" s="18"/>
      <c r="FV133" s="18"/>
      <c r="FW133" s="18"/>
      <c r="FX133" s="18"/>
      <c r="FY133" s="18"/>
      <c r="FZ133" s="18"/>
      <c r="GA133" s="18"/>
      <c r="GB133" s="18"/>
      <c r="GC133" s="18"/>
      <c r="GD133" s="18"/>
      <c r="GE133" s="18"/>
      <c r="GF133" s="18"/>
      <c r="GG133" s="18"/>
      <c r="GH133" s="18"/>
      <c r="GI133" s="18"/>
      <c r="GJ133" s="18"/>
      <c r="GK133" s="18"/>
      <c r="GL133" s="18"/>
      <c r="GM133" s="18"/>
      <c r="GN133" s="18"/>
      <c r="GO133" s="18"/>
      <c r="GP133" s="18"/>
      <c r="GQ133" s="18"/>
      <c r="GR133" s="18"/>
      <c r="GS133" s="18"/>
      <c r="GT133" s="18"/>
      <c r="GU133" s="18"/>
      <c r="GV133" s="18"/>
      <c r="GW133" s="18"/>
      <c r="GX133" s="18"/>
      <c r="GY133" s="18"/>
      <c r="GZ133" s="18"/>
      <c r="HA133" s="18"/>
      <c r="HB133" s="18"/>
      <c r="HC133" s="18"/>
      <c r="HD133" s="18"/>
      <c r="HE133" s="18"/>
      <c r="HF133" s="18"/>
      <c r="HG133" s="18"/>
      <c r="HH133" s="18"/>
      <c r="HI133" s="18"/>
      <c r="HJ133" s="18"/>
      <c r="HK133" s="18"/>
      <c r="HL133" s="18"/>
      <c r="HM133" s="18"/>
      <c r="HN133" s="18"/>
      <c r="HO133" s="18"/>
      <c r="HP133" s="18"/>
      <c r="HQ133" s="18"/>
      <c r="HR133" s="18"/>
      <c r="HS133" s="18"/>
      <c r="HT133" s="18"/>
      <c r="HU133" s="18"/>
      <c r="HV133" s="18"/>
      <c r="HW133" s="18"/>
      <c r="HX133" s="18"/>
      <c r="HY133" s="18"/>
      <c r="HZ133" s="18"/>
      <c r="IA133" s="18"/>
      <c r="IB133" s="18"/>
      <c r="IC133" s="18"/>
      <c r="ID133" s="18"/>
      <c r="IE133" s="18"/>
      <c r="IF133" s="18"/>
      <c r="IG133" s="18"/>
      <c r="IH133" s="18"/>
      <c r="II133" s="18"/>
      <c r="IJ133" s="18"/>
      <c r="IK133" s="18"/>
      <c r="IL133" s="18"/>
      <c r="IM133" s="18"/>
      <c r="IN133" s="18"/>
      <c r="IO133" s="18"/>
      <c r="IP133" s="18"/>
      <c r="IQ133" s="18"/>
      <c r="IR133" s="18"/>
      <c r="IS133" s="18"/>
      <c r="IT133" s="18"/>
      <c r="IU133" s="18"/>
      <c r="IV133" s="18"/>
      <c r="IW133" s="18"/>
      <c r="IX133" s="18"/>
      <c r="IY133" s="18"/>
      <c r="IZ133" s="18"/>
      <c r="JA133" s="18"/>
      <c r="JB133" s="18"/>
      <c r="JC133" s="18"/>
      <c r="JD133" s="18"/>
      <c r="JE133" s="18"/>
      <c r="JF133" s="18"/>
      <c r="JG133" s="18"/>
      <c r="JH133" s="18"/>
      <c r="JI133" s="18"/>
      <c r="JJ133" s="18"/>
      <c r="JK133" s="18"/>
      <c r="JL133" s="18"/>
      <c r="JM133" s="18"/>
      <c r="JN133" s="18"/>
      <c r="JO133" s="18"/>
      <c r="JP133" s="18"/>
      <c r="JQ133" s="18"/>
      <c r="JR133" s="18"/>
      <c r="JS133" s="18"/>
      <c r="JT133" s="18"/>
      <c r="JU133" s="18"/>
      <c r="JV133" s="18"/>
      <c r="JW133" s="18"/>
      <c r="JX133" s="18"/>
      <c r="JY133" s="18"/>
      <c r="JZ133" s="18"/>
      <c r="KA133" s="18"/>
      <c r="KB133" s="18"/>
      <c r="KC133" s="18"/>
      <c r="KD133" s="18"/>
      <c r="KE133" s="18"/>
      <c r="KF133" s="18"/>
      <c r="KG133" s="18"/>
      <c r="KH133" s="18"/>
      <c r="KI133" s="18"/>
      <c r="KJ133" s="18"/>
      <c r="KK133" s="18"/>
      <c r="KL133" s="18"/>
      <c r="KM133" s="18"/>
      <c r="KN133" s="18"/>
      <c r="KO133" s="18"/>
      <c r="KP133" s="18"/>
      <c r="KQ133" s="18"/>
      <c r="KR133" s="18"/>
      <c r="KS133" s="18"/>
      <c r="KT133" s="18"/>
      <c r="KU133" s="18"/>
      <c r="KV133" s="18"/>
      <c r="KW133" s="18"/>
      <c r="KX133" s="18"/>
      <c r="KY133" s="18"/>
      <c r="KZ133" s="18"/>
      <c r="LA133" s="18"/>
      <c r="LB133" s="18"/>
      <c r="LC133" s="18"/>
      <c r="LD133" s="18"/>
      <c r="LE133" s="18"/>
      <c r="LF133" s="18"/>
      <c r="LG133" s="18"/>
      <c r="LH133" s="18"/>
      <c r="LI133" s="18"/>
      <c r="LJ133" s="18"/>
      <c r="LK133" s="18"/>
      <c r="LL133" s="18"/>
      <c r="LM133" s="18"/>
      <c r="LN133" s="18"/>
      <c r="LO133" s="18"/>
      <c r="LP133" s="18"/>
      <c r="LQ133" s="18"/>
      <c r="LR133" s="18"/>
      <c r="LS133" s="18"/>
      <c r="LT133" s="18"/>
      <c r="LU133" s="18"/>
      <c r="LV133" s="18"/>
      <c r="LW133" s="18"/>
      <c r="LX133" s="18"/>
      <c r="LY133" s="18"/>
      <c r="LZ133" s="18"/>
      <c r="MA133" s="18"/>
      <c r="MB133" s="18"/>
      <c r="MC133" s="18"/>
      <c r="MD133" s="18"/>
      <c r="ME133" s="18"/>
      <c r="MF133" s="18"/>
      <c r="MG133" s="18"/>
      <c r="MH133" s="18"/>
      <c r="MI133" s="18"/>
      <c r="MJ133" s="18"/>
      <c r="MK133" s="18"/>
      <c r="ML133" s="18"/>
      <c r="MM133" s="18"/>
      <c r="MN133" s="18"/>
      <c r="MO133" s="18"/>
      <c r="MP133" s="18"/>
      <c r="MQ133" s="18"/>
      <c r="MR133" s="18"/>
      <c r="MS133" s="18"/>
      <c r="MT133" s="18"/>
      <c r="MU133" s="18"/>
      <c r="MV133" s="18"/>
      <c r="MW133" s="18"/>
      <c r="MX133" s="18"/>
      <c r="MY133" s="18"/>
      <c r="MZ133" s="18"/>
      <c r="NA133" s="18"/>
      <c r="NB133" s="18"/>
      <c r="NC133" s="18"/>
      <c r="ND133" s="18"/>
      <c r="NE133" s="18"/>
      <c r="NF133" s="18"/>
      <c r="NG133" s="18"/>
      <c r="NH133" s="18"/>
      <c r="NI133" s="18"/>
      <c r="NJ133" s="18"/>
      <c r="NK133" s="18"/>
      <c r="NL133" s="18"/>
      <c r="NM133" s="18"/>
      <c r="NN133" s="18"/>
      <c r="NO133" s="18"/>
      <c r="NP133" s="18"/>
      <c r="NQ133" s="18"/>
      <c r="NR133" s="18"/>
      <c r="NS133" s="18"/>
      <c r="NT133" s="18"/>
      <c r="NU133" s="18"/>
      <c r="NV133" s="18"/>
      <c r="NW133" s="18"/>
      <c r="NX133" s="18"/>
      <c r="NY133" s="18"/>
      <c r="NZ133" s="18"/>
      <c r="OA133" s="18"/>
      <c r="OB133" s="18"/>
      <c r="OC133" s="18"/>
      <c r="OD133" s="18"/>
      <c r="OE133" s="18"/>
      <c r="OF133" s="18"/>
      <c r="OG133" s="18"/>
      <c r="OH133" s="18"/>
      <c r="OI133" s="18"/>
      <c r="OJ133" s="18"/>
      <c r="OK133" s="18"/>
      <c r="OL133" s="18"/>
      <c r="OM133" s="18"/>
      <c r="ON133" s="18"/>
      <c r="OO133" s="18"/>
      <c r="OP133" s="18"/>
      <c r="OQ133" s="18"/>
      <c r="OR133" s="18"/>
      <c r="OS133" s="18"/>
      <c r="OT133" s="18"/>
      <c r="OU133" s="18"/>
      <c r="OV133" s="18"/>
      <c r="OW133" s="18"/>
      <c r="OX133" s="18"/>
      <c r="OY133" s="18"/>
      <c r="OZ133" s="18"/>
      <c r="PA133" s="18"/>
      <c r="PB133" s="18"/>
      <c r="PC133" s="18"/>
      <c r="PD133" s="18"/>
      <c r="PE133" s="18"/>
      <c r="PF133" s="18"/>
      <c r="PG133" s="18"/>
      <c r="PH133" s="18"/>
      <c r="PI133" s="18"/>
      <c r="PJ133" s="18"/>
      <c r="PK133" s="18"/>
      <c r="PL133" s="18"/>
      <c r="PM133" s="18"/>
      <c r="PN133" s="18"/>
      <c r="PO133" s="18"/>
      <c r="PP133" s="18"/>
      <c r="PQ133" s="18"/>
      <c r="PR133" s="18"/>
      <c r="PS133" s="18"/>
      <c r="PT133" s="18"/>
      <c r="PU133" s="18"/>
      <c r="PV133" s="18"/>
      <c r="PW133" s="18"/>
      <c r="PX133" s="18"/>
      <c r="PY133" s="18"/>
      <c r="PZ133" s="18"/>
      <c r="QA133" s="18"/>
      <c r="QB133" s="18"/>
      <c r="QC133" s="18"/>
      <c r="QD133" s="18"/>
      <c r="QE133" s="18"/>
      <c r="QF133" s="18"/>
      <c r="QG133" s="18"/>
      <c r="QH133" s="18"/>
      <c r="QI133" s="18"/>
      <c r="QJ133" s="18"/>
      <c r="QK133" s="18"/>
      <c r="QL133" s="18"/>
      <c r="QM133" s="18"/>
      <c r="QN133" s="18"/>
      <c r="QO133" s="18"/>
      <c r="QP133" s="18"/>
      <c r="QQ133" s="18"/>
      <c r="QR133" s="18"/>
      <c r="QS133" s="18"/>
      <c r="QT133" s="18"/>
      <c r="QU133" s="18"/>
      <c r="QV133" s="18"/>
      <c r="QW133" s="18"/>
      <c r="QX133" s="18"/>
      <c r="QY133" s="18"/>
      <c r="QZ133" s="18"/>
      <c r="RA133" s="18"/>
      <c r="RB133" s="18"/>
      <c r="RC133" s="18"/>
      <c r="RD133" s="18"/>
      <c r="RE133" s="18"/>
      <c r="RF133" s="18"/>
      <c r="RG133" s="18"/>
      <c r="RH133" s="18"/>
      <c r="RI133" s="18"/>
      <c r="RJ133" s="18"/>
      <c r="RK133" s="18"/>
      <c r="RL133" s="18"/>
      <c r="RM133" s="18"/>
      <c r="RN133" s="18"/>
      <c r="RO133" s="18"/>
      <c r="RP133" s="18"/>
      <c r="RQ133" s="18"/>
      <c r="RR133" s="18"/>
      <c r="RS133" s="18"/>
      <c r="RT133" s="18"/>
      <c r="RU133" s="18"/>
      <c r="RV133" s="18"/>
      <c r="RW133" s="18"/>
      <c r="RX133" s="18"/>
      <c r="RY133" s="18"/>
      <c r="RZ133" s="18"/>
      <c r="SA133" s="18"/>
      <c r="SB133" s="18"/>
      <c r="SC133" s="18"/>
      <c r="SD133" s="18"/>
      <c r="SE133" s="18"/>
      <c r="SF133" s="18"/>
      <c r="SG133" s="18"/>
      <c r="SH133" s="18"/>
      <c r="SI133" s="18"/>
      <c r="SJ133" s="18"/>
      <c r="SK133" s="18"/>
      <c r="SL133" s="18"/>
      <c r="SM133" s="18"/>
      <c r="SN133" s="18"/>
      <c r="SO133" s="18"/>
      <c r="SP133" s="18"/>
      <c r="SQ133" s="18"/>
      <c r="SR133" s="18"/>
      <c r="SS133" s="18"/>
      <c r="ST133" s="18"/>
      <c r="SU133" s="18"/>
      <c r="SV133" s="18"/>
      <c r="SW133" s="18"/>
      <c r="SX133" s="18"/>
      <c r="SY133" s="18"/>
      <c r="SZ133" s="18"/>
      <c r="TA133" s="18"/>
      <c r="TB133" s="18"/>
      <c r="TC133" s="18"/>
      <c r="TD133" s="18"/>
      <c r="TE133" s="18"/>
      <c r="TF133" s="18"/>
      <c r="TG133" s="18"/>
      <c r="TH133" s="18"/>
      <c r="TI133" s="18"/>
      <c r="TJ133" s="18"/>
      <c r="TK133" s="18"/>
      <c r="TL133" s="18"/>
      <c r="TM133" s="18"/>
      <c r="TN133" s="18"/>
      <c r="TO133" s="18"/>
      <c r="TP133" s="18"/>
      <c r="TQ133" s="18"/>
      <c r="TR133" s="18"/>
      <c r="TS133" s="18"/>
      <c r="TT133" s="18"/>
      <c r="TU133" s="18"/>
      <c r="TV133" s="18"/>
      <c r="TW133" s="18"/>
      <c r="TX133" s="18"/>
      <c r="TY133" s="18"/>
      <c r="TZ133" s="18"/>
      <c r="UA133" s="18"/>
      <c r="UB133" s="18"/>
      <c r="UC133" s="18"/>
      <c r="UD133" s="18"/>
      <c r="UE133" s="18"/>
      <c r="UF133" s="18"/>
      <c r="UG133" s="18"/>
      <c r="UH133" s="18"/>
      <c r="UI133" s="18"/>
      <c r="UJ133" s="18"/>
      <c r="UK133" s="18"/>
      <c r="UL133" s="18"/>
      <c r="UM133" s="18"/>
      <c r="UN133" s="18"/>
      <c r="UO133" s="18"/>
      <c r="UP133" s="18"/>
      <c r="UQ133" s="18"/>
      <c r="UR133" s="18"/>
      <c r="US133" s="18"/>
      <c r="UT133" s="18"/>
      <c r="UU133" s="18"/>
      <c r="UV133" s="18"/>
      <c r="UW133" s="18"/>
      <c r="UX133" s="18"/>
      <c r="UY133" s="18"/>
      <c r="UZ133" s="18"/>
      <c r="VA133" s="18"/>
      <c r="VB133" s="18"/>
      <c r="VC133" s="18"/>
      <c r="VD133" s="18"/>
      <c r="VE133" s="18"/>
      <c r="VF133" s="18"/>
      <c r="VG133" s="18"/>
      <c r="VH133" s="18"/>
      <c r="VI133" s="18"/>
      <c r="VJ133" s="18"/>
      <c r="VK133" s="18"/>
      <c r="VL133" s="18"/>
      <c r="VM133" s="18"/>
      <c r="VN133" s="18"/>
      <c r="VO133" s="18"/>
      <c r="VP133" s="18"/>
      <c r="VQ133" s="18"/>
      <c r="VR133" s="18"/>
      <c r="VS133" s="18"/>
      <c r="VT133" s="18"/>
      <c r="VU133" s="18"/>
      <c r="VV133" s="18"/>
      <c r="VW133" s="18"/>
      <c r="VX133" s="18"/>
      <c r="VY133" s="18"/>
      <c r="VZ133" s="18"/>
      <c r="WA133" s="18"/>
      <c r="WB133" s="18"/>
      <c r="WC133" s="18"/>
      <c r="WD133" s="18"/>
      <c r="WE133" s="18"/>
      <c r="WF133" s="18"/>
      <c r="WG133" s="18"/>
      <c r="WH133" s="18"/>
      <c r="WI133" s="18"/>
      <c r="WJ133" s="18"/>
      <c r="WK133" s="18"/>
      <c r="WL133" s="18"/>
      <c r="WM133" s="18"/>
      <c r="WN133" s="18"/>
      <c r="WO133" s="18"/>
      <c r="WP133" s="18"/>
      <c r="WQ133" s="18"/>
      <c r="WR133" s="18"/>
      <c r="WS133" s="18"/>
      <c r="WT133" s="18"/>
      <c r="WU133" s="18"/>
      <c r="WV133" s="18"/>
      <c r="WW133" s="18"/>
      <c r="WX133" s="18"/>
      <c r="WY133" s="18"/>
      <c r="WZ133" s="18"/>
      <c r="XA133" s="18"/>
      <c r="XB133" s="18"/>
      <c r="XC133" s="18"/>
      <c r="XD133" s="18"/>
      <c r="XE133" s="18"/>
      <c r="XF133" s="18"/>
      <c r="XG133" s="18"/>
      <c r="XH133" s="18"/>
      <c r="XI133" s="18"/>
      <c r="XJ133" s="18"/>
      <c r="XK133" s="18"/>
      <c r="XL133" s="18"/>
      <c r="XM133" s="18"/>
      <c r="XN133" s="18"/>
      <c r="XO133" s="18"/>
      <c r="XP133" s="18"/>
      <c r="XQ133" s="18"/>
      <c r="XR133" s="18"/>
      <c r="XS133" s="18"/>
      <c r="XT133" s="18"/>
      <c r="XU133" s="18"/>
      <c r="XV133" s="18"/>
      <c r="XW133" s="18"/>
      <c r="XX133" s="18"/>
      <c r="XY133" s="18"/>
      <c r="XZ133" s="18"/>
      <c r="YA133" s="18"/>
      <c r="YB133" s="18"/>
      <c r="YC133" s="18"/>
      <c r="YD133" s="18"/>
      <c r="YE133" s="18"/>
      <c r="YF133" s="18"/>
      <c r="YG133" s="18"/>
      <c r="YH133" s="18"/>
      <c r="YI133" s="18"/>
      <c r="YJ133" s="18"/>
      <c r="YK133" s="18"/>
      <c r="YL133" s="18"/>
      <c r="YM133" s="18"/>
      <c r="YN133" s="18"/>
      <c r="YO133" s="18"/>
      <c r="YP133" s="18"/>
      <c r="YQ133" s="18"/>
      <c r="YR133" s="18"/>
      <c r="YS133" s="18"/>
      <c r="YT133" s="18"/>
      <c r="YU133" s="18"/>
      <c r="YV133" s="18"/>
      <c r="YW133" s="18"/>
      <c r="YX133" s="18"/>
      <c r="YY133" s="18"/>
      <c r="YZ133" s="18"/>
      <c r="ZA133" s="18"/>
      <c r="ZB133" s="18"/>
      <c r="ZC133" s="18"/>
      <c r="ZD133" s="18"/>
      <c r="ZE133" s="18"/>
      <c r="ZF133" s="18"/>
      <c r="ZG133" s="18"/>
      <c r="ZH133" s="18"/>
      <c r="ZI133" s="18"/>
      <c r="ZJ133" s="18"/>
      <c r="ZK133" s="18"/>
      <c r="ZL133" s="18"/>
      <c r="ZM133" s="18"/>
      <c r="ZN133" s="18"/>
      <c r="ZO133" s="18"/>
      <c r="ZP133" s="18"/>
      <c r="ZQ133" s="18"/>
      <c r="ZR133" s="18"/>
      <c r="ZS133" s="18"/>
      <c r="ZT133" s="18"/>
      <c r="ZU133" s="18"/>
      <c r="ZV133" s="18"/>
      <c r="ZW133" s="18"/>
      <c r="ZX133" s="18"/>
      <c r="ZY133" s="18"/>
      <c r="ZZ133" s="18"/>
      <c r="AAA133" s="18"/>
      <c r="AAB133" s="18"/>
      <c r="AAC133" s="18"/>
      <c r="AAD133" s="18"/>
      <c r="AAE133" s="18"/>
      <c r="AAF133" s="18"/>
      <c r="AAG133" s="18"/>
      <c r="AAH133" s="18"/>
      <c r="AAI133" s="18"/>
      <c r="AAJ133" s="18"/>
      <c r="AAK133" s="18"/>
      <c r="AAL133" s="18"/>
      <c r="AAM133" s="18"/>
      <c r="AAN133" s="18"/>
      <c r="AAO133" s="18"/>
      <c r="AAP133" s="18"/>
      <c r="AAQ133" s="18"/>
      <c r="AAR133" s="18"/>
      <c r="AAS133" s="18"/>
      <c r="AAT133" s="18"/>
      <c r="AAU133" s="18"/>
      <c r="AAV133" s="18"/>
      <c r="AAW133" s="18"/>
      <c r="AAX133" s="18"/>
      <c r="AAY133" s="18"/>
      <c r="AAZ133" s="18"/>
      <c r="ABA133" s="18"/>
      <c r="ABB133" s="18"/>
      <c r="ABC133" s="18"/>
      <c r="ABD133" s="18"/>
      <c r="ABE133" s="18"/>
      <c r="ABF133" s="18"/>
      <c r="ABG133" s="18"/>
      <c r="ABH133" s="18"/>
      <c r="ABI133" s="18"/>
      <c r="ABJ133" s="18"/>
      <c r="ABK133" s="18"/>
      <c r="ABL133" s="18"/>
      <c r="ABM133" s="18"/>
      <c r="ABN133" s="18"/>
      <c r="ABO133" s="18"/>
      <c r="ABP133" s="18"/>
      <c r="ABQ133" s="18"/>
      <c r="ABR133" s="18"/>
      <c r="ABS133" s="18"/>
      <c r="ABT133" s="18"/>
      <c r="ABU133" s="18"/>
      <c r="ABV133" s="18"/>
      <c r="ABW133" s="18"/>
      <c r="ABX133" s="18"/>
      <c r="ABY133" s="18"/>
      <c r="ABZ133" s="18"/>
      <c r="ACA133" s="18"/>
      <c r="ACB133" s="18"/>
      <c r="ACC133" s="18"/>
      <c r="ACD133" s="18"/>
      <c r="ACE133" s="18"/>
      <c r="ACF133" s="18"/>
      <c r="ACG133" s="18"/>
      <c r="ACH133" s="18"/>
      <c r="ACI133" s="18"/>
      <c r="ACJ133" s="18"/>
      <c r="ACK133" s="18"/>
      <c r="ACL133" s="18"/>
      <c r="ACM133" s="18"/>
      <c r="ACN133" s="18"/>
      <c r="ACO133" s="18"/>
      <c r="ACP133" s="18"/>
      <c r="ACQ133" s="18"/>
      <c r="ACR133" s="18"/>
      <c r="ACS133" s="18"/>
      <c r="ACT133" s="18"/>
      <c r="ACU133" s="18"/>
      <c r="ACV133" s="18"/>
      <c r="ACW133" s="18"/>
      <c r="ACX133" s="18"/>
      <c r="ACY133" s="18"/>
      <c r="ACZ133" s="18"/>
      <c r="ADA133" s="18"/>
      <c r="ADB133" s="18"/>
      <c r="ADC133" s="18"/>
      <c r="ADD133" s="18"/>
      <c r="ADE133" s="18"/>
      <c r="ADF133" s="18"/>
      <c r="ADG133" s="18"/>
      <c r="ADH133" s="18"/>
      <c r="ADI133" s="18"/>
      <c r="ADJ133" s="18"/>
      <c r="ADK133" s="18"/>
      <c r="ADL133" s="18"/>
      <c r="ADM133" s="18"/>
      <c r="ADN133" s="18"/>
      <c r="ADO133" s="18"/>
      <c r="ADP133" s="18"/>
      <c r="ADQ133" s="18"/>
      <c r="ADR133" s="18"/>
      <c r="ADS133" s="18"/>
      <c r="ADT133" s="18"/>
      <c r="ADU133" s="18"/>
      <c r="ADV133" s="18"/>
      <c r="ADW133" s="18"/>
      <c r="ADX133" s="18"/>
      <c r="ADY133" s="18"/>
      <c r="ADZ133" s="18"/>
      <c r="AEA133" s="18"/>
      <c r="AEB133" s="18"/>
      <c r="AEC133" s="18"/>
      <c r="AED133" s="18"/>
      <c r="AEE133" s="18"/>
      <c r="AEF133" s="18"/>
      <c r="AEG133" s="18"/>
      <c r="AEH133" s="18"/>
      <c r="AEI133" s="18"/>
      <c r="AEJ133" s="18"/>
      <c r="AEK133" s="18"/>
      <c r="AEL133" s="18"/>
      <c r="AEM133" s="18"/>
      <c r="AEN133" s="18"/>
      <c r="AEO133" s="18"/>
      <c r="AEP133" s="18"/>
      <c r="AEQ133" s="18"/>
      <c r="AER133" s="18"/>
      <c r="AES133" s="18"/>
      <c r="AET133" s="18"/>
      <c r="AEU133" s="18"/>
      <c r="AEV133" s="18"/>
      <c r="AEW133" s="18"/>
      <c r="AEX133" s="18"/>
      <c r="AEY133" s="18"/>
      <c r="AEZ133" s="18"/>
      <c r="AFA133" s="18"/>
      <c r="AFB133" s="18"/>
      <c r="AFC133" s="18"/>
      <c r="AFD133" s="18"/>
      <c r="AFE133" s="18"/>
      <c r="AFF133" s="18"/>
      <c r="AFG133" s="18"/>
      <c r="AFH133" s="18"/>
      <c r="AFI133" s="18"/>
      <c r="AFJ133" s="18"/>
      <c r="AFK133" s="18"/>
      <c r="AFL133" s="18"/>
      <c r="AFM133" s="18"/>
      <c r="AFN133" s="18"/>
      <c r="AFO133" s="18"/>
      <c r="AFP133" s="18"/>
      <c r="AFQ133" s="18"/>
      <c r="AFR133" s="18"/>
      <c r="AFS133" s="18"/>
      <c r="AFT133" s="18"/>
      <c r="AFU133" s="18"/>
      <c r="AFV133" s="18"/>
      <c r="AFW133" s="18"/>
      <c r="AFX133" s="18"/>
      <c r="AFY133" s="18"/>
      <c r="AFZ133" s="18"/>
      <c r="AGA133" s="18"/>
      <c r="AGB133" s="18"/>
      <c r="AGC133" s="18"/>
      <c r="AGD133" s="18"/>
      <c r="AGE133" s="18"/>
      <c r="AGF133" s="18"/>
      <c r="AGG133" s="18"/>
      <c r="AGH133" s="18"/>
      <c r="AGI133" s="18"/>
      <c r="AGJ133" s="18"/>
      <c r="AGK133" s="18"/>
      <c r="AGL133" s="18"/>
      <c r="AGM133" s="18"/>
      <c r="AGN133" s="18"/>
      <c r="AGO133" s="18"/>
      <c r="AGP133" s="18"/>
      <c r="AGQ133" s="18"/>
      <c r="AGR133" s="18"/>
      <c r="AGS133" s="18"/>
      <c r="AGT133" s="18"/>
      <c r="AGU133" s="18"/>
      <c r="AGV133" s="18"/>
      <c r="AGW133" s="18"/>
      <c r="AGX133" s="18"/>
      <c r="AGY133" s="18"/>
      <c r="AGZ133" s="18"/>
      <c r="AHA133" s="18"/>
      <c r="AHB133" s="18"/>
      <c r="AHC133" s="18"/>
      <c r="AHD133" s="18"/>
      <c r="AHE133" s="18"/>
      <c r="AHF133" s="18"/>
      <c r="AHG133" s="18"/>
      <c r="AHH133" s="18"/>
      <c r="AHI133" s="18"/>
      <c r="AHJ133" s="18"/>
      <c r="AHK133" s="18"/>
      <c r="AHL133" s="18"/>
      <c r="AHM133" s="18"/>
      <c r="AHN133" s="18"/>
      <c r="AHO133" s="18"/>
      <c r="AHP133" s="18"/>
      <c r="AHQ133" s="18"/>
      <c r="AHR133" s="18"/>
      <c r="AHS133" s="18"/>
      <c r="AHT133" s="18"/>
      <c r="AHU133" s="18"/>
      <c r="AHV133" s="18"/>
      <c r="AHW133" s="18"/>
      <c r="AHX133" s="18"/>
      <c r="AHY133" s="18"/>
      <c r="AHZ133" s="18"/>
      <c r="AIA133" s="18"/>
      <c r="AIB133" s="18"/>
      <c r="AIC133" s="18"/>
      <c r="AID133" s="18"/>
      <c r="AIE133" s="18"/>
      <c r="AIF133" s="18"/>
      <c r="AIG133" s="18"/>
      <c r="AIH133" s="18"/>
      <c r="AII133" s="18"/>
      <c r="AIJ133" s="18"/>
      <c r="AIK133" s="18"/>
      <c r="AIL133" s="18"/>
      <c r="AIM133" s="18"/>
      <c r="AIN133" s="18"/>
      <c r="AIO133" s="18"/>
      <c r="AIP133" s="18"/>
      <c r="AIQ133" s="18"/>
      <c r="AIR133" s="18"/>
      <c r="AIS133" s="18"/>
      <c r="AIT133" s="18"/>
      <c r="AIU133" s="18"/>
      <c r="AIV133" s="18"/>
      <c r="AIW133" s="18"/>
      <c r="AIX133" s="18"/>
      <c r="AIY133" s="18"/>
      <c r="AIZ133" s="18"/>
      <c r="AJA133" s="18"/>
      <c r="AJB133" s="18"/>
      <c r="AJC133" s="18"/>
      <c r="AJD133" s="18"/>
      <c r="AJE133" s="18"/>
      <c r="AJF133" s="18"/>
      <c r="AJG133" s="18"/>
      <c r="AJH133" s="18"/>
      <c r="AJI133" s="18"/>
      <c r="AJJ133" s="18"/>
      <c r="AJK133" s="18"/>
      <c r="AJL133" s="18"/>
      <c r="AJM133" s="18"/>
      <c r="AJN133" s="18"/>
      <c r="AJO133" s="18"/>
      <c r="AJP133" s="18"/>
      <c r="AJQ133" s="18"/>
      <c r="AJR133" s="18"/>
      <c r="AJS133" s="18"/>
      <c r="AJT133" s="18"/>
      <c r="AJU133" s="18"/>
      <c r="AJV133" s="18"/>
      <c r="AJW133" s="18"/>
      <c r="AJX133" s="18"/>
      <c r="AJY133" s="18"/>
      <c r="AJZ133" s="18"/>
      <c r="AKA133" s="18"/>
      <c r="AKB133" s="18"/>
      <c r="AKC133" s="18"/>
      <c r="AKD133" s="18"/>
      <c r="AKE133" s="18"/>
      <c r="AKF133" s="18"/>
      <c r="AKG133" s="18"/>
      <c r="AKH133" s="18"/>
      <c r="AKI133" s="18"/>
      <c r="AKJ133" s="18"/>
      <c r="AKK133" s="18"/>
      <c r="AKL133" s="18"/>
      <c r="AKM133" s="18"/>
      <c r="AKN133" s="18"/>
      <c r="AKO133" s="18"/>
      <c r="AKP133" s="18"/>
      <c r="AKQ133" s="18"/>
      <c r="AKR133" s="18"/>
      <c r="AKS133" s="18"/>
      <c r="AKT133" s="18"/>
      <c r="AKU133" s="18"/>
      <c r="AKV133" s="18"/>
      <c r="AKW133" s="18"/>
      <c r="AKX133" s="18"/>
      <c r="AKY133" s="18"/>
      <c r="AKZ133" s="18"/>
      <c r="ALA133" s="18"/>
      <c r="ALB133" s="18"/>
      <c r="ALC133" s="18"/>
      <c r="ALD133" s="18"/>
      <c r="ALE133" s="18"/>
      <c r="ALF133" s="18"/>
      <c r="ALG133" s="18"/>
      <c r="ALH133" s="18"/>
      <c r="ALI133" s="18"/>
      <c r="ALJ133" s="18"/>
      <c r="ALK133" s="18"/>
      <c r="ALL133" s="18"/>
      <c r="ALM133" s="18"/>
      <c r="ALN133" s="18"/>
      <c r="ALO133" s="18"/>
      <c r="ALP133" s="18"/>
      <c r="ALQ133" s="18"/>
      <c r="ALR133" s="18"/>
      <c r="ALS133" s="18"/>
      <c r="ALT133" s="18"/>
      <c r="ALU133" s="18"/>
      <c r="ALV133" s="18"/>
      <c r="ALW133" s="18"/>
      <c r="ALX133" s="18"/>
      <c r="ALY133" s="18"/>
      <c r="ALZ133" s="18"/>
      <c r="AMA133" s="18"/>
      <c r="AMB133" s="18"/>
      <c r="AMC133" s="18"/>
      <c r="AMD133" s="18"/>
      <c r="AME133" s="18"/>
      <c r="AMF133" s="18"/>
      <c r="AMG133" s="18"/>
      <c r="AMH133" s="18"/>
    </row>
    <row r="134" spans="1:1022" s="23" customFormat="1" x14ac:dyDescent="0.3">
      <c r="A134" s="33">
        <v>230</v>
      </c>
      <c r="B134" s="19"/>
      <c r="C134" s="19"/>
      <c r="D134" s="34"/>
      <c r="E134" s="34"/>
      <c r="F134" s="19"/>
      <c r="G134" s="19"/>
      <c r="H134" s="18"/>
      <c r="I134" s="31"/>
      <c r="J134" s="31"/>
      <c r="K134" s="31"/>
      <c r="L134" s="31"/>
      <c r="M134" s="32"/>
      <c r="N134" s="32"/>
      <c r="O134" s="18"/>
      <c r="P134" s="36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  <c r="BB134" s="18"/>
      <c r="BC134" s="18"/>
      <c r="BD134" s="18"/>
      <c r="BE134" s="18"/>
      <c r="BF134" s="18"/>
      <c r="BG134" s="18"/>
      <c r="BH134" s="18"/>
      <c r="BI134" s="18"/>
      <c r="BJ134" s="18"/>
      <c r="BK134" s="18"/>
      <c r="BL134" s="18"/>
      <c r="BM134" s="18"/>
      <c r="BN134" s="18"/>
      <c r="BO134" s="18"/>
      <c r="BP134" s="18"/>
      <c r="BQ134" s="18"/>
      <c r="BR134" s="18"/>
      <c r="BS134" s="18"/>
      <c r="BT134" s="18"/>
      <c r="BU134" s="18"/>
      <c r="BV134" s="18"/>
      <c r="BW134" s="18"/>
      <c r="BX134" s="18"/>
      <c r="BY134" s="18"/>
      <c r="BZ134" s="18"/>
      <c r="CA134" s="18"/>
      <c r="CB134" s="18"/>
      <c r="CC134" s="18"/>
      <c r="CD134" s="18"/>
      <c r="CE134" s="18"/>
      <c r="CF134" s="18"/>
      <c r="CG134" s="18"/>
      <c r="CH134" s="18"/>
      <c r="CI134" s="18"/>
      <c r="CJ134" s="18"/>
      <c r="CK134" s="18"/>
      <c r="CL134" s="18"/>
      <c r="CM134" s="18"/>
      <c r="CN134" s="18"/>
      <c r="CO134" s="18"/>
      <c r="CP134" s="18"/>
      <c r="CQ134" s="18"/>
      <c r="CR134" s="18"/>
      <c r="CS134" s="18"/>
      <c r="CT134" s="18"/>
      <c r="CU134" s="18"/>
      <c r="CV134" s="18"/>
      <c r="CW134" s="18"/>
      <c r="CX134" s="18"/>
      <c r="CY134" s="18"/>
      <c r="CZ134" s="18"/>
      <c r="DA134" s="18"/>
      <c r="DB134" s="18"/>
      <c r="DC134" s="18"/>
      <c r="DD134" s="18"/>
      <c r="DE134" s="18"/>
      <c r="DF134" s="18"/>
      <c r="DG134" s="18"/>
      <c r="DH134" s="18"/>
      <c r="DI134" s="18"/>
      <c r="DJ134" s="18"/>
      <c r="DK134" s="18"/>
      <c r="DL134" s="18"/>
      <c r="DM134" s="18"/>
      <c r="DN134" s="18"/>
      <c r="DO134" s="18"/>
      <c r="DP134" s="18"/>
      <c r="DQ134" s="18"/>
      <c r="DR134" s="18"/>
      <c r="DS134" s="18"/>
      <c r="DT134" s="18"/>
      <c r="DU134" s="18"/>
      <c r="DV134" s="18"/>
      <c r="DW134" s="18"/>
      <c r="DX134" s="18"/>
      <c r="DY134" s="18"/>
      <c r="DZ134" s="18"/>
      <c r="EA134" s="18"/>
      <c r="EB134" s="18"/>
      <c r="EC134" s="18"/>
      <c r="ED134" s="18"/>
      <c r="EE134" s="18"/>
      <c r="EF134" s="18"/>
      <c r="EG134" s="18"/>
      <c r="EH134" s="18"/>
      <c r="EI134" s="18"/>
      <c r="EJ134" s="18"/>
      <c r="EK134" s="18"/>
      <c r="EL134" s="18"/>
      <c r="EM134" s="18"/>
      <c r="EN134" s="18"/>
      <c r="EO134" s="18"/>
      <c r="EP134" s="18"/>
      <c r="EQ134" s="18"/>
      <c r="ER134" s="18"/>
      <c r="ES134" s="18"/>
      <c r="ET134" s="18"/>
      <c r="EU134" s="18"/>
      <c r="EV134" s="18"/>
      <c r="EW134" s="18"/>
      <c r="EX134" s="18"/>
      <c r="EY134" s="18"/>
      <c r="EZ134" s="18"/>
      <c r="FA134" s="18"/>
      <c r="FB134" s="18"/>
      <c r="FC134" s="18"/>
      <c r="FD134" s="18"/>
      <c r="FE134" s="18"/>
      <c r="FF134" s="18"/>
      <c r="FG134" s="18"/>
      <c r="FH134" s="18"/>
      <c r="FI134" s="18"/>
      <c r="FJ134" s="18"/>
      <c r="FK134" s="18"/>
      <c r="FL134" s="18"/>
      <c r="FM134" s="18"/>
      <c r="FN134" s="18"/>
      <c r="FO134" s="18"/>
      <c r="FP134" s="18"/>
      <c r="FQ134" s="18"/>
      <c r="FR134" s="18"/>
      <c r="FS134" s="18"/>
      <c r="FT134" s="18"/>
      <c r="FU134" s="18"/>
      <c r="FV134" s="18"/>
      <c r="FW134" s="18"/>
      <c r="FX134" s="18"/>
      <c r="FY134" s="18"/>
      <c r="FZ134" s="18"/>
      <c r="GA134" s="18"/>
      <c r="GB134" s="18"/>
      <c r="GC134" s="18"/>
      <c r="GD134" s="18"/>
      <c r="GE134" s="18"/>
      <c r="GF134" s="18"/>
      <c r="GG134" s="18"/>
      <c r="GH134" s="18"/>
      <c r="GI134" s="18"/>
      <c r="GJ134" s="18"/>
      <c r="GK134" s="18"/>
      <c r="GL134" s="18"/>
      <c r="GM134" s="18"/>
      <c r="GN134" s="18"/>
      <c r="GO134" s="18"/>
      <c r="GP134" s="18"/>
      <c r="GQ134" s="18"/>
      <c r="GR134" s="18"/>
      <c r="GS134" s="18"/>
      <c r="GT134" s="18"/>
      <c r="GU134" s="18"/>
      <c r="GV134" s="18"/>
      <c r="GW134" s="18"/>
      <c r="GX134" s="18"/>
      <c r="GY134" s="18"/>
      <c r="GZ134" s="18"/>
      <c r="HA134" s="18"/>
      <c r="HB134" s="18"/>
      <c r="HC134" s="18"/>
      <c r="HD134" s="18"/>
      <c r="HE134" s="18"/>
      <c r="HF134" s="18"/>
      <c r="HG134" s="18"/>
      <c r="HH134" s="18"/>
      <c r="HI134" s="18"/>
      <c r="HJ134" s="18"/>
      <c r="HK134" s="18"/>
      <c r="HL134" s="18"/>
      <c r="HM134" s="18"/>
      <c r="HN134" s="18"/>
      <c r="HO134" s="18"/>
      <c r="HP134" s="18"/>
      <c r="HQ134" s="18"/>
      <c r="HR134" s="18"/>
      <c r="HS134" s="18"/>
      <c r="HT134" s="18"/>
      <c r="HU134" s="18"/>
      <c r="HV134" s="18"/>
      <c r="HW134" s="18"/>
      <c r="HX134" s="18"/>
      <c r="HY134" s="18"/>
      <c r="HZ134" s="18"/>
      <c r="IA134" s="18"/>
      <c r="IB134" s="18"/>
      <c r="IC134" s="18"/>
      <c r="ID134" s="18"/>
      <c r="IE134" s="18"/>
      <c r="IF134" s="18"/>
      <c r="IG134" s="18"/>
      <c r="IH134" s="18"/>
      <c r="II134" s="18"/>
      <c r="IJ134" s="18"/>
      <c r="IK134" s="18"/>
      <c r="IL134" s="18"/>
      <c r="IM134" s="18"/>
      <c r="IN134" s="18"/>
      <c r="IO134" s="18"/>
      <c r="IP134" s="18"/>
      <c r="IQ134" s="18"/>
      <c r="IR134" s="18"/>
      <c r="IS134" s="18"/>
      <c r="IT134" s="18"/>
      <c r="IU134" s="18"/>
      <c r="IV134" s="18"/>
      <c r="IW134" s="18"/>
      <c r="IX134" s="18"/>
      <c r="IY134" s="18"/>
      <c r="IZ134" s="18"/>
      <c r="JA134" s="18"/>
      <c r="JB134" s="18"/>
      <c r="JC134" s="18"/>
      <c r="JD134" s="18"/>
      <c r="JE134" s="18"/>
      <c r="JF134" s="18"/>
      <c r="JG134" s="18"/>
      <c r="JH134" s="18"/>
      <c r="JI134" s="18"/>
      <c r="JJ134" s="18"/>
      <c r="JK134" s="18"/>
      <c r="JL134" s="18"/>
      <c r="JM134" s="18"/>
      <c r="JN134" s="18"/>
      <c r="JO134" s="18"/>
      <c r="JP134" s="18"/>
      <c r="JQ134" s="18"/>
      <c r="JR134" s="18"/>
      <c r="JS134" s="18"/>
      <c r="JT134" s="18"/>
      <c r="JU134" s="18"/>
      <c r="JV134" s="18"/>
      <c r="JW134" s="18"/>
      <c r="JX134" s="18"/>
      <c r="JY134" s="18"/>
      <c r="JZ134" s="18"/>
      <c r="KA134" s="18"/>
      <c r="KB134" s="18"/>
      <c r="KC134" s="18"/>
      <c r="KD134" s="18"/>
      <c r="KE134" s="18"/>
      <c r="KF134" s="18"/>
      <c r="KG134" s="18"/>
      <c r="KH134" s="18"/>
      <c r="KI134" s="18"/>
      <c r="KJ134" s="18"/>
      <c r="KK134" s="18"/>
      <c r="KL134" s="18"/>
      <c r="KM134" s="18"/>
      <c r="KN134" s="18"/>
      <c r="KO134" s="18"/>
      <c r="KP134" s="18"/>
      <c r="KQ134" s="18"/>
      <c r="KR134" s="18"/>
      <c r="KS134" s="18"/>
      <c r="KT134" s="18"/>
      <c r="KU134" s="18"/>
      <c r="KV134" s="18"/>
      <c r="KW134" s="18"/>
      <c r="KX134" s="18"/>
      <c r="KY134" s="18"/>
      <c r="KZ134" s="18"/>
      <c r="LA134" s="18"/>
      <c r="LB134" s="18"/>
      <c r="LC134" s="18"/>
      <c r="LD134" s="18"/>
      <c r="LE134" s="18"/>
      <c r="LF134" s="18"/>
      <c r="LG134" s="18"/>
      <c r="LH134" s="18"/>
      <c r="LI134" s="18"/>
      <c r="LJ134" s="18"/>
      <c r="LK134" s="18"/>
      <c r="LL134" s="18"/>
      <c r="LM134" s="18"/>
      <c r="LN134" s="18"/>
      <c r="LO134" s="18"/>
      <c r="LP134" s="18"/>
      <c r="LQ134" s="18"/>
      <c r="LR134" s="18"/>
      <c r="LS134" s="18"/>
      <c r="LT134" s="18"/>
      <c r="LU134" s="18"/>
      <c r="LV134" s="18"/>
      <c r="LW134" s="18"/>
      <c r="LX134" s="18"/>
      <c r="LY134" s="18"/>
      <c r="LZ134" s="18"/>
      <c r="MA134" s="18"/>
      <c r="MB134" s="18"/>
      <c r="MC134" s="18"/>
      <c r="MD134" s="18"/>
      <c r="ME134" s="18"/>
      <c r="MF134" s="18"/>
      <c r="MG134" s="18"/>
      <c r="MH134" s="18"/>
      <c r="MI134" s="18"/>
      <c r="MJ134" s="18"/>
      <c r="MK134" s="18"/>
      <c r="ML134" s="18"/>
      <c r="MM134" s="18"/>
      <c r="MN134" s="18"/>
      <c r="MO134" s="18"/>
      <c r="MP134" s="18"/>
      <c r="MQ134" s="18"/>
      <c r="MR134" s="18"/>
      <c r="MS134" s="18"/>
      <c r="MT134" s="18"/>
      <c r="MU134" s="18"/>
      <c r="MV134" s="18"/>
      <c r="MW134" s="18"/>
      <c r="MX134" s="18"/>
      <c r="MY134" s="18"/>
      <c r="MZ134" s="18"/>
      <c r="NA134" s="18"/>
      <c r="NB134" s="18"/>
      <c r="NC134" s="18"/>
      <c r="ND134" s="18"/>
      <c r="NE134" s="18"/>
      <c r="NF134" s="18"/>
      <c r="NG134" s="18"/>
      <c r="NH134" s="18"/>
      <c r="NI134" s="18"/>
      <c r="NJ134" s="18"/>
      <c r="NK134" s="18"/>
      <c r="NL134" s="18"/>
      <c r="NM134" s="18"/>
      <c r="NN134" s="18"/>
      <c r="NO134" s="18"/>
      <c r="NP134" s="18"/>
      <c r="NQ134" s="18"/>
      <c r="NR134" s="18"/>
      <c r="NS134" s="18"/>
      <c r="NT134" s="18"/>
      <c r="NU134" s="18"/>
      <c r="NV134" s="18"/>
      <c r="NW134" s="18"/>
      <c r="NX134" s="18"/>
      <c r="NY134" s="18"/>
      <c r="NZ134" s="18"/>
      <c r="OA134" s="18"/>
      <c r="OB134" s="18"/>
      <c r="OC134" s="18"/>
      <c r="OD134" s="18"/>
      <c r="OE134" s="18"/>
      <c r="OF134" s="18"/>
      <c r="OG134" s="18"/>
      <c r="OH134" s="18"/>
      <c r="OI134" s="18"/>
      <c r="OJ134" s="18"/>
      <c r="OK134" s="18"/>
      <c r="OL134" s="18"/>
      <c r="OM134" s="18"/>
      <c r="ON134" s="18"/>
      <c r="OO134" s="18"/>
      <c r="OP134" s="18"/>
      <c r="OQ134" s="18"/>
      <c r="OR134" s="18"/>
      <c r="OS134" s="18"/>
      <c r="OT134" s="18"/>
      <c r="OU134" s="18"/>
      <c r="OV134" s="18"/>
      <c r="OW134" s="18"/>
      <c r="OX134" s="18"/>
      <c r="OY134" s="18"/>
      <c r="OZ134" s="18"/>
      <c r="PA134" s="18"/>
      <c r="PB134" s="18"/>
      <c r="PC134" s="18"/>
      <c r="PD134" s="18"/>
      <c r="PE134" s="18"/>
      <c r="PF134" s="18"/>
      <c r="PG134" s="18"/>
      <c r="PH134" s="18"/>
      <c r="PI134" s="18"/>
      <c r="PJ134" s="18"/>
      <c r="PK134" s="18"/>
      <c r="PL134" s="18"/>
      <c r="PM134" s="18"/>
      <c r="PN134" s="18"/>
      <c r="PO134" s="18"/>
      <c r="PP134" s="18"/>
      <c r="PQ134" s="18"/>
      <c r="PR134" s="18"/>
      <c r="PS134" s="18"/>
      <c r="PT134" s="18"/>
      <c r="PU134" s="18"/>
      <c r="PV134" s="18"/>
      <c r="PW134" s="18"/>
      <c r="PX134" s="18"/>
      <c r="PY134" s="18"/>
      <c r="PZ134" s="18"/>
      <c r="QA134" s="18"/>
      <c r="QB134" s="18"/>
      <c r="QC134" s="18"/>
      <c r="QD134" s="18"/>
      <c r="QE134" s="18"/>
      <c r="QF134" s="18"/>
      <c r="QG134" s="18"/>
      <c r="QH134" s="18"/>
      <c r="QI134" s="18"/>
      <c r="QJ134" s="18"/>
      <c r="QK134" s="18"/>
      <c r="QL134" s="18"/>
      <c r="QM134" s="18"/>
      <c r="QN134" s="18"/>
      <c r="QO134" s="18"/>
      <c r="QP134" s="18"/>
      <c r="QQ134" s="18"/>
      <c r="QR134" s="18"/>
      <c r="QS134" s="18"/>
      <c r="QT134" s="18"/>
      <c r="QU134" s="18"/>
      <c r="QV134" s="18"/>
      <c r="QW134" s="18"/>
      <c r="QX134" s="18"/>
      <c r="QY134" s="18"/>
      <c r="QZ134" s="18"/>
      <c r="RA134" s="18"/>
      <c r="RB134" s="18"/>
      <c r="RC134" s="18"/>
      <c r="RD134" s="18"/>
      <c r="RE134" s="18"/>
      <c r="RF134" s="18"/>
      <c r="RG134" s="18"/>
      <c r="RH134" s="18"/>
      <c r="RI134" s="18"/>
      <c r="RJ134" s="18"/>
      <c r="RK134" s="18"/>
      <c r="RL134" s="18"/>
      <c r="RM134" s="18"/>
      <c r="RN134" s="18"/>
      <c r="RO134" s="18"/>
      <c r="RP134" s="18"/>
      <c r="RQ134" s="18"/>
      <c r="RR134" s="18"/>
      <c r="RS134" s="18"/>
      <c r="RT134" s="18"/>
      <c r="RU134" s="18"/>
      <c r="RV134" s="18"/>
      <c r="RW134" s="18"/>
      <c r="RX134" s="18"/>
      <c r="RY134" s="18"/>
      <c r="RZ134" s="18"/>
      <c r="SA134" s="18"/>
      <c r="SB134" s="18"/>
      <c r="SC134" s="18"/>
      <c r="SD134" s="18"/>
      <c r="SE134" s="18"/>
      <c r="SF134" s="18"/>
      <c r="SG134" s="18"/>
      <c r="SH134" s="18"/>
      <c r="SI134" s="18"/>
      <c r="SJ134" s="18"/>
      <c r="SK134" s="18"/>
      <c r="SL134" s="18"/>
      <c r="SM134" s="18"/>
      <c r="SN134" s="18"/>
      <c r="SO134" s="18"/>
      <c r="SP134" s="18"/>
      <c r="SQ134" s="18"/>
      <c r="SR134" s="18"/>
      <c r="SS134" s="18"/>
      <c r="ST134" s="18"/>
      <c r="SU134" s="18"/>
      <c r="SV134" s="18"/>
      <c r="SW134" s="18"/>
      <c r="SX134" s="18"/>
      <c r="SY134" s="18"/>
      <c r="SZ134" s="18"/>
      <c r="TA134" s="18"/>
      <c r="TB134" s="18"/>
      <c r="TC134" s="18"/>
      <c r="TD134" s="18"/>
      <c r="TE134" s="18"/>
      <c r="TF134" s="18"/>
      <c r="TG134" s="18"/>
      <c r="TH134" s="18"/>
      <c r="TI134" s="18"/>
      <c r="TJ134" s="18"/>
      <c r="TK134" s="18"/>
      <c r="TL134" s="18"/>
      <c r="TM134" s="18"/>
      <c r="TN134" s="18"/>
      <c r="TO134" s="18"/>
      <c r="TP134" s="18"/>
      <c r="TQ134" s="18"/>
      <c r="TR134" s="18"/>
      <c r="TS134" s="18"/>
      <c r="TT134" s="18"/>
      <c r="TU134" s="18"/>
      <c r="TV134" s="18"/>
      <c r="TW134" s="18"/>
      <c r="TX134" s="18"/>
      <c r="TY134" s="18"/>
      <c r="TZ134" s="18"/>
      <c r="UA134" s="18"/>
      <c r="UB134" s="18"/>
      <c r="UC134" s="18"/>
      <c r="UD134" s="18"/>
      <c r="UE134" s="18"/>
      <c r="UF134" s="18"/>
      <c r="UG134" s="18"/>
      <c r="UH134" s="18"/>
      <c r="UI134" s="18"/>
      <c r="UJ134" s="18"/>
      <c r="UK134" s="18"/>
      <c r="UL134" s="18"/>
      <c r="UM134" s="18"/>
      <c r="UN134" s="18"/>
      <c r="UO134" s="18"/>
      <c r="UP134" s="18"/>
      <c r="UQ134" s="18"/>
      <c r="UR134" s="18"/>
      <c r="US134" s="18"/>
      <c r="UT134" s="18"/>
      <c r="UU134" s="18"/>
      <c r="UV134" s="18"/>
      <c r="UW134" s="18"/>
      <c r="UX134" s="18"/>
      <c r="UY134" s="18"/>
      <c r="UZ134" s="18"/>
      <c r="VA134" s="18"/>
      <c r="VB134" s="18"/>
      <c r="VC134" s="18"/>
      <c r="VD134" s="18"/>
      <c r="VE134" s="18"/>
      <c r="VF134" s="18"/>
      <c r="VG134" s="18"/>
      <c r="VH134" s="18"/>
      <c r="VI134" s="18"/>
      <c r="VJ134" s="18"/>
      <c r="VK134" s="18"/>
      <c r="VL134" s="18"/>
      <c r="VM134" s="18"/>
      <c r="VN134" s="18"/>
      <c r="VO134" s="18"/>
      <c r="VP134" s="18"/>
      <c r="VQ134" s="18"/>
      <c r="VR134" s="18"/>
      <c r="VS134" s="18"/>
      <c r="VT134" s="18"/>
      <c r="VU134" s="18"/>
      <c r="VV134" s="18"/>
      <c r="VW134" s="18"/>
      <c r="VX134" s="18"/>
      <c r="VY134" s="18"/>
      <c r="VZ134" s="18"/>
      <c r="WA134" s="18"/>
      <c r="WB134" s="18"/>
      <c r="WC134" s="18"/>
      <c r="WD134" s="18"/>
      <c r="WE134" s="18"/>
      <c r="WF134" s="18"/>
      <c r="WG134" s="18"/>
      <c r="WH134" s="18"/>
      <c r="WI134" s="18"/>
      <c r="WJ134" s="18"/>
      <c r="WK134" s="18"/>
      <c r="WL134" s="18"/>
      <c r="WM134" s="18"/>
      <c r="WN134" s="18"/>
      <c r="WO134" s="18"/>
      <c r="WP134" s="18"/>
      <c r="WQ134" s="18"/>
      <c r="WR134" s="18"/>
      <c r="WS134" s="18"/>
      <c r="WT134" s="18"/>
      <c r="WU134" s="18"/>
      <c r="WV134" s="18"/>
      <c r="WW134" s="18"/>
      <c r="WX134" s="18"/>
      <c r="WY134" s="18"/>
      <c r="WZ134" s="18"/>
      <c r="XA134" s="18"/>
      <c r="XB134" s="18"/>
      <c r="XC134" s="18"/>
      <c r="XD134" s="18"/>
      <c r="XE134" s="18"/>
      <c r="XF134" s="18"/>
      <c r="XG134" s="18"/>
      <c r="XH134" s="18"/>
      <c r="XI134" s="18"/>
      <c r="XJ134" s="18"/>
      <c r="XK134" s="18"/>
      <c r="XL134" s="18"/>
      <c r="XM134" s="18"/>
      <c r="XN134" s="18"/>
      <c r="XO134" s="18"/>
      <c r="XP134" s="18"/>
      <c r="XQ134" s="18"/>
      <c r="XR134" s="18"/>
      <c r="XS134" s="18"/>
      <c r="XT134" s="18"/>
      <c r="XU134" s="18"/>
      <c r="XV134" s="18"/>
      <c r="XW134" s="18"/>
      <c r="XX134" s="18"/>
      <c r="XY134" s="18"/>
      <c r="XZ134" s="18"/>
      <c r="YA134" s="18"/>
      <c r="YB134" s="18"/>
      <c r="YC134" s="18"/>
      <c r="YD134" s="18"/>
      <c r="YE134" s="18"/>
      <c r="YF134" s="18"/>
      <c r="YG134" s="18"/>
      <c r="YH134" s="18"/>
      <c r="YI134" s="18"/>
      <c r="YJ134" s="18"/>
      <c r="YK134" s="18"/>
      <c r="YL134" s="18"/>
      <c r="YM134" s="18"/>
      <c r="YN134" s="18"/>
      <c r="YO134" s="18"/>
      <c r="YP134" s="18"/>
      <c r="YQ134" s="18"/>
      <c r="YR134" s="18"/>
      <c r="YS134" s="18"/>
      <c r="YT134" s="18"/>
      <c r="YU134" s="18"/>
      <c r="YV134" s="18"/>
      <c r="YW134" s="18"/>
      <c r="YX134" s="18"/>
      <c r="YY134" s="18"/>
      <c r="YZ134" s="18"/>
      <c r="ZA134" s="18"/>
      <c r="ZB134" s="18"/>
      <c r="ZC134" s="18"/>
      <c r="ZD134" s="18"/>
      <c r="ZE134" s="18"/>
      <c r="ZF134" s="18"/>
      <c r="ZG134" s="18"/>
      <c r="ZH134" s="18"/>
      <c r="ZI134" s="18"/>
      <c r="ZJ134" s="18"/>
      <c r="ZK134" s="18"/>
      <c r="ZL134" s="18"/>
      <c r="ZM134" s="18"/>
      <c r="ZN134" s="18"/>
      <c r="ZO134" s="18"/>
      <c r="ZP134" s="18"/>
      <c r="ZQ134" s="18"/>
      <c r="ZR134" s="18"/>
      <c r="ZS134" s="18"/>
      <c r="ZT134" s="18"/>
      <c r="ZU134" s="18"/>
      <c r="ZV134" s="18"/>
      <c r="ZW134" s="18"/>
      <c r="ZX134" s="18"/>
      <c r="ZY134" s="18"/>
      <c r="ZZ134" s="18"/>
      <c r="AAA134" s="18"/>
      <c r="AAB134" s="18"/>
      <c r="AAC134" s="18"/>
      <c r="AAD134" s="18"/>
      <c r="AAE134" s="18"/>
      <c r="AAF134" s="18"/>
      <c r="AAG134" s="18"/>
      <c r="AAH134" s="18"/>
      <c r="AAI134" s="18"/>
      <c r="AAJ134" s="18"/>
      <c r="AAK134" s="18"/>
      <c r="AAL134" s="18"/>
      <c r="AAM134" s="18"/>
      <c r="AAN134" s="18"/>
      <c r="AAO134" s="18"/>
      <c r="AAP134" s="18"/>
      <c r="AAQ134" s="18"/>
      <c r="AAR134" s="18"/>
      <c r="AAS134" s="18"/>
      <c r="AAT134" s="18"/>
      <c r="AAU134" s="18"/>
      <c r="AAV134" s="18"/>
      <c r="AAW134" s="18"/>
      <c r="AAX134" s="18"/>
      <c r="AAY134" s="18"/>
      <c r="AAZ134" s="18"/>
      <c r="ABA134" s="18"/>
      <c r="ABB134" s="18"/>
      <c r="ABC134" s="18"/>
      <c r="ABD134" s="18"/>
      <c r="ABE134" s="18"/>
      <c r="ABF134" s="18"/>
      <c r="ABG134" s="18"/>
      <c r="ABH134" s="18"/>
      <c r="ABI134" s="18"/>
      <c r="ABJ134" s="18"/>
      <c r="ABK134" s="18"/>
      <c r="ABL134" s="18"/>
      <c r="ABM134" s="18"/>
      <c r="ABN134" s="18"/>
      <c r="ABO134" s="18"/>
      <c r="ABP134" s="18"/>
      <c r="ABQ134" s="18"/>
      <c r="ABR134" s="18"/>
      <c r="ABS134" s="18"/>
      <c r="ABT134" s="18"/>
      <c r="ABU134" s="18"/>
      <c r="ABV134" s="18"/>
      <c r="ABW134" s="18"/>
      <c r="ABX134" s="18"/>
      <c r="ABY134" s="18"/>
      <c r="ABZ134" s="18"/>
      <c r="ACA134" s="18"/>
      <c r="ACB134" s="18"/>
      <c r="ACC134" s="18"/>
      <c r="ACD134" s="18"/>
      <c r="ACE134" s="18"/>
      <c r="ACF134" s="18"/>
      <c r="ACG134" s="18"/>
      <c r="ACH134" s="18"/>
      <c r="ACI134" s="18"/>
      <c r="ACJ134" s="18"/>
      <c r="ACK134" s="18"/>
      <c r="ACL134" s="18"/>
      <c r="ACM134" s="18"/>
      <c r="ACN134" s="18"/>
      <c r="ACO134" s="18"/>
      <c r="ACP134" s="18"/>
      <c r="ACQ134" s="18"/>
      <c r="ACR134" s="18"/>
      <c r="ACS134" s="18"/>
      <c r="ACT134" s="18"/>
      <c r="ACU134" s="18"/>
      <c r="ACV134" s="18"/>
      <c r="ACW134" s="18"/>
      <c r="ACX134" s="18"/>
      <c r="ACY134" s="18"/>
      <c r="ACZ134" s="18"/>
      <c r="ADA134" s="18"/>
      <c r="ADB134" s="18"/>
      <c r="ADC134" s="18"/>
      <c r="ADD134" s="18"/>
      <c r="ADE134" s="18"/>
      <c r="ADF134" s="18"/>
      <c r="ADG134" s="18"/>
      <c r="ADH134" s="18"/>
      <c r="ADI134" s="18"/>
      <c r="ADJ134" s="18"/>
      <c r="ADK134" s="18"/>
      <c r="ADL134" s="18"/>
      <c r="ADM134" s="18"/>
      <c r="ADN134" s="18"/>
      <c r="ADO134" s="18"/>
      <c r="ADP134" s="18"/>
      <c r="ADQ134" s="18"/>
      <c r="ADR134" s="18"/>
      <c r="ADS134" s="18"/>
      <c r="ADT134" s="18"/>
      <c r="ADU134" s="18"/>
      <c r="ADV134" s="18"/>
      <c r="ADW134" s="18"/>
      <c r="ADX134" s="18"/>
      <c r="ADY134" s="18"/>
      <c r="ADZ134" s="18"/>
      <c r="AEA134" s="18"/>
      <c r="AEB134" s="18"/>
      <c r="AEC134" s="18"/>
      <c r="AED134" s="18"/>
      <c r="AEE134" s="18"/>
      <c r="AEF134" s="18"/>
      <c r="AEG134" s="18"/>
      <c r="AEH134" s="18"/>
      <c r="AEI134" s="18"/>
      <c r="AEJ134" s="18"/>
      <c r="AEK134" s="18"/>
      <c r="AEL134" s="18"/>
      <c r="AEM134" s="18"/>
      <c r="AEN134" s="18"/>
      <c r="AEO134" s="18"/>
      <c r="AEP134" s="18"/>
      <c r="AEQ134" s="18"/>
      <c r="AER134" s="18"/>
      <c r="AES134" s="18"/>
      <c r="AET134" s="18"/>
      <c r="AEU134" s="18"/>
      <c r="AEV134" s="18"/>
      <c r="AEW134" s="18"/>
      <c r="AEX134" s="18"/>
      <c r="AEY134" s="18"/>
      <c r="AEZ134" s="18"/>
      <c r="AFA134" s="18"/>
      <c r="AFB134" s="18"/>
      <c r="AFC134" s="18"/>
      <c r="AFD134" s="18"/>
      <c r="AFE134" s="18"/>
      <c r="AFF134" s="18"/>
      <c r="AFG134" s="18"/>
      <c r="AFH134" s="18"/>
      <c r="AFI134" s="18"/>
      <c r="AFJ134" s="18"/>
      <c r="AFK134" s="18"/>
      <c r="AFL134" s="18"/>
      <c r="AFM134" s="18"/>
      <c r="AFN134" s="18"/>
      <c r="AFO134" s="18"/>
      <c r="AFP134" s="18"/>
      <c r="AFQ134" s="18"/>
      <c r="AFR134" s="18"/>
      <c r="AFS134" s="18"/>
      <c r="AFT134" s="18"/>
      <c r="AFU134" s="18"/>
      <c r="AFV134" s="18"/>
      <c r="AFW134" s="18"/>
      <c r="AFX134" s="18"/>
      <c r="AFY134" s="18"/>
      <c r="AFZ134" s="18"/>
      <c r="AGA134" s="18"/>
      <c r="AGB134" s="18"/>
      <c r="AGC134" s="18"/>
      <c r="AGD134" s="18"/>
      <c r="AGE134" s="18"/>
      <c r="AGF134" s="18"/>
      <c r="AGG134" s="18"/>
      <c r="AGH134" s="18"/>
      <c r="AGI134" s="18"/>
      <c r="AGJ134" s="18"/>
      <c r="AGK134" s="18"/>
      <c r="AGL134" s="18"/>
      <c r="AGM134" s="18"/>
      <c r="AGN134" s="18"/>
      <c r="AGO134" s="18"/>
      <c r="AGP134" s="18"/>
      <c r="AGQ134" s="18"/>
      <c r="AGR134" s="18"/>
      <c r="AGS134" s="18"/>
      <c r="AGT134" s="18"/>
      <c r="AGU134" s="18"/>
      <c r="AGV134" s="18"/>
      <c r="AGW134" s="18"/>
      <c r="AGX134" s="18"/>
      <c r="AGY134" s="18"/>
      <c r="AGZ134" s="18"/>
      <c r="AHA134" s="18"/>
      <c r="AHB134" s="18"/>
      <c r="AHC134" s="18"/>
      <c r="AHD134" s="18"/>
      <c r="AHE134" s="18"/>
      <c r="AHF134" s="18"/>
      <c r="AHG134" s="18"/>
      <c r="AHH134" s="18"/>
      <c r="AHI134" s="18"/>
      <c r="AHJ134" s="18"/>
      <c r="AHK134" s="18"/>
      <c r="AHL134" s="18"/>
      <c r="AHM134" s="18"/>
      <c r="AHN134" s="18"/>
      <c r="AHO134" s="18"/>
      <c r="AHP134" s="18"/>
      <c r="AHQ134" s="18"/>
      <c r="AHR134" s="18"/>
      <c r="AHS134" s="18"/>
      <c r="AHT134" s="18"/>
      <c r="AHU134" s="18"/>
      <c r="AHV134" s="18"/>
      <c r="AHW134" s="18"/>
      <c r="AHX134" s="18"/>
      <c r="AHY134" s="18"/>
      <c r="AHZ134" s="18"/>
      <c r="AIA134" s="18"/>
      <c r="AIB134" s="18"/>
      <c r="AIC134" s="18"/>
      <c r="AID134" s="18"/>
      <c r="AIE134" s="18"/>
      <c r="AIF134" s="18"/>
      <c r="AIG134" s="18"/>
      <c r="AIH134" s="18"/>
      <c r="AII134" s="18"/>
      <c r="AIJ134" s="18"/>
      <c r="AIK134" s="18"/>
      <c r="AIL134" s="18"/>
      <c r="AIM134" s="18"/>
      <c r="AIN134" s="18"/>
      <c r="AIO134" s="18"/>
      <c r="AIP134" s="18"/>
      <c r="AIQ134" s="18"/>
      <c r="AIR134" s="18"/>
      <c r="AIS134" s="18"/>
      <c r="AIT134" s="18"/>
      <c r="AIU134" s="18"/>
      <c r="AIV134" s="18"/>
      <c r="AIW134" s="18"/>
      <c r="AIX134" s="18"/>
      <c r="AIY134" s="18"/>
      <c r="AIZ134" s="18"/>
      <c r="AJA134" s="18"/>
      <c r="AJB134" s="18"/>
      <c r="AJC134" s="18"/>
      <c r="AJD134" s="18"/>
      <c r="AJE134" s="18"/>
      <c r="AJF134" s="18"/>
      <c r="AJG134" s="18"/>
      <c r="AJH134" s="18"/>
      <c r="AJI134" s="18"/>
      <c r="AJJ134" s="18"/>
      <c r="AJK134" s="18"/>
      <c r="AJL134" s="18"/>
      <c r="AJM134" s="18"/>
      <c r="AJN134" s="18"/>
      <c r="AJO134" s="18"/>
      <c r="AJP134" s="18"/>
      <c r="AJQ134" s="18"/>
      <c r="AJR134" s="18"/>
      <c r="AJS134" s="18"/>
      <c r="AJT134" s="18"/>
      <c r="AJU134" s="18"/>
      <c r="AJV134" s="18"/>
      <c r="AJW134" s="18"/>
      <c r="AJX134" s="18"/>
      <c r="AJY134" s="18"/>
      <c r="AJZ134" s="18"/>
      <c r="AKA134" s="18"/>
      <c r="AKB134" s="18"/>
      <c r="AKC134" s="18"/>
      <c r="AKD134" s="18"/>
      <c r="AKE134" s="18"/>
      <c r="AKF134" s="18"/>
      <c r="AKG134" s="18"/>
      <c r="AKH134" s="18"/>
      <c r="AKI134" s="18"/>
      <c r="AKJ134" s="18"/>
      <c r="AKK134" s="18"/>
      <c r="AKL134" s="18"/>
      <c r="AKM134" s="18"/>
      <c r="AKN134" s="18"/>
      <c r="AKO134" s="18"/>
      <c r="AKP134" s="18"/>
      <c r="AKQ134" s="18"/>
      <c r="AKR134" s="18"/>
      <c r="AKS134" s="18"/>
      <c r="AKT134" s="18"/>
      <c r="AKU134" s="18"/>
      <c r="AKV134" s="18"/>
      <c r="AKW134" s="18"/>
      <c r="AKX134" s="18"/>
      <c r="AKY134" s="18"/>
      <c r="AKZ134" s="18"/>
      <c r="ALA134" s="18"/>
      <c r="ALB134" s="18"/>
      <c r="ALC134" s="18"/>
      <c r="ALD134" s="18"/>
      <c r="ALE134" s="18"/>
      <c r="ALF134" s="18"/>
      <c r="ALG134" s="18"/>
      <c r="ALH134" s="18"/>
      <c r="ALI134" s="18"/>
      <c r="ALJ134" s="18"/>
      <c r="ALK134" s="18"/>
      <c r="ALL134" s="18"/>
      <c r="ALM134" s="18"/>
      <c r="ALN134" s="18"/>
      <c r="ALO134" s="18"/>
      <c r="ALP134" s="18"/>
      <c r="ALQ134" s="18"/>
      <c r="ALR134" s="18"/>
      <c r="ALS134" s="18"/>
      <c r="ALT134" s="18"/>
      <c r="ALU134" s="18"/>
      <c r="ALV134" s="18"/>
      <c r="ALW134" s="18"/>
      <c r="ALX134" s="18"/>
      <c r="ALY134" s="18"/>
      <c r="ALZ134" s="18"/>
      <c r="AMA134" s="18"/>
      <c r="AMB134" s="18"/>
      <c r="AMC134" s="18"/>
      <c r="AMD134" s="18"/>
      <c r="AME134" s="18"/>
      <c r="AMF134" s="18"/>
      <c r="AMG134" s="18"/>
      <c r="AMH134" s="18"/>
    </row>
    <row r="135" spans="1:1022" s="23" customFormat="1" x14ac:dyDescent="0.3">
      <c r="A135" s="33">
        <v>231</v>
      </c>
      <c r="B135" s="19"/>
      <c r="C135" s="19"/>
      <c r="D135" s="34"/>
      <c r="E135" s="34"/>
      <c r="F135" s="19"/>
      <c r="G135" s="19"/>
      <c r="H135" s="18"/>
      <c r="I135" s="31"/>
      <c r="J135" s="31"/>
      <c r="K135" s="31"/>
      <c r="L135" s="31"/>
      <c r="M135" s="32"/>
      <c r="N135" s="32"/>
      <c r="O135" s="18"/>
      <c r="P135" s="36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  <c r="BB135" s="18"/>
      <c r="BC135" s="18"/>
      <c r="BD135" s="18"/>
      <c r="BE135" s="18"/>
      <c r="BF135" s="18"/>
      <c r="BG135" s="18"/>
      <c r="BH135" s="18"/>
      <c r="BI135" s="18"/>
      <c r="BJ135" s="18"/>
      <c r="BK135" s="18"/>
      <c r="BL135" s="18"/>
      <c r="BM135" s="18"/>
      <c r="BN135" s="18"/>
      <c r="BO135" s="18"/>
      <c r="BP135" s="18"/>
      <c r="BQ135" s="18"/>
      <c r="BR135" s="18"/>
      <c r="BS135" s="18"/>
      <c r="BT135" s="18"/>
      <c r="BU135" s="18"/>
      <c r="BV135" s="18"/>
      <c r="BW135" s="18"/>
      <c r="BX135" s="18"/>
      <c r="BY135" s="18"/>
      <c r="BZ135" s="18"/>
      <c r="CA135" s="18"/>
      <c r="CB135" s="18"/>
      <c r="CC135" s="18"/>
      <c r="CD135" s="18"/>
      <c r="CE135" s="18"/>
      <c r="CF135" s="18"/>
      <c r="CG135" s="18"/>
      <c r="CH135" s="18"/>
      <c r="CI135" s="18"/>
      <c r="CJ135" s="18"/>
      <c r="CK135" s="18"/>
      <c r="CL135" s="18"/>
      <c r="CM135" s="18"/>
      <c r="CN135" s="18"/>
      <c r="CO135" s="18"/>
      <c r="CP135" s="18"/>
      <c r="CQ135" s="18"/>
      <c r="CR135" s="18"/>
      <c r="CS135" s="18"/>
      <c r="CT135" s="18"/>
      <c r="CU135" s="18"/>
      <c r="CV135" s="18"/>
      <c r="CW135" s="18"/>
      <c r="CX135" s="18"/>
      <c r="CY135" s="18"/>
      <c r="CZ135" s="18"/>
      <c r="DA135" s="18"/>
      <c r="DB135" s="18"/>
      <c r="DC135" s="18"/>
      <c r="DD135" s="18"/>
      <c r="DE135" s="18"/>
      <c r="DF135" s="18"/>
      <c r="DG135" s="18"/>
      <c r="DH135" s="18"/>
      <c r="DI135" s="18"/>
      <c r="DJ135" s="18"/>
      <c r="DK135" s="18"/>
      <c r="DL135" s="18"/>
      <c r="DM135" s="18"/>
      <c r="DN135" s="18"/>
      <c r="DO135" s="18"/>
      <c r="DP135" s="18"/>
      <c r="DQ135" s="18"/>
      <c r="DR135" s="18"/>
      <c r="DS135" s="18"/>
      <c r="DT135" s="18"/>
      <c r="DU135" s="18"/>
      <c r="DV135" s="18"/>
      <c r="DW135" s="18"/>
      <c r="DX135" s="18"/>
      <c r="DY135" s="18"/>
      <c r="DZ135" s="18"/>
      <c r="EA135" s="18"/>
      <c r="EB135" s="18"/>
      <c r="EC135" s="18"/>
      <c r="ED135" s="18"/>
      <c r="EE135" s="18"/>
      <c r="EF135" s="18"/>
      <c r="EG135" s="18"/>
      <c r="EH135" s="18"/>
      <c r="EI135" s="18"/>
      <c r="EJ135" s="18"/>
      <c r="EK135" s="18"/>
      <c r="EL135" s="18"/>
      <c r="EM135" s="18"/>
      <c r="EN135" s="18"/>
      <c r="EO135" s="18"/>
      <c r="EP135" s="18"/>
      <c r="EQ135" s="18"/>
      <c r="ER135" s="18"/>
      <c r="ES135" s="18"/>
      <c r="ET135" s="18"/>
      <c r="EU135" s="18"/>
      <c r="EV135" s="18"/>
      <c r="EW135" s="18"/>
      <c r="EX135" s="18"/>
      <c r="EY135" s="18"/>
      <c r="EZ135" s="18"/>
      <c r="FA135" s="18"/>
      <c r="FB135" s="18"/>
      <c r="FC135" s="18"/>
      <c r="FD135" s="18"/>
      <c r="FE135" s="18"/>
      <c r="FF135" s="18"/>
      <c r="FG135" s="18"/>
      <c r="FH135" s="18"/>
      <c r="FI135" s="18"/>
      <c r="FJ135" s="18"/>
      <c r="FK135" s="18"/>
      <c r="FL135" s="18"/>
      <c r="FM135" s="18"/>
      <c r="FN135" s="18"/>
      <c r="FO135" s="18"/>
      <c r="FP135" s="18"/>
      <c r="FQ135" s="18"/>
      <c r="FR135" s="18"/>
      <c r="FS135" s="18"/>
      <c r="FT135" s="18"/>
      <c r="FU135" s="18"/>
      <c r="FV135" s="18"/>
      <c r="FW135" s="18"/>
      <c r="FX135" s="18"/>
      <c r="FY135" s="18"/>
      <c r="FZ135" s="18"/>
      <c r="GA135" s="18"/>
      <c r="GB135" s="18"/>
      <c r="GC135" s="18"/>
      <c r="GD135" s="18"/>
      <c r="GE135" s="18"/>
      <c r="GF135" s="18"/>
      <c r="GG135" s="18"/>
      <c r="GH135" s="18"/>
      <c r="GI135" s="18"/>
      <c r="GJ135" s="18"/>
      <c r="GK135" s="18"/>
      <c r="GL135" s="18"/>
      <c r="GM135" s="18"/>
      <c r="GN135" s="18"/>
      <c r="GO135" s="18"/>
      <c r="GP135" s="18"/>
      <c r="GQ135" s="18"/>
      <c r="GR135" s="18"/>
      <c r="GS135" s="18"/>
      <c r="GT135" s="18"/>
      <c r="GU135" s="18"/>
      <c r="GV135" s="18"/>
      <c r="GW135" s="18"/>
      <c r="GX135" s="18"/>
      <c r="GY135" s="18"/>
      <c r="GZ135" s="18"/>
      <c r="HA135" s="18"/>
      <c r="HB135" s="18"/>
      <c r="HC135" s="18"/>
      <c r="HD135" s="18"/>
      <c r="HE135" s="18"/>
      <c r="HF135" s="18"/>
      <c r="HG135" s="18"/>
      <c r="HH135" s="18"/>
      <c r="HI135" s="18"/>
      <c r="HJ135" s="18"/>
      <c r="HK135" s="18"/>
      <c r="HL135" s="18"/>
      <c r="HM135" s="18"/>
      <c r="HN135" s="18"/>
      <c r="HO135" s="18"/>
      <c r="HP135" s="18"/>
      <c r="HQ135" s="18"/>
      <c r="HR135" s="18"/>
      <c r="HS135" s="18"/>
      <c r="HT135" s="18"/>
      <c r="HU135" s="18"/>
      <c r="HV135" s="18"/>
      <c r="HW135" s="18"/>
      <c r="HX135" s="18"/>
      <c r="HY135" s="18"/>
      <c r="HZ135" s="18"/>
      <c r="IA135" s="18"/>
      <c r="IB135" s="18"/>
      <c r="IC135" s="18"/>
      <c r="ID135" s="18"/>
      <c r="IE135" s="18"/>
      <c r="IF135" s="18"/>
      <c r="IG135" s="18"/>
      <c r="IH135" s="18"/>
      <c r="II135" s="18"/>
      <c r="IJ135" s="18"/>
      <c r="IK135" s="18"/>
      <c r="IL135" s="18"/>
      <c r="IM135" s="18"/>
      <c r="IN135" s="18"/>
      <c r="IO135" s="18"/>
      <c r="IP135" s="18"/>
      <c r="IQ135" s="18"/>
      <c r="IR135" s="18"/>
      <c r="IS135" s="18"/>
      <c r="IT135" s="18"/>
      <c r="IU135" s="18"/>
      <c r="IV135" s="18"/>
      <c r="IW135" s="18"/>
      <c r="IX135" s="18"/>
      <c r="IY135" s="18"/>
      <c r="IZ135" s="18"/>
      <c r="JA135" s="18"/>
      <c r="JB135" s="18"/>
      <c r="JC135" s="18"/>
      <c r="JD135" s="18"/>
      <c r="JE135" s="18"/>
      <c r="JF135" s="18"/>
      <c r="JG135" s="18"/>
      <c r="JH135" s="18"/>
      <c r="JI135" s="18"/>
      <c r="JJ135" s="18"/>
      <c r="JK135" s="18"/>
      <c r="JL135" s="18"/>
      <c r="JM135" s="18"/>
      <c r="JN135" s="18"/>
      <c r="JO135" s="18"/>
      <c r="JP135" s="18"/>
      <c r="JQ135" s="18"/>
      <c r="JR135" s="18"/>
      <c r="JS135" s="18"/>
      <c r="JT135" s="18"/>
      <c r="JU135" s="18"/>
      <c r="JV135" s="18"/>
      <c r="JW135" s="18"/>
      <c r="JX135" s="18"/>
      <c r="JY135" s="18"/>
      <c r="JZ135" s="18"/>
      <c r="KA135" s="18"/>
      <c r="KB135" s="18"/>
      <c r="KC135" s="18"/>
      <c r="KD135" s="18"/>
      <c r="KE135" s="18"/>
      <c r="KF135" s="18"/>
      <c r="KG135" s="18"/>
      <c r="KH135" s="18"/>
      <c r="KI135" s="18"/>
      <c r="KJ135" s="18"/>
      <c r="KK135" s="18"/>
      <c r="KL135" s="18"/>
      <c r="KM135" s="18"/>
      <c r="KN135" s="18"/>
      <c r="KO135" s="18"/>
      <c r="KP135" s="18"/>
      <c r="KQ135" s="18"/>
      <c r="KR135" s="18"/>
      <c r="KS135" s="18"/>
      <c r="KT135" s="18"/>
      <c r="KU135" s="18"/>
      <c r="KV135" s="18"/>
      <c r="KW135" s="18"/>
      <c r="KX135" s="18"/>
      <c r="KY135" s="18"/>
      <c r="KZ135" s="18"/>
      <c r="LA135" s="18"/>
      <c r="LB135" s="18"/>
      <c r="LC135" s="18"/>
      <c r="LD135" s="18"/>
      <c r="LE135" s="18"/>
      <c r="LF135" s="18"/>
      <c r="LG135" s="18"/>
      <c r="LH135" s="18"/>
      <c r="LI135" s="18"/>
      <c r="LJ135" s="18"/>
      <c r="LK135" s="18"/>
      <c r="LL135" s="18"/>
      <c r="LM135" s="18"/>
      <c r="LN135" s="18"/>
      <c r="LO135" s="18"/>
      <c r="LP135" s="18"/>
      <c r="LQ135" s="18"/>
      <c r="LR135" s="18"/>
      <c r="LS135" s="18"/>
      <c r="LT135" s="18"/>
      <c r="LU135" s="18"/>
      <c r="LV135" s="18"/>
      <c r="LW135" s="18"/>
      <c r="LX135" s="18"/>
      <c r="LY135" s="18"/>
      <c r="LZ135" s="18"/>
      <c r="MA135" s="18"/>
      <c r="MB135" s="18"/>
      <c r="MC135" s="18"/>
      <c r="MD135" s="18"/>
      <c r="ME135" s="18"/>
      <c r="MF135" s="18"/>
      <c r="MG135" s="18"/>
      <c r="MH135" s="18"/>
      <c r="MI135" s="18"/>
      <c r="MJ135" s="18"/>
      <c r="MK135" s="18"/>
      <c r="ML135" s="18"/>
      <c r="MM135" s="18"/>
      <c r="MN135" s="18"/>
      <c r="MO135" s="18"/>
      <c r="MP135" s="18"/>
      <c r="MQ135" s="18"/>
      <c r="MR135" s="18"/>
      <c r="MS135" s="18"/>
      <c r="MT135" s="18"/>
      <c r="MU135" s="18"/>
      <c r="MV135" s="18"/>
      <c r="MW135" s="18"/>
      <c r="MX135" s="18"/>
      <c r="MY135" s="18"/>
      <c r="MZ135" s="18"/>
      <c r="NA135" s="18"/>
      <c r="NB135" s="18"/>
      <c r="NC135" s="18"/>
      <c r="ND135" s="18"/>
      <c r="NE135" s="18"/>
      <c r="NF135" s="18"/>
      <c r="NG135" s="18"/>
      <c r="NH135" s="18"/>
      <c r="NI135" s="18"/>
      <c r="NJ135" s="18"/>
      <c r="NK135" s="18"/>
      <c r="NL135" s="18"/>
      <c r="NM135" s="18"/>
      <c r="NN135" s="18"/>
      <c r="NO135" s="18"/>
      <c r="NP135" s="18"/>
      <c r="NQ135" s="18"/>
      <c r="NR135" s="18"/>
      <c r="NS135" s="18"/>
      <c r="NT135" s="18"/>
      <c r="NU135" s="18"/>
      <c r="NV135" s="18"/>
      <c r="NW135" s="18"/>
      <c r="NX135" s="18"/>
      <c r="NY135" s="18"/>
      <c r="NZ135" s="18"/>
      <c r="OA135" s="18"/>
      <c r="OB135" s="18"/>
      <c r="OC135" s="18"/>
      <c r="OD135" s="18"/>
      <c r="OE135" s="18"/>
      <c r="OF135" s="18"/>
      <c r="OG135" s="18"/>
      <c r="OH135" s="18"/>
      <c r="OI135" s="18"/>
      <c r="OJ135" s="18"/>
      <c r="OK135" s="18"/>
      <c r="OL135" s="18"/>
      <c r="OM135" s="18"/>
      <c r="ON135" s="18"/>
      <c r="OO135" s="18"/>
      <c r="OP135" s="18"/>
      <c r="OQ135" s="18"/>
      <c r="OR135" s="18"/>
      <c r="OS135" s="18"/>
      <c r="OT135" s="18"/>
      <c r="OU135" s="18"/>
      <c r="OV135" s="18"/>
      <c r="OW135" s="18"/>
      <c r="OX135" s="18"/>
      <c r="OY135" s="18"/>
      <c r="OZ135" s="18"/>
      <c r="PA135" s="18"/>
      <c r="PB135" s="18"/>
      <c r="PC135" s="18"/>
      <c r="PD135" s="18"/>
      <c r="PE135" s="18"/>
      <c r="PF135" s="18"/>
      <c r="PG135" s="18"/>
      <c r="PH135" s="18"/>
      <c r="PI135" s="18"/>
      <c r="PJ135" s="18"/>
      <c r="PK135" s="18"/>
      <c r="PL135" s="18"/>
      <c r="PM135" s="18"/>
      <c r="PN135" s="18"/>
      <c r="PO135" s="18"/>
      <c r="PP135" s="18"/>
      <c r="PQ135" s="18"/>
      <c r="PR135" s="18"/>
      <c r="PS135" s="18"/>
      <c r="PT135" s="18"/>
      <c r="PU135" s="18"/>
      <c r="PV135" s="18"/>
      <c r="PW135" s="18"/>
      <c r="PX135" s="18"/>
      <c r="PY135" s="18"/>
      <c r="PZ135" s="18"/>
      <c r="QA135" s="18"/>
      <c r="QB135" s="18"/>
      <c r="QC135" s="18"/>
      <c r="QD135" s="18"/>
      <c r="QE135" s="18"/>
      <c r="QF135" s="18"/>
      <c r="QG135" s="18"/>
      <c r="QH135" s="18"/>
      <c r="QI135" s="18"/>
      <c r="QJ135" s="18"/>
      <c r="QK135" s="18"/>
      <c r="QL135" s="18"/>
      <c r="QM135" s="18"/>
      <c r="QN135" s="18"/>
      <c r="QO135" s="18"/>
      <c r="QP135" s="18"/>
      <c r="QQ135" s="18"/>
      <c r="QR135" s="18"/>
      <c r="QS135" s="18"/>
      <c r="QT135" s="18"/>
      <c r="QU135" s="18"/>
      <c r="QV135" s="18"/>
      <c r="QW135" s="18"/>
      <c r="QX135" s="18"/>
      <c r="QY135" s="18"/>
      <c r="QZ135" s="18"/>
      <c r="RA135" s="18"/>
      <c r="RB135" s="18"/>
      <c r="RC135" s="18"/>
      <c r="RD135" s="18"/>
      <c r="RE135" s="18"/>
      <c r="RF135" s="18"/>
      <c r="RG135" s="18"/>
      <c r="RH135" s="18"/>
      <c r="RI135" s="18"/>
      <c r="RJ135" s="18"/>
      <c r="RK135" s="18"/>
      <c r="RL135" s="18"/>
      <c r="RM135" s="18"/>
      <c r="RN135" s="18"/>
      <c r="RO135" s="18"/>
      <c r="RP135" s="18"/>
      <c r="RQ135" s="18"/>
      <c r="RR135" s="18"/>
      <c r="RS135" s="18"/>
      <c r="RT135" s="18"/>
      <c r="RU135" s="18"/>
      <c r="RV135" s="18"/>
      <c r="RW135" s="18"/>
      <c r="RX135" s="18"/>
      <c r="RY135" s="18"/>
      <c r="RZ135" s="18"/>
      <c r="SA135" s="18"/>
      <c r="SB135" s="18"/>
      <c r="SC135" s="18"/>
      <c r="SD135" s="18"/>
      <c r="SE135" s="18"/>
      <c r="SF135" s="18"/>
      <c r="SG135" s="18"/>
      <c r="SH135" s="18"/>
      <c r="SI135" s="18"/>
      <c r="SJ135" s="18"/>
      <c r="SK135" s="18"/>
      <c r="SL135" s="18"/>
      <c r="SM135" s="18"/>
      <c r="SN135" s="18"/>
      <c r="SO135" s="18"/>
      <c r="SP135" s="18"/>
      <c r="SQ135" s="18"/>
      <c r="SR135" s="18"/>
      <c r="SS135" s="18"/>
      <c r="ST135" s="18"/>
      <c r="SU135" s="18"/>
      <c r="SV135" s="18"/>
      <c r="SW135" s="18"/>
      <c r="SX135" s="18"/>
      <c r="SY135" s="18"/>
      <c r="SZ135" s="18"/>
      <c r="TA135" s="18"/>
      <c r="TB135" s="18"/>
      <c r="TC135" s="18"/>
      <c r="TD135" s="18"/>
      <c r="TE135" s="18"/>
      <c r="TF135" s="18"/>
      <c r="TG135" s="18"/>
      <c r="TH135" s="18"/>
      <c r="TI135" s="18"/>
      <c r="TJ135" s="18"/>
      <c r="TK135" s="18"/>
      <c r="TL135" s="18"/>
      <c r="TM135" s="18"/>
      <c r="TN135" s="18"/>
      <c r="TO135" s="18"/>
      <c r="TP135" s="18"/>
      <c r="TQ135" s="18"/>
      <c r="TR135" s="18"/>
      <c r="TS135" s="18"/>
      <c r="TT135" s="18"/>
      <c r="TU135" s="18"/>
      <c r="TV135" s="18"/>
      <c r="TW135" s="18"/>
      <c r="TX135" s="18"/>
      <c r="TY135" s="18"/>
      <c r="TZ135" s="18"/>
      <c r="UA135" s="18"/>
      <c r="UB135" s="18"/>
      <c r="UC135" s="18"/>
      <c r="UD135" s="18"/>
      <c r="UE135" s="18"/>
      <c r="UF135" s="18"/>
      <c r="UG135" s="18"/>
      <c r="UH135" s="18"/>
      <c r="UI135" s="18"/>
      <c r="UJ135" s="18"/>
      <c r="UK135" s="18"/>
      <c r="UL135" s="18"/>
      <c r="UM135" s="18"/>
      <c r="UN135" s="18"/>
      <c r="UO135" s="18"/>
      <c r="UP135" s="18"/>
      <c r="UQ135" s="18"/>
      <c r="UR135" s="18"/>
      <c r="US135" s="18"/>
      <c r="UT135" s="18"/>
      <c r="UU135" s="18"/>
      <c r="UV135" s="18"/>
      <c r="UW135" s="18"/>
      <c r="UX135" s="18"/>
      <c r="UY135" s="18"/>
      <c r="UZ135" s="18"/>
      <c r="VA135" s="18"/>
      <c r="VB135" s="18"/>
      <c r="VC135" s="18"/>
      <c r="VD135" s="18"/>
      <c r="VE135" s="18"/>
      <c r="VF135" s="18"/>
      <c r="VG135" s="18"/>
      <c r="VH135" s="18"/>
      <c r="VI135" s="18"/>
      <c r="VJ135" s="18"/>
      <c r="VK135" s="18"/>
      <c r="VL135" s="18"/>
      <c r="VM135" s="18"/>
      <c r="VN135" s="18"/>
      <c r="VO135" s="18"/>
      <c r="VP135" s="18"/>
      <c r="VQ135" s="18"/>
      <c r="VR135" s="18"/>
      <c r="VS135" s="18"/>
      <c r="VT135" s="18"/>
      <c r="VU135" s="18"/>
      <c r="VV135" s="18"/>
      <c r="VW135" s="18"/>
      <c r="VX135" s="18"/>
      <c r="VY135" s="18"/>
      <c r="VZ135" s="18"/>
      <c r="WA135" s="18"/>
      <c r="WB135" s="18"/>
      <c r="WC135" s="18"/>
      <c r="WD135" s="18"/>
      <c r="WE135" s="18"/>
      <c r="WF135" s="18"/>
      <c r="WG135" s="18"/>
      <c r="WH135" s="18"/>
      <c r="WI135" s="18"/>
      <c r="WJ135" s="18"/>
      <c r="WK135" s="18"/>
      <c r="WL135" s="18"/>
      <c r="WM135" s="18"/>
      <c r="WN135" s="18"/>
      <c r="WO135" s="18"/>
      <c r="WP135" s="18"/>
      <c r="WQ135" s="18"/>
      <c r="WR135" s="18"/>
      <c r="WS135" s="18"/>
      <c r="WT135" s="18"/>
      <c r="WU135" s="18"/>
      <c r="WV135" s="18"/>
      <c r="WW135" s="18"/>
      <c r="WX135" s="18"/>
      <c r="WY135" s="18"/>
      <c r="WZ135" s="18"/>
      <c r="XA135" s="18"/>
      <c r="XB135" s="18"/>
      <c r="XC135" s="18"/>
      <c r="XD135" s="18"/>
      <c r="XE135" s="18"/>
      <c r="XF135" s="18"/>
      <c r="XG135" s="18"/>
      <c r="XH135" s="18"/>
      <c r="XI135" s="18"/>
      <c r="XJ135" s="18"/>
      <c r="XK135" s="18"/>
      <c r="XL135" s="18"/>
      <c r="XM135" s="18"/>
      <c r="XN135" s="18"/>
      <c r="XO135" s="18"/>
      <c r="XP135" s="18"/>
      <c r="XQ135" s="18"/>
      <c r="XR135" s="18"/>
      <c r="XS135" s="18"/>
      <c r="XT135" s="18"/>
      <c r="XU135" s="18"/>
      <c r="XV135" s="18"/>
      <c r="XW135" s="18"/>
      <c r="XX135" s="18"/>
      <c r="XY135" s="18"/>
      <c r="XZ135" s="18"/>
      <c r="YA135" s="18"/>
      <c r="YB135" s="18"/>
      <c r="YC135" s="18"/>
      <c r="YD135" s="18"/>
      <c r="YE135" s="18"/>
      <c r="YF135" s="18"/>
      <c r="YG135" s="18"/>
      <c r="YH135" s="18"/>
      <c r="YI135" s="18"/>
      <c r="YJ135" s="18"/>
      <c r="YK135" s="18"/>
      <c r="YL135" s="18"/>
      <c r="YM135" s="18"/>
      <c r="YN135" s="18"/>
      <c r="YO135" s="18"/>
      <c r="YP135" s="18"/>
      <c r="YQ135" s="18"/>
      <c r="YR135" s="18"/>
      <c r="YS135" s="18"/>
      <c r="YT135" s="18"/>
      <c r="YU135" s="18"/>
      <c r="YV135" s="18"/>
      <c r="YW135" s="18"/>
      <c r="YX135" s="18"/>
      <c r="YY135" s="18"/>
      <c r="YZ135" s="18"/>
      <c r="ZA135" s="18"/>
      <c r="ZB135" s="18"/>
      <c r="ZC135" s="18"/>
      <c r="ZD135" s="18"/>
      <c r="ZE135" s="18"/>
      <c r="ZF135" s="18"/>
      <c r="ZG135" s="18"/>
      <c r="ZH135" s="18"/>
      <c r="ZI135" s="18"/>
      <c r="ZJ135" s="18"/>
      <c r="ZK135" s="18"/>
      <c r="ZL135" s="18"/>
      <c r="ZM135" s="18"/>
      <c r="ZN135" s="18"/>
      <c r="ZO135" s="18"/>
      <c r="ZP135" s="18"/>
      <c r="ZQ135" s="18"/>
      <c r="ZR135" s="18"/>
      <c r="ZS135" s="18"/>
      <c r="ZT135" s="18"/>
      <c r="ZU135" s="18"/>
      <c r="ZV135" s="18"/>
      <c r="ZW135" s="18"/>
      <c r="ZX135" s="18"/>
      <c r="ZY135" s="18"/>
      <c r="ZZ135" s="18"/>
      <c r="AAA135" s="18"/>
      <c r="AAB135" s="18"/>
      <c r="AAC135" s="18"/>
      <c r="AAD135" s="18"/>
      <c r="AAE135" s="18"/>
      <c r="AAF135" s="18"/>
      <c r="AAG135" s="18"/>
      <c r="AAH135" s="18"/>
      <c r="AAI135" s="18"/>
      <c r="AAJ135" s="18"/>
      <c r="AAK135" s="18"/>
      <c r="AAL135" s="18"/>
      <c r="AAM135" s="18"/>
      <c r="AAN135" s="18"/>
      <c r="AAO135" s="18"/>
      <c r="AAP135" s="18"/>
      <c r="AAQ135" s="18"/>
      <c r="AAR135" s="18"/>
      <c r="AAS135" s="18"/>
      <c r="AAT135" s="18"/>
      <c r="AAU135" s="18"/>
      <c r="AAV135" s="18"/>
      <c r="AAW135" s="18"/>
      <c r="AAX135" s="18"/>
      <c r="AAY135" s="18"/>
      <c r="AAZ135" s="18"/>
      <c r="ABA135" s="18"/>
      <c r="ABB135" s="18"/>
      <c r="ABC135" s="18"/>
      <c r="ABD135" s="18"/>
      <c r="ABE135" s="18"/>
      <c r="ABF135" s="18"/>
      <c r="ABG135" s="18"/>
      <c r="ABH135" s="18"/>
      <c r="ABI135" s="18"/>
      <c r="ABJ135" s="18"/>
      <c r="ABK135" s="18"/>
      <c r="ABL135" s="18"/>
      <c r="ABM135" s="18"/>
      <c r="ABN135" s="18"/>
      <c r="ABO135" s="18"/>
      <c r="ABP135" s="18"/>
      <c r="ABQ135" s="18"/>
      <c r="ABR135" s="18"/>
      <c r="ABS135" s="18"/>
      <c r="ABT135" s="18"/>
      <c r="ABU135" s="18"/>
      <c r="ABV135" s="18"/>
      <c r="ABW135" s="18"/>
      <c r="ABX135" s="18"/>
      <c r="ABY135" s="18"/>
      <c r="ABZ135" s="18"/>
      <c r="ACA135" s="18"/>
      <c r="ACB135" s="18"/>
      <c r="ACC135" s="18"/>
      <c r="ACD135" s="18"/>
      <c r="ACE135" s="18"/>
      <c r="ACF135" s="18"/>
      <c r="ACG135" s="18"/>
      <c r="ACH135" s="18"/>
      <c r="ACI135" s="18"/>
      <c r="ACJ135" s="18"/>
      <c r="ACK135" s="18"/>
      <c r="ACL135" s="18"/>
      <c r="ACM135" s="18"/>
      <c r="ACN135" s="18"/>
      <c r="ACO135" s="18"/>
      <c r="ACP135" s="18"/>
      <c r="ACQ135" s="18"/>
      <c r="ACR135" s="18"/>
      <c r="ACS135" s="18"/>
      <c r="ACT135" s="18"/>
      <c r="ACU135" s="18"/>
      <c r="ACV135" s="18"/>
      <c r="ACW135" s="18"/>
      <c r="ACX135" s="18"/>
      <c r="ACY135" s="18"/>
      <c r="ACZ135" s="18"/>
      <c r="ADA135" s="18"/>
      <c r="ADB135" s="18"/>
      <c r="ADC135" s="18"/>
      <c r="ADD135" s="18"/>
      <c r="ADE135" s="18"/>
      <c r="ADF135" s="18"/>
      <c r="ADG135" s="18"/>
      <c r="ADH135" s="18"/>
      <c r="ADI135" s="18"/>
      <c r="ADJ135" s="18"/>
      <c r="ADK135" s="18"/>
      <c r="ADL135" s="18"/>
      <c r="ADM135" s="18"/>
      <c r="ADN135" s="18"/>
      <c r="ADO135" s="18"/>
      <c r="ADP135" s="18"/>
      <c r="ADQ135" s="18"/>
      <c r="ADR135" s="18"/>
      <c r="ADS135" s="18"/>
      <c r="ADT135" s="18"/>
      <c r="ADU135" s="18"/>
      <c r="ADV135" s="18"/>
      <c r="ADW135" s="18"/>
      <c r="ADX135" s="18"/>
      <c r="ADY135" s="18"/>
      <c r="ADZ135" s="18"/>
      <c r="AEA135" s="18"/>
      <c r="AEB135" s="18"/>
      <c r="AEC135" s="18"/>
      <c r="AED135" s="18"/>
      <c r="AEE135" s="18"/>
      <c r="AEF135" s="18"/>
      <c r="AEG135" s="18"/>
      <c r="AEH135" s="18"/>
      <c r="AEI135" s="18"/>
      <c r="AEJ135" s="18"/>
      <c r="AEK135" s="18"/>
      <c r="AEL135" s="18"/>
      <c r="AEM135" s="18"/>
      <c r="AEN135" s="18"/>
      <c r="AEO135" s="18"/>
      <c r="AEP135" s="18"/>
      <c r="AEQ135" s="18"/>
      <c r="AER135" s="18"/>
      <c r="AES135" s="18"/>
      <c r="AET135" s="18"/>
      <c r="AEU135" s="18"/>
      <c r="AEV135" s="18"/>
      <c r="AEW135" s="18"/>
      <c r="AEX135" s="18"/>
      <c r="AEY135" s="18"/>
      <c r="AEZ135" s="18"/>
      <c r="AFA135" s="18"/>
      <c r="AFB135" s="18"/>
      <c r="AFC135" s="18"/>
      <c r="AFD135" s="18"/>
      <c r="AFE135" s="18"/>
      <c r="AFF135" s="18"/>
      <c r="AFG135" s="18"/>
      <c r="AFH135" s="18"/>
      <c r="AFI135" s="18"/>
      <c r="AFJ135" s="18"/>
      <c r="AFK135" s="18"/>
      <c r="AFL135" s="18"/>
      <c r="AFM135" s="18"/>
      <c r="AFN135" s="18"/>
      <c r="AFO135" s="18"/>
      <c r="AFP135" s="18"/>
      <c r="AFQ135" s="18"/>
      <c r="AFR135" s="18"/>
      <c r="AFS135" s="18"/>
      <c r="AFT135" s="18"/>
      <c r="AFU135" s="18"/>
      <c r="AFV135" s="18"/>
      <c r="AFW135" s="18"/>
      <c r="AFX135" s="18"/>
      <c r="AFY135" s="18"/>
      <c r="AFZ135" s="18"/>
      <c r="AGA135" s="18"/>
      <c r="AGB135" s="18"/>
      <c r="AGC135" s="18"/>
      <c r="AGD135" s="18"/>
      <c r="AGE135" s="18"/>
      <c r="AGF135" s="18"/>
      <c r="AGG135" s="18"/>
      <c r="AGH135" s="18"/>
      <c r="AGI135" s="18"/>
      <c r="AGJ135" s="18"/>
      <c r="AGK135" s="18"/>
      <c r="AGL135" s="18"/>
      <c r="AGM135" s="18"/>
      <c r="AGN135" s="18"/>
      <c r="AGO135" s="18"/>
      <c r="AGP135" s="18"/>
      <c r="AGQ135" s="18"/>
      <c r="AGR135" s="18"/>
      <c r="AGS135" s="18"/>
      <c r="AGT135" s="18"/>
      <c r="AGU135" s="18"/>
      <c r="AGV135" s="18"/>
      <c r="AGW135" s="18"/>
      <c r="AGX135" s="18"/>
      <c r="AGY135" s="18"/>
      <c r="AGZ135" s="18"/>
      <c r="AHA135" s="18"/>
      <c r="AHB135" s="18"/>
      <c r="AHC135" s="18"/>
      <c r="AHD135" s="18"/>
      <c r="AHE135" s="18"/>
      <c r="AHF135" s="18"/>
      <c r="AHG135" s="18"/>
      <c r="AHH135" s="18"/>
      <c r="AHI135" s="18"/>
      <c r="AHJ135" s="18"/>
      <c r="AHK135" s="18"/>
      <c r="AHL135" s="18"/>
      <c r="AHM135" s="18"/>
      <c r="AHN135" s="18"/>
      <c r="AHO135" s="18"/>
      <c r="AHP135" s="18"/>
      <c r="AHQ135" s="18"/>
      <c r="AHR135" s="18"/>
      <c r="AHS135" s="18"/>
      <c r="AHT135" s="18"/>
      <c r="AHU135" s="18"/>
      <c r="AHV135" s="18"/>
      <c r="AHW135" s="18"/>
      <c r="AHX135" s="18"/>
      <c r="AHY135" s="18"/>
      <c r="AHZ135" s="18"/>
      <c r="AIA135" s="18"/>
      <c r="AIB135" s="18"/>
      <c r="AIC135" s="18"/>
      <c r="AID135" s="18"/>
      <c r="AIE135" s="18"/>
      <c r="AIF135" s="18"/>
      <c r="AIG135" s="18"/>
      <c r="AIH135" s="18"/>
      <c r="AII135" s="18"/>
      <c r="AIJ135" s="18"/>
      <c r="AIK135" s="18"/>
      <c r="AIL135" s="18"/>
      <c r="AIM135" s="18"/>
      <c r="AIN135" s="18"/>
      <c r="AIO135" s="18"/>
      <c r="AIP135" s="18"/>
      <c r="AIQ135" s="18"/>
      <c r="AIR135" s="18"/>
      <c r="AIS135" s="18"/>
      <c r="AIT135" s="18"/>
      <c r="AIU135" s="18"/>
      <c r="AIV135" s="18"/>
      <c r="AIW135" s="18"/>
      <c r="AIX135" s="18"/>
      <c r="AIY135" s="18"/>
      <c r="AIZ135" s="18"/>
      <c r="AJA135" s="18"/>
      <c r="AJB135" s="18"/>
      <c r="AJC135" s="18"/>
      <c r="AJD135" s="18"/>
      <c r="AJE135" s="18"/>
      <c r="AJF135" s="18"/>
      <c r="AJG135" s="18"/>
      <c r="AJH135" s="18"/>
      <c r="AJI135" s="18"/>
      <c r="AJJ135" s="18"/>
      <c r="AJK135" s="18"/>
      <c r="AJL135" s="18"/>
      <c r="AJM135" s="18"/>
      <c r="AJN135" s="18"/>
      <c r="AJO135" s="18"/>
      <c r="AJP135" s="18"/>
      <c r="AJQ135" s="18"/>
      <c r="AJR135" s="18"/>
      <c r="AJS135" s="18"/>
      <c r="AJT135" s="18"/>
      <c r="AJU135" s="18"/>
      <c r="AJV135" s="18"/>
      <c r="AJW135" s="18"/>
      <c r="AJX135" s="18"/>
      <c r="AJY135" s="18"/>
      <c r="AJZ135" s="18"/>
      <c r="AKA135" s="18"/>
      <c r="AKB135" s="18"/>
      <c r="AKC135" s="18"/>
      <c r="AKD135" s="18"/>
      <c r="AKE135" s="18"/>
      <c r="AKF135" s="18"/>
      <c r="AKG135" s="18"/>
      <c r="AKH135" s="18"/>
      <c r="AKI135" s="18"/>
      <c r="AKJ135" s="18"/>
      <c r="AKK135" s="18"/>
      <c r="AKL135" s="18"/>
      <c r="AKM135" s="18"/>
      <c r="AKN135" s="18"/>
      <c r="AKO135" s="18"/>
      <c r="AKP135" s="18"/>
      <c r="AKQ135" s="18"/>
      <c r="AKR135" s="18"/>
      <c r="AKS135" s="18"/>
      <c r="AKT135" s="18"/>
      <c r="AKU135" s="18"/>
      <c r="AKV135" s="18"/>
      <c r="AKW135" s="18"/>
      <c r="AKX135" s="18"/>
      <c r="AKY135" s="18"/>
      <c r="AKZ135" s="18"/>
      <c r="ALA135" s="18"/>
      <c r="ALB135" s="18"/>
      <c r="ALC135" s="18"/>
      <c r="ALD135" s="18"/>
      <c r="ALE135" s="18"/>
      <c r="ALF135" s="18"/>
      <c r="ALG135" s="18"/>
      <c r="ALH135" s="18"/>
      <c r="ALI135" s="18"/>
      <c r="ALJ135" s="18"/>
      <c r="ALK135" s="18"/>
      <c r="ALL135" s="18"/>
      <c r="ALM135" s="18"/>
      <c r="ALN135" s="18"/>
      <c r="ALO135" s="18"/>
      <c r="ALP135" s="18"/>
      <c r="ALQ135" s="18"/>
      <c r="ALR135" s="18"/>
      <c r="ALS135" s="18"/>
      <c r="ALT135" s="18"/>
      <c r="ALU135" s="18"/>
      <c r="ALV135" s="18"/>
      <c r="ALW135" s="18"/>
      <c r="ALX135" s="18"/>
      <c r="ALY135" s="18"/>
      <c r="ALZ135" s="18"/>
      <c r="AMA135" s="18"/>
      <c r="AMB135" s="18"/>
      <c r="AMC135" s="18"/>
      <c r="AMD135" s="18"/>
      <c r="AME135" s="18"/>
      <c r="AMF135" s="18"/>
      <c r="AMG135" s="18"/>
      <c r="AMH135" s="18"/>
    </row>
    <row r="136" spans="1:1022" s="23" customFormat="1" x14ac:dyDescent="0.3">
      <c r="A136" s="33">
        <v>232</v>
      </c>
      <c r="B136" s="19"/>
      <c r="C136" s="19"/>
      <c r="D136" s="34"/>
      <c r="E136" s="34"/>
      <c r="F136" s="19"/>
      <c r="G136" s="19"/>
      <c r="H136" s="18"/>
      <c r="I136" s="31"/>
      <c r="J136" s="31"/>
      <c r="K136" s="31"/>
      <c r="L136" s="31"/>
      <c r="M136" s="32"/>
      <c r="N136" s="32"/>
      <c r="O136" s="18"/>
      <c r="P136" s="36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  <c r="BB136" s="18"/>
      <c r="BC136" s="18"/>
      <c r="BD136" s="18"/>
      <c r="BE136" s="18"/>
      <c r="BF136" s="18"/>
      <c r="BG136" s="18"/>
      <c r="BH136" s="18"/>
      <c r="BI136" s="18"/>
      <c r="BJ136" s="18"/>
      <c r="BK136" s="18"/>
      <c r="BL136" s="18"/>
      <c r="BM136" s="18"/>
      <c r="BN136" s="18"/>
      <c r="BO136" s="18"/>
      <c r="BP136" s="18"/>
      <c r="BQ136" s="18"/>
      <c r="BR136" s="18"/>
      <c r="BS136" s="18"/>
      <c r="BT136" s="18"/>
      <c r="BU136" s="18"/>
      <c r="BV136" s="18"/>
      <c r="BW136" s="18"/>
      <c r="BX136" s="18"/>
      <c r="BY136" s="18"/>
      <c r="BZ136" s="18"/>
      <c r="CA136" s="18"/>
      <c r="CB136" s="18"/>
      <c r="CC136" s="18"/>
      <c r="CD136" s="18"/>
      <c r="CE136" s="18"/>
      <c r="CF136" s="18"/>
      <c r="CG136" s="18"/>
      <c r="CH136" s="18"/>
      <c r="CI136" s="18"/>
      <c r="CJ136" s="18"/>
      <c r="CK136" s="18"/>
      <c r="CL136" s="18"/>
      <c r="CM136" s="18"/>
      <c r="CN136" s="18"/>
      <c r="CO136" s="18"/>
      <c r="CP136" s="18"/>
      <c r="CQ136" s="18"/>
      <c r="CR136" s="18"/>
      <c r="CS136" s="18"/>
      <c r="CT136" s="18"/>
      <c r="CU136" s="18"/>
      <c r="CV136" s="18"/>
      <c r="CW136" s="18"/>
      <c r="CX136" s="18"/>
      <c r="CY136" s="18"/>
      <c r="CZ136" s="18"/>
      <c r="DA136" s="18"/>
      <c r="DB136" s="18"/>
      <c r="DC136" s="18"/>
      <c r="DD136" s="18"/>
      <c r="DE136" s="18"/>
      <c r="DF136" s="18"/>
      <c r="DG136" s="18"/>
      <c r="DH136" s="18"/>
      <c r="DI136" s="18"/>
      <c r="DJ136" s="18"/>
      <c r="DK136" s="18"/>
      <c r="DL136" s="18"/>
      <c r="DM136" s="18"/>
      <c r="DN136" s="18"/>
      <c r="DO136" s="18"/>
      <c r="DP136" s="18"/>
      <c r="DQ136" s="18"/>
      <c r="DR136" s="18"/>
      <c r="DS136" s="18"/>
      <c r="DT136" s="18"/>
      <c r="DU136" s="18"/>
      <c r="DV136" s="18"/>
      <c r="DW136" s="18"/>
      <c r="DX136" s="18"/>
      <c r="DY136" s="18"/>
      <c r="DZ136" s="18"/>
      <c r="EA136" s="18"/>
      <c r="EB136" s="18"/>
      <c r="EC136" s="18"/>
      <c r="ED136" s="18"/>
      <c r="EE136" s="18"/>
      <c r="EF136" s="18"/>
      <c r="EG136" s="18"/>
      <c r="EH136" s="18"/>
      <c r="EI136" s="18"/>
      <c r="EJ136" s="18"/>
      <c r="EK136" s="18"/>
      <c r="EL136" s="18"/>
      <c r="EM136" s="18"/>
      <c r="EN136" s="18"/>
      <c r="EO136" s="18"/>
      <c r="EP136" s="18"/>
      <c r="EQ136" s="18"/>
      <c r="ER136" s="18"/>
      <c r="ES136" s="18"/>
      <c r="ET136" s="18"/>
      <c r="EU136" s="18"/>
      <c r="EV136" s="18"/>
      <c r="EW136" s="18"/>
      <c r="EX136" s="18"/>
      <c r="EY136" s="18"/>
      <c r="EZ136" s="18"/>
      <c r="FA136" s="18"/>
      <c r="FB136" s="18"/>
      <c r="FC136" s="18"/>
      <c r="FD136" s="18"/>
      <c r="FE136" s="18"/>
      <c r="FF136" s="18"/>
      <c r="FG136" s="18"/>
      <c r="FH136" s="18"/>
      <c r="FI136" s="18"/>
      <c r="FJ136" s="18"/>
      <c r="FK136" s="18"/>
      <c r="FL136" s="18"/>
      <c r="FM136" s="18"/>
      <c r="FN136" s="18"/>
      <c r="FO136" s="18"/>
      <c r="FP136" s="18"/>
      <c r="FQ136" s="18"/>
      <c r="FR136" s="18"/>
      <c r="FS136" s="18"/>
      <c r="FT136" s="18"/>
      <c r="FU136" s="18"/>
      <c r="FV136" s="18"/>
      <c r="FW136" s="18"/>
      <c r="FX136" s="18"/>
      <c r="FY136" s="18"/>
      <c r="FZ136" s="18"/>
      <c r="GA136" s="18"/>
      <c r="GB136" s="18"/>
      <c r="GC136" s="18"/>
      <c r="GD136" s="18"/>
      <c r="GE136" s="18"/>
      <c r="GF136" s="18"/>
      <c r="GG136" s="18"/>
      <c r="GH136" s="18"/>
      <c r="GI136" s="18"/>
      <c r="GJ136" s="18"/>
      <c r="GK136" s="18"/>
      <c r="GL136" s="18"/>
      <c r="GM136" s="18"/>
      <c r="GN136" s="18"/>
      <c r="GO136" s="18"/>
      <c r="GP136" s="18"/>
      <c r="GQ136" s="18"/>
      <c r="GR136" s="18"/>
      <c r="GS136" s="18"/>
      <c r="GT136" s="18"/>
      <c r="GU136" s="18"/>
      <c r="GV136" s="18"/>
      <c r="GW136" s="18"/>
      <c r="GX136" s="18"/>
      <c r="GY136" s="18"/>
      <c r="GZ136" s="18"/>
      <c r="HA136" s="18"/>
      <c r="HB136" s="18"/>
      <c r="HC136" s="18"/>
      <c r="HD136" s="18"/>
      <c r="HE136" s="18"/>
      <c r="HF136" s="18"/>
      <c r="HG136" s="18"/>
      <c r="HH136" s="18"/>
      <c r="HI136" s="18"/>
      <c r="HJ136" s="18"/>
      <c r="HK136" s="18"/>
      <c r="HL136" s="18"/>
      <c r="HM136" s="18"/>
      <c r="HN136" s="18"/>
      <c r="HO136" s="18"/>
      <c r="HP136" s="18"/>
      <c r="HQ136" s="18"/>
      <c r="HR136" s="18"/>
      <c r="HS136" s="18"/>
      <c r="HT136" s="18"/>
      <c r="HU136" s="18"/>
      <c r="HV136" s="18"/>
      <c r="HW136" s="18"/>
      <c r="HX136" s="18"/>
      <c r="HY136" s="18"/>
      <c r="HZ136" s="18"/>
      <c r="IA136" s="18"/>
      <c r="IB136" s="18"/>
      <c r="IC136" s="18"/>
      <c r="ID136" s="18"/>
      <c r="IE136" s="18"/>
      <c r="IF136" s="18"/>
      <c r="IG136" s="18"/>
      <c r="IH136" s="18"/>
      <c r="II136" s="18"/>
      <c r="IJ136" s="18"/>
      <c r="IK136" s="18"/>
      <c r="IL136" s="18"/>
      <c r="IM136" s="18"/>
      <c r="IN136" s="18"/>
      <c r="IO136" s="18"/>
      <c r="IP136" s="18"/>
      <c r="IQ136" s="18"/>
      <c r="IR136" s="18"/>
      <c r="IS136" s="18"/>
      <c r="IT136" s="18"/>
      <c r="IU136" s="18"/>
      <c r="IV136" s="18"/>
      <c r="IW136" s="18"/>
      <c r="IX136" s="18"/>
      <c r="IY136" s="18"/>
      <c r="IZ136" s="18"/>
      <c r="JA136" s="18"/>
      <c r="JB136" s="18"/>
      <c r="JC136" s="18"/>
      <c r="JD136" s="18"/>
      <c r="JE136" s="18"/>
      <c r="JF136" s="18"/>
      <c r="JG136" s="18"/>
      <c r="JH136" s="18"/>
      <c r="JI136" s="18"/>
      <c r="JJ136" s="18"/>
      <c r="JK136" s="18"/>
      <c r="JL136" s="18"/>
      <c r="JM136" s="18"/>
      <c r="JN136" s="18"/>
      <c r="JO136" s="18"/>
      <c r="JP136" s="18"/>
      <c r="JQ136" s="18"/>
      <c r="JR136" s="18"/>
      <c r="JS136" s="18"/>
      <c r="JT136" s="18"/>
      <c r="JU136" s="18"/>
      <c r="JV136" s="18"/>
      <c r="JW136" s="18"/>
      <c r="JX136" s="18"/>
      <c r="JY136" s="18"/>
      <c r="JZ136" s="18"/>
      <c r="KA136" s="18"/>
      <c r="KB136" s="18"/>
      <c r="KC136" s="18"/>
      <c r="KD136" s="18"/>
      <c r="KE136" s="18"/>
      <c r="KF136" s="18"/>
      <c r="KG136" s="18"/>
      <c r="KH136" s="18"/>
      <c r="KI136" s="18"/>
      <c r="KJ136" s="18"/>
      <c r="KK136" s="18"/>
      <c r="KL136" s="18"/>
      <c r="KM136" s="18"/>
      <c r="KN136" s="18"/>
      <c r="KO136" s="18"/>
      <c r="KP136" s="18"/>
      <c r="KQ136" s="18"/>
      <c r="KR136" s="18"/>
      <c r="KS136" s="18"/>
      <c r="KT136" s="18"/>
      <c r="KU136" s="18"/>
      <c r="KV136" s="18"/>
      <c r="KW136" s="18"/>
      <c r="KX136" s="18"/>
      <c r="KY136" s="18"/>
      <c r="KZ136" s="18"/>
      <c r="LA136" s="18"/>
      <c r="LB136" s="18"/>
      <c r="LC136" s="18"/>
      <c r="LD136" s="18"/>
      <c r="LE136" s="18"/>
      <c r="LF136" s="18"/>
      <c r="LG136" s="18"/>
      <c r="LH136" s="18"/>
      <c r="LI136" s="18"/>
      <c r="LJ136" s="18"/>
      <c r="LK136" s="18"/>
      <c r="LL136" s="18"/>
      <c r="LM136" s="18"/>
      <c r="LN136" s="18"/>
      <c r="LO136" s="18"/>
      <c r="LP136" s="18"/>
      <c r="LQ136" s="18"/>
      <c r="LR136" s="18"/>
      <c r="LS136" s="18"/>
      <c r="LT136" s="18"/>
      <c r="LU136" s="18"/>
      <c r="LV136" s="18"/>
      <c r="LW136" s="18"/>
      <c r="LX136" s="18"/>
      <c r="LY136" s="18"/>
      <c r="LZ136" s="18"/>
      <c r="MA136" s="18"/>
      <c r="MB136" s="18"/>
      <c r="MC136" s="18"/>
      <c r="MD136" s="18"/>
      <c r="ME136" s="18"/>
      <c r="MF136" s="18"/>
      <c r="MG136" s="18"/>
      <c r="MH136" s="18"/>
      <c r="MI136" s="18"/>
      <c r="MJ136" s="18"/>
      <c r="MK136" s="18"/>
      <c r="ML136" s="18"/>
      <c r="MM136" s="18"/>
      <c r="MN136" s="18"/>
      <c r="MO136" s="18"/>
      <c r="MP136" s="18"/>
      <c r="MQ136" s="18"/>
      <c r="MR136" s="18"/>
      <c r="MS136" s="18"/>
      <c r="MT136" s="18"/>
      <c r="MU136" s="18"/>
      <c r="MV136" s="18"/>
      <c r="MW136" s="18"/>
      <c r="MX136" s="18"/>
      <c r="MY136" s="18"/>
      <c r="MZ136" s="18"/>
      <c r="NA136" s="18"/>
      <c r="NB136" s="18"/>
      <c r="NC136" s="18"/>
      <c r="ND136" s="18"/>
      <c r="NE136" s="18"/>
      <c r="NF136" s="18"/>
      <c r="NG136" s="18"/>
      <c r="NH136" s="18"/>
      <c r="NI136" s="18"/>
      <c r="NJ136" s="18"/>
      <c r="NK136" s="18"/>
      <c r="NL136" s="18"/>
      <c r="NM136" s="18"/>
      <c r="NN136" s="18"/>
      <c r="NO136" s="18"/>
      <c r="NP136" s="18"/>
      <c r="NQ136" s="18"/>
      <c r="NR136" s="18"/>
      <c r="NS136" s="18"/>
      <c r="NT136" s="18"/>
      <c r="NU136" s="18"/>
      <c r="NV136" s="18"/>
      <c r="NW136" s="18"/>
      <c r="NX136" s="18"/>
      <c r="NY136" s="18"/>
      <c r="NZ136" s="18"/>
      <c r="OA136" s="18"/>
      <c r="OB136" s="18"/>
      <c r="OC136" s="18"/>
      <c r="OD136" s="18"/>
      <c r="OE136" s="18"/>
      <c r="OF136" s="18"/>
      <c r="OG136" s="18"/>
      <c r="OH136" s="18"/>
      <c r="OI136" s="18"/>
      <c r="OJ136" s="18"/>
      <c r="OK136" s="18"/>
      <c r="OL136" s="18"/>
      <c r="OM136" s="18"/>
      <c r="ON136" s="18"/>
      <c r="OO136" s="18"/>
      <c r="OP136" s="18"/>
      <c r="OQ136" s="18"/>
      <c r="OR136" s="18"/>
      <c r="OS136" s="18"/>
      <c r="OT136" s="18"/>
      <c r="OU136" s="18"/>
      <c r="OV136" s="18"/>
      <c r="OW136" s="18"/>
      <c r="OX136" s="18"/>
      <c r="OY136" s="18"/>
      <c r="OZ136" s="18"/>
      <c r="PA136" s="18"/>
      <c r="PB136" s="18"/>
      <c r="PC136" s="18"/>
      <c r="PD136" s="18"/>
      <c r="PE136" s="18"/>
      <c r="PF136" s="18"/>
      <c r="PG136" s="18"/>
      <c r="PH136" s="18"/>
      <c r="PI136" s="18"/>
      <c r="PJ136" s="18"/>
      <c r="PK136" s="18"/>
      <c r="PL136" s="18"/>
      <c r="PM136" s="18"/>
      <c r="PN136" s="18"/>
      <c r="PO136" s="18"/>
      <c r="PP136" s="18"/>
      <c r="PQ136" s="18"/>
      <c r="PR136" s="18"/>
      <c r="PS136" s="18"/>
      <c r="PT136" s="18"/>
      <c r="PU136" s="18"/>
      <c r="PV136" s="18"/>
      <c r="PW136" s="18"/>
      <c r="PX136" s="18"/>
      <c r="PY136" s="18"/>
      <c r="PZ136" s="18"/>
      <c r="QA136" s="18"/>
      <c r="QB136" s="18"/>
      <c r="QC136" s="18"/>
      <c r="QD136" s="18"/>
      <c r="QE136" s="18"/>
      <c r="QF136" s="18"/>
      <c r="QG136" s="18"/>
      <c r="QH136" s="18"/>
      <c r="QI136" s="18"/>
      <c r="QJ136" s="18"/>
      <c r="QK136" s="18"/>
      <c r="QL136" s="18"/>
      <c r="QM136" s="18"/>
      <c r="QN136" s="18"/>
      <c r="QO136" s="18"/>
      <c r="QP136" s="18"/>
      <c r="QQ136" s="18"/>
      <c r="QR136" s="18"/>
      <c r="QS136" s="18"/>
      <c r="QT136" s="18"/>
      <c r="QU136" s="18"/>
      <c r="QV136" s="18"/>
      <c r="QW136" s="18"/>
      <c r="QX136" s="18"/>
      <c r="QY136" s="18"/>
      <c r="QZ136" s="18"/>
      <c r="RA136" s="18"/>
      <c r="RB136" s="18"/>
      <c r="RC136" s="18"/>
      <c r="RD136" s="18"/>
      <c r="RE136" s="18"/>
      <c r="RF136" s="18"/>
      <c r="RG136" s="18"/>
      <c r="RH136" s="18"/>
      <c r="RI136" s="18"/>
      <c r="RJ136" s="18"/>
      <c r="RK136" s="18"/>
      <c r="RL136" s="18"/>
      <c r="RM136" s="18"/>
      <c r="RN136" s="18"/>
      <c r="RO136" s="18"/>
      <c r="RP136" s="18"/>
      <c r="RQ136" s="18"/>
      <c r="RR136" s="18"/>
      <c r="RS136" s="18"/>
      <c r="RT136" s="18"/>
      <c r="RU136" s="18"/>
      <c r="RV136" s="18"/>
      <c r="RW136" s="18"/>
      <c r="RX136" s="18"/>
      <c r="RY136" s="18"/>
      <c r="RZ136" s="18"/>
      <c r="SA136" s="18"/>
      <c r="SB136" s="18"/>
      <c r="SC136" s="18"/>
      <c r="SD136" s="18"/>
      <c r="SE136" s="18"/>
      <c r="SF136" s="18"/>
      <c r="SG136" s="18"/>
      <c r="SH136" s="18"/>
      <c r="SI136" s="18"/>
      <c r="SJ136" s="18"/>
      <c r="SK136" s="18"/>
      <c r="SL136" s="18"/>
      <c r="SM136" s="18"/>
      <c r="SN136" s="18"/>
      <c r="SO136" s="18"/>
      <c r="SP136" s="18"/>
      <c r="SQ136" s="18"/>
      <c r="SR136" s="18"/>
      <c r="SS136" s="18"/>
      <c r="ST136" s="18"/>
      <c r="SU136" s="18"/>
      <c r="SV136" s="18"/>
      <c r="SW136" s="18"/>
      <c r="SX136" s="18"/>
      <c r="SY136" s="18"/>
      <c r="SZ136" s="18"/>
      <c r="TA136" s="18"/>
      <c r="TB136" s="18"/>
      <c r="TC136" s="18"/>
      <c r="TD136" s="18"/>
      <c r="TE136" s="18"/>
      <c r="TF136" s="18"/>
      <c r="TG136" s="18"/>
      <c r="TH136" s="18"/>
      <c r="TI136" s="18"/>
      <c r="TJ136" s="18"/>
      <c r="TK136" s="18"/>
      <c r="TL136" s="18"/>
      <c r="TM136" s="18"/>
      <c r="TN136" s="18"/>
      <c r="TO136" s="18"/>
      <c r="TP136" s="18"/>
      <c r="TQ136" s="18"/>
      <c r="TR136" s="18"/>
      <c r="TS136" s="18"/>
      <c r="TT136" s="18"/>
      <c r="TU136" s="18"/>
      <c r="TV136" s="18"/>
      <c r="TW136" s="18"/>
      <c r="TX136" s="18"/>
      <c r="TY136" s="18"/>
      <c r="TZ136" s="18"/>
      <c r="UA136" s="18"/>
      <c r="UB136" s="18"/>
      <c r="UC136" s="18"/>
      <c r="UD136" s="18"/>
      <c r="UE136" s="18"/>
      <c r="UF136" s="18"/>
      <c r="UG136" s="18"/>
      <c r="UH136" s="18"/>
      <c r="UI136" s="18"/>
      <c r="UJ136" s="18"/>
      <c r="UK136" s="18"/>
      <c r="UL136" s="18"/>
      <c r="UM136" s="18"/>
      <c r="UN136" s="18"/>
      <c r="UO136" s="18"/>
      <c r="UP136" s="18"/>
      <c r="UQ136" s="18"/>
      <c r="UR136" s="18"/>
      <c r="US136" s="18"/>
      <c r="UT136" s="18"/>
      <c r="UU136" s="18"/>
      <c r="UV136" s="18"/>
      <c r="UW136" s="18"/>
      <c r="UX136" s="18"/>
      <c r="UY136" s="18"/>
      <c r="UZ136" s="18"/>
      <c r="VA136" s="18"/>
      <c r="VB136" s="18"/>
      <c r="VC136" s="18"/>
      <c r="VD136" s="18"/>
      <c r="VE136" s="18"/>
      <c r="VF136" s="18"/>
      <c r="VG136" s="18"/>
      <c r="VH136" s="18"/>
      <c r="VI136" s="18"/>
      <c r="VJ136" s="18"/>
      <c r="VK136" s="18"/>
      <c r="VL136" s="18"/>
      <c r="VM136" s="18"/>
      <c r="VN136" s="18"/>
      <c r="VO136" s="18"/>
      <c r="VP136" s="18"/>
      <c r="VQ136" s="18"/>
      <c r="VR136" s="18"/>
      <c r="VS136" s="18"/>
      <c r="VT136" s="18"/>
      <c r="VU136" s="18"/>
      <c r="VV136" s="18"/>
      <c r="VW136" s="18"/>
      <c r="VX136" s="18"/>
      <c r="VY136" s="18"/>
      <c r="VZ136" s="18"/>
      <c r="WA136" s="18"/>
      <c r="WB136" s="18"/>
      <c r="WC136" s="18"/>
      <c r="WD136" s="18"/>
      <c r="WE136" s="18"/>
      <c r="WF136" s="18"/>
      <c r="WG136" s="18"/>
      <c r="WH136" s="18"/>
      <c r="WI136" s="18"/>
      <c r="WJ136" s="18"/>
      <c r="WK136" s="18"/>
      <c r="WL136" s="18"/>
      <c r="WM136" s="18"/>
      <c r="WN136" s="18"/>
      <c r="WO136" s="18"/>
      <c r="WP136" s="18"/>
      <c r="WQ136" s="18"/>
      <c r="WR136" s="18"/>
      <c r="WS136" s="18"/>
      <c r="WT136" s="18"/>
      <c r="WU136" s="18"/>
      <c r="WV136" s="18"/>
      <c r="WW136" s="18"/>
      <c r="WX136" s="18"/>
      <c r="WY136" s="18"/>
      <c r="WZ136" s="18"/>
      <c r="XA136" s="18"/>
      <c r="XB136" s="18"/>
      <c r="XC136" s="18"/>
      <c r="XD136" s="18"/>
      <c r="XE136" s="18"/>
      <c r="XF136" s="18"/>
      <c r="XG136" s="18"/>
      <c r="XH136" s="18"/>
      <c r="XI136" s="18"/>
      <c r="XJ136" s="18"/>
      <c r="XK136" s="18"/>
      <c r="XL136" s="18"/>
      <c r="XM136" s="18"/>
      <c r="XN136" s="18"/>
      <c r="XO136" s="18"/>
      <c r="XP136" s="18"/>
      <c r="XQ136" s="18"/>
      <c r="XR136" s="18"/>
      <c r="XS136" s="18"/>
      <c r="XT136" s="18"/>
      <c r="XU136" s="18"/>
      <c r="XV136" s="18"/>
      <c r="XW136" s="18"/>
      <c r="XX136" s="18"/>
      <c r="XY136" s="18"/>
      <c r="XZ136" s="18"/>
      <c r="YA136" s="18"/>
      <c r="YB136" s="18"/>
      <c r="YC136" s="18"/>
      <c r="YD136" s="18"/>
      <c r="YE136" s="18"/>
      <c r="YF136" s="18"/>
      <c r="YG136" s="18"/>
      <c r="YH136" s="18"/>
      <c r="YI136" s="18"/>
      <c r="YJ136" s="18"/>
      <c r="YK136" s="18"/>
      <c r="YL136" s="18"/>
      <c r="YM136" s="18"/>
      <c r="YN136" s="18"/>
      <c r="YO136" s="18"/>
      <c r="YP136" s="18"/>
      <c r="YQ136" s="18"/>
      <c r="YR136" s="18"/>
      <c r="YS136" s="18"/>
      <c r="YT136" s="18"/>
      <c r="YU136" s="18"/>
      <c r="YV136" s="18"/>
      <c r="YW136" s="18"/>
      <c r="YX136" s="18"/>
      <c r="YY136" s="18"/>
      <c r="YZ136" s="18"/>
      <c r="ZA136" s="18"/>
      <c r="ZB136" s="18"/>
      <c r="ZC136" s="18"/>
      <c r="ZD136" s="18"/>
      <c r="ZE136" s="18"/>
      <c r="ZF136" s="18"/>
      <c r="ZG136" s="18"/>
      <c r="ZH136" s="18"/>
      <c r="ZI136" s="18"/>
      <c r="ZJ136" s="18"/>
      <c r="ZK136" s="18"/>
      <c r="ZL136" s="18"/>
      <c r="ZM136" s="18"/>
      <c r="ZN136" s="18"/>
      <c r="ZO136" s="18"/>
      <c r="ZP136" s="18"/>
      <c r="ZQ136" s="18"/>
      <c r="ZR136" s="18"/>
      <c r="ZS136" s="18"/>
      <c r="ZT136" s="18"/>
      <c r="ZU136" s="18"/>
      <c r="ZV136" s="18"/>
      <c r="ZW136" s="18"/>
      <c r="ZX136" s="18"/>
      <c r="ZY136" s="18"/>
      <c r="ZZ136" s="18"/>
      <c r="AAA136" s="18"/>
      <c r="AAB136" s="18"/>
      <c r="AAC136" s="18"/>
      <c r="AAD136" s="18"/>
      <c r="AAE136" s="18"/>
      <c r="AAF136" s="18"/>
      <c r="AAG136" s="18"/>
      <c r="AAH136" s="18"/>
      <c r="AAI136" s="18"/>
      <c r="AAJ136" s="18"/>
      <c r="AAK136" s="18"/>
      <c r="AAL136" s="18"/>
      <c r="AAM136" s="18"/>
      <c r="AAN136" s="18"/>
      <c r="AAO136" s="18"/>
      <c r="AAP136" s="18"/>
      <c r="AAQ136" s="18"/>
      <c r="AAR136" s="18"/>
      <c r="AAS136" s="18"/>
      <c r="AAT136" s="18"/>
      <c r="AAU136" s="18"/>
      <c r="AAV136" s="18"/>
      <c r="AAW136" s="18"/>
      <c r="AAX136" s="18"/>
      <c r="AAY136" s="18"/>
      <c r="AAZ136" s="18"/>
      <c r="ABA136" s="18"/>
      <c r="ABB136" s="18"/>
      <c r="ABC136" s="18"/>
      <c r="ABD136" s="18"/>
      <c r="ABE136" s="18"/>
      <c r="ABF136" s="18"/>
      <c r="ABG136" s="18"/>
      <c r="ABH136" s="18"/>
      <c r="ABI136" s="18"/>
      <c r="ABJ136" s="18"/>
      <c r="ABK136" s="18"/>
      <c r="ABL136" s="18"/>
      <c r="ABM136" s="18"/>
      <c r="ABN136" s="18"/>
      <c r="ABO136" s="18"/>
      <c r="ABP136" s="18"/>
      <c r="ABQ136" s="18"/>
      <c r="ABR136" s="18"/>
      <c r="ABS136" s="18"/>
      <c r="ABT136" s="18"/>
      <c r="ABU136" s="18"/>
      <c r="ABV136" s="18"/>
      <c r="ABW136" s="18"/>
      <c r="ABX136" s="18"/>
      <c r="ABY136" s="18"/>
      <c r="ABZ136" s="18"/>
      <c r="ACA136" s="18"/>
      <c r="ACB136" s="18"/>
      <c r="ACC136" s="18"/>
      <c r="ACD136" s="18"/>
      <c r="ACE136" s="18"/>
      <c r="ACF136" s="18"/>
      <c r="ACG136" s="18"/>
      <c r="ACH136" s="18"/>
      <c r="ACI136" s="18"/>
      <c r="ACJ136" s="18"/>
      <c r="ACK136" s="18"/>
      <c r="ACL136" s="18"/>
      <c r="ACM136" s="18"/>
      <c r="ACN136" s="18"/>
      <c r="ACO136" s="18"/>
      <c r="ACP136" s="18"/>
      <c r="ACQ136" s="18"/>
      <c r="ACR136" s="18"/>
      <c r="ACS136" s="18"/>
      <c r="ACT136" s="18"/>
      <c r="ACU136" s="18"/>
      <c r="ACV136" s="18"/>
      <c r="ACW136" s="18"/>
      <c r="ACX136" s="18"/>
      <c r="ACY136" s="18"/>
      <c r="ACZ136" s="18"/>
      <c r="ADA136" s="18"/>
      <c r="ADB136" s="18"/>
      <c r="ADC136" s="18"/>
      <c r="ADD136" s="18"/>
      <c r="ADE136" s="18"/>
      <c r="ADF136" s="18"/>
      <c r="ADG136" s="18"/>
      <c r="ADH136" s="18"/>
      <c r="ADI136" s="18"/>
      <c r="ADJ136" s="18"/>
      <c r="ADK136" s="18"/>
      <c r="ADL136" s="18"/>
      <c r="ADM136" s="18"/>
      <c r="ADN136" s="18"/>
      <c r="ADO136" s="18"/>
      <c r="ADP136" s="18"/>
      <c r="ADQ136" s="18"/>
      <c r="ADR136" s="18"/>
      <c r="ADS136" s="18"/>
      <c r="ADT136" s="18"/>
      <c r="ADU136" s="18"/>
      <c r="ADV136" s="18"/>
      <c r="ADW136" s="18"/>
      <c r="ADX136" s="18"/>
      <c r="ADY136" s="18"/>
      <c r="ADZ136" s="18"/>
      <c r="AEA136" s="18"/>
      <c r="AEB136" s="18"/>
      <c r="AEC136" s="18"/>
      <c r="AED136" s="18"/>
      <c r="AEE136" s="18"/>
      <c r="AEF136" s="18"/>
      <c r="AEG136" s="18"/>
      <c r="AEH136" s="18"/>
      <c r="AEI136" s="18"/>
      <c r="AEJ136" s="18"/>
      <c r="AEK136" s="18"/>
      <c r="AEL136" s="18"/>
      <c r="AEM136" s="18"/>
      <c r="AEN136" s="18"/>
      <c r="AEO136" s="18"/>
      <c r="AEP136" s="18"/>
      <c r="AEQ136" s="18"/>
      <c r="AER136" s="18"/>
      <c r="AES136" s="18"/>
      <c r="AET136" s="18"/>
      <c r="AEU136" s="18"/>
      <c r="AEV136" s="18"/>
      <c r="AEW136" s="18"/>
      <c r="AEX136" s="18"/>
      <c r="AEY136" s="18"/>
      <c r="AEZ136" s="18"/>
      <c r="AFA136" s="18"/>
      <c r="AFB136" s="18"/>
      <c r="AFC136" s="18"/>
      <c r="AFD136" s="18"/>
      <c r="AFE136" s="18"/>
      <c r="AFF136" s="18"/>
      <c r="AFG136" s="18"/>
      <c r="AFH136" s="18"/>
      <c r="AFI136" s="18"/>
      <c r="AFJ136" s="18"/>
      <c r="AFK136" s="18"/>
      <c r="AFL136" s="18"/>
      <c r="AFM136" s="18"/>
      <c r="AFN136" s="18"/>
      <c r="AFO136" s="18"/>
      <c r="AFP136" s="18"/>
      <c r="AFQ136" s="18"/>
      <c r="AFR136" s="18"/>
      <c r="AFS136" s="18"/>
      <c r="AFT136" s="18"/>
      <c r="AFU136" s="18"/>
      <c r="AFV136" s="18"/>
      <c r="AFW136" s="18"/>
      <c r="AFX136" s="18"/>
      <c r="AFY136" s="18"/>
      <c r="AFZ136" s="18"/>
      <c r="AGA136" s="18"/>
      <c r="AGB136" s="18"/>
      <c r="AGC136" s="18"/>
      <c r="AGD136" s="18"/>
      <c r="AGE136" s="18"/>
      <c r="AGF136" s="18"/>
      <c r="AGG136" s="18"/>
      <c r="AGH136" s="18"/>
      <c r="AGI136" s="18"/>
      <c r="AGJ136" s="18"/>
      <c r="AGK136" s="18"/>
      <c r="AGL136" s="18"/>
      <c r="AGM136" s="18"/>
      <c r="AGN136" s="18"/>
      <c r="AGO136" s="18"/>
      <c r="AGP136" s="18"/>
      <c r="AGQ136" s="18"/>
      <c r="AGR136" s="18"/>
      <c r="AGS136" s="18"/>
      <c r="AGT136" s="18"/>
      <c r="AGU136" s="18"/>
      <c r="AGV136" s="18"/>
      <c r="AGW136" s="18"/>
      <c r="AGX136" s="18"/>
      <c r="AGY136" s="18"/>
      <c r="AGZ136" s="18"/>
      <c r="AHA136" s="18"/>
      <c r="AHB136" s="18"/>
      <c r="AHC136" s="18"/>
      <c r="AHD136" s="18"/>
      <c r="AHE136" s="18"/>
      <c r="AHF136" s="18"/>
      <c r="AHG136" s="18"/>
      <c r="AHH136" s="18"/>
      <c r="AHI136" s="18"/>
      <c r="AHJ136" s="18"/>
      <c r="AHK136" s="18"/>
      <c r="AHL136" s="18"/>
      <c r="AHM136" s="18"/>
      <c r="AHN136" s="18"/>
      <c r="AHO136" s="18"/>
      <c r="AHP136" s="18"/>
      <c r="AHQ136" s="18"/>
      <c r="AHR136" s="18"/>
      <c r="AHS136" s="18"/>
      <c r="AHT136" s="18"/>
      <c r="AHU136" s="18"/>
      <c r="AHV136" s="18"/>
      <c r="AHW136" s="18"/>
      <c r="AHX136" s="18"/>
      <c r="AHY136" s="18"/>
      <c r="AHZ136" s="18"/>
      <c r="AIA136" s="18"/>
      <c r="AIB136" s="18"/>
      <c r="AIC136" s="18"/>
      <c r="AID136" s="18"/>
      <c r="AIE136" s="18"/>
      <c r="AIF136" s="18"/>
      <c r="AIG136" s="18"/>
      <c r="AIH136" s="18"/>
      <c r="AII136" s="18"/>
      <c r="AIJ136" s="18"/>
      <c r="AIK136" s="18"/>
      <c r="AIL136" s="18"/>
      <c r="AIM136" s="18"/>
      <c r="AIN136" s="18"/>
      <c r="AIO136" s="18"/>
      <c r="AIP136" s="18"/>
      <c r="AIQ136" s="18"/>
      <c r="AIR136" s="18"/>
      <c r="AIS136" s="18"/>
      <c r="AIT136" s="18"/>
      <c r="AIU136" s="18"/>
      <c r="AIV136" s="18"/>
      <c r="AIW136" s="18"/>
      <c r="AIX136" s="18"/>
      <c r="AIY136" s="18"/>
      <c r="AIZ136" s="18"/>
      <c r="AJA136" s="18"/>
      <c r="AJB136" s="18"/>
      <c r="AJC136" s="18"/>
      <c r="AJD136" s="18"/>
      <c r="AJE136" s="18"/>
      <c r="AJF136" s="18"/>
      <c r="AJG136" s="18"/>
      <c r="AJH136" s="18"/>
      <c r="AJI136" s="18"/>
      <c r="AJJ136" s="18"/>
      <c r="AJK136" s="18"/>
      <c r="AJL136" s="18"/>
      <c r="AJM136" s="18"/>
      <c r="AJN136" s="18"/>
      <c r="AJO136" s="18"/>
      <c r="AJP136" s="18"/>
      <c r="AJQ136" s="18"/>
      <c r="AJR136" s="18"/>
      <c r="AJS136" s="18"/>
      <c r="AJT136" s="18"/>
      <c r="AJU136" s="18"/>
      <c r="AJV136" s="18"/>
      <c r="AJW136" s="18"/>
      <c r="AJX136" s="18"/>
      <c r="AJY136" s="18"/>
      <c r="AJZ136" s="18"/>
      <c r="AKA136" s="18"/>
      <c r="AKB136" s="18"/>
      <c r="AKC136" s="18"/>
      <c r="AKD136" s="18"/>
      <c r="AKE136" s="18"/>
      <c r="AKF136" s="18"/>
      <c r="AKG136" s="18"/>
      <c r="AKH136" s="18"/>
      <c r="AKI136" s="18"/>
      <c r="AKJ136" s="18"/>
      <c r="AKK136" s="18"/>
      <c r="AKL136" s="18"/>
      <c r="AKM136" s="18"/>
      <c r="AKN136" s="18"/>
      <c r="AKO136" s="18"/>
      <c r="AKP136" s="18"/>
      <c r="AKQ136" s="18"/>
      <c r="AKR136" s="18"/>
      <c r="AKS136" s="18"/>
      <c r="AKT136" s="18"/>
      <c r="AKU136" s="18"/>
      <c r="AKV136" s="18"/>
      <c r="AKW136" s="18"/>
      <c r="AKX136" s="18"/>
      <c r="AKY136" s="18"/>
      <c r="AKZ136" s="18"/>
      <c r="ALA136" s="18"/>
      <c r="ALB136" s="18"/>
      <c r="ALC136" s="18"/>
      <c r="ALD136" s="18"/>
      <c r="ALE136" s="18"/>
      <c r="ALF136" s="18"/>
      <c r="ALG136" s="18"/>
      <c r="ALH136" s="18"/>
      <c r="ALI136" s="18"/>
      <c r="ALJ136" s="18"/>
      <c r="ALK136" s="18"/>
      <c r="ALL136" s="18"/>
      <c r="ALM136" s="18"/>
      <c r="ALN136" s="18"/>
      <c r="ALO136" s="18"/>
      <c r="ALP136" s="18"/>
      <c r="ALQ136" s="18"/>
      <c r="ALR136" s="18"/>
      <c r="ALS136" s="18"/>
      <c r="ALT136" s="18"/>
      <c r="ALU136" s="18"/>
      <c r="ALV136" s="18"/>
      <c r="ALW136" s="18"/>
      <c r="ALX136" s="18"/>
      <c r="ALY136" s="18"/>
      <c r="ALZ136" s="18"/>
      <c r="AMA136" s="18"/>
      <c r="AMB136" s="18"/>
      <c r="AMC136" s="18"/>
      <c r="AMD136" s="18"/>
      <c r="AME136" s="18"/>
      <c r="AMF136" s="18"/>
      <c r="AMG136" s="18"/>
      <c r="AMH136" s="18"/>
    </row>
    <row r="137" spans="1:1022" s="23" customFormat="1" x14ac:dyDescent="0.3">
      <c r="A137" s="33">
        <v>233</v>
      </c>
      <c r="B137" s="19"/>
      <c r="C137" s="19"/>
      <c r="D137" s="34"/>
      <c r="E137" s="34"/>
      <c r="F137" s="19"/>
      <c r="G137" s="19"/>
      <c r="H137" s="18"/>
      <c r="I137" s="31"/>
      <c r="J137" s="31"/>
      <c r="K137" s="31"/>
      <c r="L137" s="31"/>
      <c r="M137" s="32"/>
      <c r="N137" s="32"/>
      <c r="O137" s="18"/>
      <c r="P137" s="36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  <c r="AC137" s="18"/>
      <c r="AD137" s="18"/>
      <c r="AE137" s="18"/>
      <c r="AF137" s="18"/>
      <c r="AG137" s="18"/>
      <c r="AH137" s="18"/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  <c r="AV137" s="18"/>
      <c r="AW137" s="18"/>
      <c r="AX137" s="18"/>
      <c r="AY137" s="18"/>
      <c r="AZ137" s="18"/>
      <c r="BA137" s="18"/>
      <c r="BB137" s="18"/>
      <c r="BC137" s="18"/>
      <c r="BD137" s="18"/>
      <c r="BE137" s="18"/>
      <c r="BF137" s="18"/>
      <c r="BG137" s="18"/>
      <c r="BH137" s="18"/>
      <c r="BI137" s="18"/>
      <c r="BJ137" s="18"/>
      <c r="BK137" s="18"/>
      <c r="BL137" s="18"/>
      <c r="BM137" s="18"/>
      <c r="BN137" s="18"/>
      <c r="BO137" s="18"/>
      <c r="BP137" s="18"/>
      <c r="BQ137" s="18"/>
      <c r="BR137" s="18"/>
      <c r="BS137" s="18"/>
      <c r="BT137" s="18"/>
      <c r="BU137" s="18"/>
      <c r="BV137" s="18"/>
      <c r="BW137" s="18"/>
      <c r="BX137" s="18"/>
      <c r="BY137" s="18"/>
      <c r="BZ137" s="18"/>
      <c r="CA137" s="18"/>
      <c r="CB137" s="18"/>
      <c r="CC137" s="18"/>
      <c r="CD137" s="18"/>
      <c r="CE137" s="18"/>
      <c r="CF137" s="18"/>
      <c r="CG137" s="18"/>
      <c r="CH137" s="18"/>
      <c r="CI137" s="18"/>
      <c r="CJ137" s="18"/>
      <c r="CK137" s="18"/>
      <c r="CL137" s="18"/>
      <c r="CM137" s="18"/>
      <c r="CN137" s="18"/>
      <c r="CO137" s="18"/>
      <c r="CP137" s="18"/>
      <c r="CQ137" s="18"/>
      <c r="CR137" s="18"/>
      <c r="CS137" s="18"/>
      <c r="CT137" s="18"/>
      <c r="CU137" s="18"/>
      <c r="CV137" s="18"/>
      <c r="CW137" s="18"/>
      <c r="CX137" s="18"/>
      <c r="CY137" s="18"/>
      <c r="CZ137" s="18"/>
      <c r="DA137" s="18"/>
      <c r="DB137" s="18"/>
      <c r="DC137" s="18"/>
      <c r="DD137" s="18"/>
      <c r="DE137" s="18"/>
      <c r="DF137" s="18"/>
      <c r="DG137" s="18"/>
      <c r="DH137" s="18"/>
      <c r="DI137" s="18"/>
      <c r="DJ137" s="18"/>
      <c r="DK137" s="18"/>
      <c r="DL137" s="18"/>
      <c r="DM137" s="18"/>
      <c r="DN137" s="18"/>
      <c r="DO137" s="18"/>
      <c r="DP137" s="18"/>
      <c r="DQ137" s="18"/>
      <c r="DR137" s="18"/>
      <c r="DS137" s="18"/>
      <c r="DT137" s="18"/>
      <c r="DU137" s="18"/>
      <c r="DV137" s="18"/>
      <c r="DW137" s="18"/>
      <c r="DX137" s="18"/>
      <c r="DY137" s="18"/>
      <c r="DZ137" s="18"/>
      <c r="EA137" s="18"/>
      <c r="EB137" s="18"/>
      <c r="EC137" s="18"/>
      <c r="ED137" s="18"/>
      <c r="EE137" s="18"/>
      <c r="EF137" s="18"/>
      <c r="EG137" s="18"/>
      <c r="EH137" s="18"/>
      <c r="EI137" s="18"/>
      <c r="EJ137" s="18"/>
      <c r="EK137" s="18"/>
      <c r="EL137" s="18"/>
      <c r="EM137" s="18"/>
      <c r="EN137" s="18"/>
      <c r="EO137" s="18"/>
      <c r="EP137" s="18"/>
      <c r="EQ137" s="18"/>
      <c r="ER137" s="18"/>
      <c r="ES137" s="18"/>
      <c r="ET137" s="18"/>
      <c r="EU137" s="18"/>
      <c r="EV137" s="18"/>
      <c r="EW137" s="18"/>
      <c r="EX137" s="18"/>
      <c r="EY137" s="18"/>
      <c r="EZ137" s="18"/>
      <c r="FA137" s="18"/>
      <c r="FB137" s="18"/>
      <c r="FC137" s="18"/>
      <c r="FD137" s="18"/>
      <c r="FE137" s="18"/>
      <c r="FF137" s="18"/>
      <c r="FG137" s="18"/>
      <c r="FH137" s="18"/>
      <c r="FI137" s="18"/>
      <c r="FJ137" s="18"/>
      <c r="FK137" s="18"/>
      <c r="FL137" s="18"/>
      <c r="FM137" s="18"/>
      <c r="FN137" s="18"/>
      <c r="FO137" s="18"/>
      <c r="FP137" s="18"/>
      <c r="FQ137" s="18"/>
      <c r="FR137" s="18"/>
      <c r="FS137" s="18"/>
      <c r="FT137" s="18"/>
      <c r="FU137" s="18"/>
      <c r="FV137" s="18"/>
      <c r="FW137" s="18"/>
      <c r="FX137" s="18"/>
      <c r="FY137" s="18"/>
      <c r="FZ137" s="18"/>
      <c r="GA137" s="18"/>
      <c r="GB137" s="18"/>
      <c r="GC137" s="18"/>
      <c r="GD137" s="18"/>
      <c r="GE137" s="18"/>
      <c r="GF137" s="18"/>
      <c r="GG137" s="18"/>
      <c r="GH137" s="18"/>
      <c r="GI137" s="18"/>
      <c r="GJ137" s="18"/>
      <c r="GK137" s="18"/>
      <c r="GL137" s="18"/>
      <c r="GM137" s="18"/>
      <c r="GN137" s="18"/>
      <c r="GO137" s="18"/>
      <c r="GP137" s="18"/>
      <c r="GQ137" s="18"/>
      <c r="GR137" s="18"/>
      <c r="GS137" s="18"/>
      <c r="GT137" s="18"/>
      <c r="GU137" s="18"/>
      <c r="GV137" s="18"/>
      <c r="GW137" s="18"/>
      <c r="GX137" s="18"/>
      <c r="GY137" s="18"/>
      <c r="GZ137" s="18"/>
      <c r="HA137" s="18"/>
      <c r="HB137" s="18"/>
      <c r="HC137" s="18"/>
      <c r="HD137" s="18"/>
      <c r="HE137" s="18"/>
      <c r="HF137" s="18"/>
      <c r="HG137" s="18"/>
      <c r="HH137" s="18"/>
      <c r="HI137" s="18"/>
      <c r="HJ137" s="18"/>
      <c r="HK137" s="18"/>
      <c r="HL137" s="18"/>
      <c r="HM137" s="18"/>
      <c r="HN137" s="18"/>
      <c r="HO137" s="18"/>
      <c r="HP137" s="18"/>
      <c r="HQ137" s="18"/>
      <c r="HR137" s="18"/>
      <c r="HS137" s="18"/>
      <c r="HT137" s="18"/>
      <c r="HU137" s="18"/>
      <c r="HV137" s="18"/>
      <c r="HW137" s="18"/>
      <c r="HX137" s="18"/>
      <c r="HY137" s="18"/>
      <c r="HZ137" s="18"/>
      <c r="IA137" s="18"/>
      <c r="IB137" s="18"/>
      <c r="IC137" s="18"/>
      <c r="ID137" s="18"/>
      <c r="IE137" s="18"/>
      <c r="IF137" s="18"/>
      <c r="IG137" s="18"/>
      <c r="IH137" s="18"/>
      <c r="II137" s="18"/>
      <c r="IJ137" s="18"/>
      <c r="IK137" s="18"/>
      <c r="IL137" s="18"/>
      <c r="IM137" s="18"/>
      <c r="IN137" s="18"/>
      <c r="IO137" s="18"/>
      <c r="IP137" s="18"/>
      <c r="IQ137" s="18"/>
      <c r="IR137" s="18"/>
      <c r="IS137" s="18"/>
      <c r="IT137" s="18"/>
      <c r="IU137" s="18"/>
      <c r="IV137" s="18"/>
      <c r="IW137" s="18"/>
      <c r="IX137" s="18"/>
      <c r="IY137" s="18"/>
      <c r="IZ137" s="18"/>
      <c r="JA137" s="18"/>
      <c r="JB137" s="18"/>
      <c r="JC137" s="18"/>
      <c r="JD137" s="18"/>
      <c r="JE137" s="18"/>
      <c r="JF137" s="18"/>
      <c r="JG137" s="18"/>
      <c r="JH137" s="18"/>
      <c r="JI137" s="18"/>
      <c r="JJ137" s="18"/>
      <c r="JK137" s="18"/>
      <c r="JL137" s="18"/>
      <c r="JM137" s="18"/>
      <c r="JN137" s="18"/>
      <c r="JO137" s="18"/>
      <c r="JP137" s="18"/>
      <c r="JQ137" s="18"/>
      <c r="JR137" s="18"/>
      <c r="JS137" s="18"/>
      <c r="JT137" s="18"/>
      <c r="JU137" s="18"/>
      <c r="JV137" s="18"/>
      <c r="JW137" s="18"/>
      <c r="JX137" s="18"/>
      <c r="JY137" s="18"/>
      <c r="JZ137" s="18"/>
      <c r="KA137" s="18"/>
      <c r="KB137" s="18"/>
      <c r="KC137" s="18"/>
      <c r="KD137" s="18"/>
      <c r="KE137" s="18"/>
      <c r="KF137" s="18"/>
      <c r="KG137" s="18"/>
      <c r="KH137" s="18"/>
      <c r="KI137" s="18"/>
      <c r="KJ137" s="18"/>
      <c r="KK137" s="18"/>
      <c r="KL137" s="18"/>
      <c r="KM137" s="18"/>
      <c r="KN137" s="18"/>
      <c r="KO137" s="18"/>
      <c r="KP137" s="18"/>
      <c r="KQ137" s="18"/>
      <c r="KR137" s="18"/>
      <c r="KS137" s="18"/>
      <c r="KT137" s="18"/>
      <c r="KU137" s="18"/>
      <c r="KV137" s="18"/>
      <c r="KW137" s="18"/>
      <c r="KX137" s="18"/>
      <c r="KY137" s="18"/>
      <c r="KZ137" s="18"/>
      <c r="LA137" s="18"/>
      <c r="LB137" s="18"/>
      <c r="LC137" s="18"/>
      <c r="LD137" s="18"/>
      <c r="LE137" s="18"/>
      <c r="LF137" s="18"/>
      <c r="LG137" s="18"/>
      <c r="LH137" s="18"/>
      <c r="LI137" s="18"/>
      <c r="LJ137" s="18"/>
      <c r="LK137" s="18"/>
      <c r="LL137" s="18"/>
      <c r="LM137" s="18"/>
      <c r="LN137" s="18"/>
      <c r="LO137" s="18"/>
      <c r="LP137" s="18"/>
      <c r="LQ137" s="18"/>
      <c r="LR137" s="18"/>
      <c r="LS137" s="18"/>
      <c r="LT137" s="18"/>
      <c r="LU137" s="18"/>
      <c r="LV137" s="18"/>
      <c r="LW137" s="18"/>
      <c r="LX137" s="18"/>
      <c r="LY137" s="18"/>
      <c r="LZ137" s="18"/>
      <c r="MA137" s="18"/>
      <c r="MB137" s="18"/>
      <c r="MC137" s="18"/>
      <c r="MD137" s="18"/>
      <c r="ME137" s="18"/>
      <c r="MF137" s="18"/>
      <c r="MG137" s="18"/>
      <c r="MH137" s="18"/>
      <c r="MI137" s="18"/>
      <c r="MJ137" s="18"/>
      <c r="MK137" s="18"/>
      <c r="ML137" s="18"/>
      <c r="MM137" s="18"/>
      <c r="MN137" s="18"/>
      <c r="MO137" s="18"/>
      <c r="MP137" s="18"/>
      <c r="MQ137" s="18"/>
      <c r="MR137" s="18"/>
      <c r="MS137" s="18"/>
      <c r="MT137" s="18"/>
      <c r="MU137" s="18"/>
      <c r="MV137" s="18"/>
      <c r="MW137" s="18"/>
      <c r="MX137" s="18"/>
      <c r="MY137" s="18"/>
      <c r="MZ137" s="18"/>
      <c r="NA137" s="18"/>
      <c r="NB137" s="18"/>
      <c r="NC137" s="18"/>
      <c r="ND137" s="18"/>
      <c r="NE137" s="18"/>
      <c r="NF137" s="18"/>
      <c r="NG137" s="18"/>
      <c r="NH137" s="18"/>
      <c r="NI137" s="18"/>
      <c r="NJ137" s="18"/>
      <c r="NK137" s="18"/>
      <c r="NL137" s="18"/>
      <c r="NM137" s="18"/>
      <c r="NN137" s="18"/>
      <c r="NO137" s="18"/>
      <c r="NP137" s="18"/>
      <c r="NQ137" s="18"/>
      <c r="NR137" s="18"/>
      <c r="NS137" s="18"/>
      <c r="NT137" s="18"/>
      <c r="NU137" s="18"/>
      <c r="NV137" s="18"/>
      <c r="NW137" s="18"/>
      <c r="NX137" s="18"/>
      <c r="NY137" s="18"/>
      <c r="NZ137" s="18"/>
      <c r="OA137" s="18"/>
      <c r="OB137" s="18"/>
      <c r="OC137" s="18"/>
      <c r="OD137" s="18"/>
      <c r="OE137" s="18"/>
      <c r="OF137" s="18"/>
      <c r="OG137" s="18"/>
      <c r="OH137" s="18"/>
      <c r="OI137" s="18"/>
      <c r="OJ137" s="18"/>
      <c r="OK137" s="18"/>
      <c r="OL137" s="18"/>
      <c r="OM137" s="18"/>
      <c r="ON137" s="18"/>
      <c r="OO137" s="18"/>
      <c r="OP137" s="18"/>
      <c r="OQ137" s="18"/>
      <c r="OR137" s="18"/>
      <c r="OS137" s="18"/>
      <c r="OT137" s="18"/>
      <c r="OU137" s="18"/>
      <c r="OV137" s="18"/>
      <c r="OW137" s="18"/>
      <c r="OX137" s="18"/>
      <c r="OY137" s="18"/>
      <c r="OZ137" s="18"/>
      <c r="PA137" s="18"/>
      <c r="PB137" s="18"/>
      <c r="PC137" s="18"/>
      <c r="PD137" s="18"/>
      <c r="PE137" s="18"/>
      <c r="PF137" s="18"/>
      <c r="PG137" s="18"/>
      <c r="PH137" s="18"/>
      <c r="PI137" s="18"/>
      <c r="PJ137" s="18"/>
      <c r="PK137" s="18"/>
      <c r="PL137" s="18"/>
      <c r="PM137" s="18"/>
      <c r="PN137" s="18"/>
      <c r="PO137" s="18"/>
      <c r="PP137" s="18"/>
      <c r="PQ137" s="18"/>
      <c r="PR137" s="18"/>
      <c r="PS137" s="18"/>
      <c r="PT137" s="18"/>
      <c r="PU137" s="18"/>
      <c r="PV137" s="18"/>
      <c r="PW137" s="18"/>
      <c r="PX137" s="18"/>
      <c r="PY137" s="18"/>
      <c r="PZ137" s="18"/>
      <c r="QA137" s="18"/>
      <c r="QB137" s="18"/>
      <c r="QC137" s="18"/>
      <c r="QD137" s="18"/>
      <c r="QE137" s="18"/>
      <c r="QF137" s="18"/>
      <c r="QG137" s="18"/>
      <c r="QH137" s="18"/>
      <c r="QI137" s="18"/>
      <c r="QJ137" s="18"/>
      <c r="QK137" s="18"/>
      <c r="QL137" s="18"/>
      <c r="QM137" s="18"/>
      <c r="QN137" s="18"/>
      <c r="QO137" s="18"/>
      <c r="QP137" s="18"/>
      <c r="QQ137" s="18"/>
      <c r="QR137" s="18"/>
      <c r="QS137" s="18"/>
      <c r="QT137" s="18"/>
      <c r="QU137" s="18"/>
      <c r="QV137" s="18"/>
      <c r="QW137" s="18"/>
      <c r="QX137" s="18"/>
      <c r="QY137" s="18"/>
      <c r="QZ137" s="18"/>
      <c r="RA137" s="18"/>
      <c r="RB137" s="18"/>
      <c r="RC137" s="18"/>
      <c r="RD137" s="18"/>
      <c r="RE137" s="18"/>
      <c r="RF137" s="18"/>
      <c r="RG137" s="18"/>
      <c r="RH137" s="18"/>
      <c r="RI137" s="18"/>
      <c r="RJ137" s="18"/>
      <c r="RK137" s="18"/>
      <c r="RL137" s="18"/>
      <c r="RM137" s="18"/>
      <c r="RN137" s="18"/>
      <c r="RO137" s="18"/>
      <c r="RP137" s="18"/>
      <c r="RQ137" s="18"/>
      <c r="RR137" s="18"/>
      <c r="RS137" s="18"/>
      <c r="RT137" s="18"/>
      <c r="RU137" s="18"/>
      <c r="RV137" s="18"/>
      <c r="RW137" s="18"/>
      <c r="RX137" s="18"/>
      <c r="RY137" s="18"/>
      <c r="RZ137" s="18"/>
      <c r="SA137" s="18"/>
      <c r="SB137" s="18"/>
      <c r="SC137" s="18"/>
      <c r="SD137" s="18"/>
      <c r="SE137" s="18"/>
      <c r="SF137" s="18"/>
      <c r="SG137" s="18"/>
      <c r="SH137" s="18"/>
      <c r="SI137" s="18"/>
      <c r="SJ137" s="18"/>
      <c r="SK137" s="18"/>
      <c r="SL137" s="18"/>
      <c r="SM137" s="18"/>
      <c r="SN137" s="18"/>
      <c r="SO137" s="18"/>
      <c r="SP137" s="18"/>
      <c r="SQ137" s="18"/>
      <c r="SR137" s="18"/>
      <c r="SS137" s="18"/>
      <c r="ST137" s="18"/>
      <c r="SU137" s="18"/>
      <c r="SV137" s="18"/>
      <c r="SW137" s="18"/>
      <c r="SX137" s="18"/>
      <c r="SY137" s="18"/>
      <c r="SZ137" s="18"/>
      <c r="TA137" s="18"/>
      <c r="TB137" s="18"/>
      <c r="TC137" s="18"/>
      <c r="TD137" s="18"/>
      <c r="TE137" s="18"/>
      <c r="TF137" s="18"/>
      <c r="TG137" s="18"/>
      <c r="TH137" s="18"/>
      <c r="TI137" s="18"/>
      <c r="TJ137" s="18"/>
      <c r="TK137" s="18"/>
      <c r="TL137" s="18"/>
      <c r="TM137" s="18"/>
      <c r="TN137" s="18"/>
      <c r="TO137" s="18"/>
      <c r="TP137" s="18"/>
      <c r="TQ137" s="18"/>
      <c r="TR137" s="18"/>
      <c r="TS137" s="18"/>
      <c r="TT137" s="18"/>
      <c r="TU137" s="18"/>
      <c r="TV137" s="18"/>
      <c r="TW137" s="18"/>
      <c r="TX137" s="18"/>
      <c r="TY137" s="18"/>
      <c r="TZ137" s="18"/>
      <c r="UA137" s="18"/>
      <c r="UB137" s="18"/>
      <c r="UC137" s="18"/>
      <c r="UD137" s="18"/>
      <c r="UE137" s="18"/>
      <c r="UF137" s="18"/>
      <c r="UG137" s="18"/>
      <c r="UH137" s="18"/>
      <c r="UI137" s="18"/>
      <c r="UJ137" s="18"/>
      <c r="UK137" s="18"/>
      <c r="UL137" s="18"/>
      <c r="UM137" s="18"/>
      <c r="UN137" s="18"/>
      <c r="UO137" s="18"/>
      <c r="UP137" s="18"/>
      <c r="UQ137" s="18"/>
      <c r="UR137" s="18"/>
      <c r="US137" s="18"/>
      <c r="UT137" s="18"/>
      <c r="UU137" s="18"/>
      <c r="UV137" s="18"/>
      <c r="UW137" s="18"/>
      <c r="UX137" s="18"/>
      <c r="UY137" s="18"/>
      <c r="UZ137" s="18"/>
      <c r="VA137" s="18"/>
      <c r="VB137" s="18"/>
      <c r="VC137" s="18"/>
      <c r="VD137" s="18"/>
      <c r="VE137" s="18"/>
      <c r="VF137" s="18"/>
      <c r="VG137" s="18"/>
      <c r="VH137" s="18"/>
      <c r="VI137" s="18"/>
      <c r="VJ137" s="18"/>
      <c r="VK137" s="18"/>
      <c r="VL137" s="18"/>
      <c r="VM137" s="18"/>
      <c r="VN137" s="18"/>
      <c r="VO137" s="18"/>
      <c r="VP137" s="18"/>
      <c r="VQ137" s="18"/>
      <c r="VR137" s="18"/>
      <c r="VS137" s="18"/>
      <c r="VT137" s="18"/>
      <c r="VU137" s="18"/>
      <c r="VV137" s="18"/>
      <c r="VW137" s="18"/>
      <c r="VX137" s="18"/>
      <c r="VY137" s="18"/>
      <c r="VZ137" s="18"/>
      <c r="WA137" s="18"/>
      <c r="WB137" s="18"/>
      <c r="WC137" s="18"/>
      <c r="WD137" s="18"/>
      <c r="WE137" s="18"/>
      <c r="WF137" s="18"/>
      <c r="WG137" s="18"/>
      <c r="WH137" s="18"/>
      <c r="WI137" s="18"/>
      <c r="WJ137" s="18"/>
      <c r="WK137" s="18"/>
      <c r="WL137" s="18"/>
      <c r="WM137" s="18"/>
      <c r="WN137" s="18"/>
      <c r="WO137" s="18"/>
      <c r="WP137" s="18"/>
      <c r="WQ137" s="18"/>
      <c r="WR137" s="18"/>
      <c r="WS137" s="18"/>
      <c r="WT137" s="18"/>
      <c r="WU137" s="18"/>
      <c r="WV137" s="18"/>
      <c r="WW137" s="18"/>
      <c r="WX137" s="18"/>
      <c r="WY137" s="18"/>
      <c r="WZ137" s="18"/>
      <c r="XA137" s="18"/>
      <c r="XB137" s="18"/>
      <c r="XC137" s="18"/>
      <c r="XD137" s="18"/>
      <c r="XE137" s="18"/>
      <c r="XF137" s="18"/>
      <c r="XG137" s="18"/>
      <c r="XH137" s="18"/>
      <c r="XI137" s="18"/>
      <c r="XJ137" s="18"/>
      <c r="XK137" s="18"/>
      <c r="XL137" s="18"/>
      <c r="XM137" s="18"/>
      <c r="XN137" s="18"/>
      <c r="XO137" s="18"/>
      <c r="XP137" s="18"/>
      <c r="XQ137" s="18"/>
      <c r="XR137" s="18"/>
      <c r="XS137" s="18"/>
      <c r="XT137" s="18"/>
      <c r="XU137" s="18"/>
      <c r="XV137" s="18"/>
      <c r="XW137" s="18"/>
      <c r="XX137" s="18"/>
      <c r="XY137" s="18"/>
      <c r="XZ137" s="18"/>
      <c r="YA137" s="18"/>
      <c r="YB137" s="18"/>
      <c r="YC137" s="18"/>
      <c r="YD137" s="18"/>
      <c r="YE137" s="18"/>
      <c r="YF137" s="18"/>
      <c r="YG137" s="18"/>
      <c r="YH137" s="18"/>
      <c r="YI137" s="18"/>
      <c r="YJ137" s="18"/>
      <c r="YK137" s="18"/>
      <c r="YL137" s="18"/>
      <c r="YM137" s="18"/>
      <c r="YN137" s="18"/>
      <c r="YO137" s="18"/>
      <c r="YP137" s="18"/>
      <c r="YQ137" s="18"/>
      <c r="YR137" s="18"/>
      <c r="YS137" s="18"/>
      <c r="YT137" s="18"/>
      <c r="YU137" s="18"/>
      <c r="YV137" s="18"/>
      <c r="YW137" s="18"/>
      <c r="YX137" s="18"/>
      <c r="YY137" s="18"/>
      <c r="YZ137" s="18"/>
      <c r="ZA137" s="18"/>
      <c r="ZB137" s="18"/>
      <c r="ZC137" s="18"/>
      <c r="ZD137" s="18"/>
      <c r="ZE137" s="18"/>
      <c r="ZF137" s="18"/>
      <c r="ZG137" s="18"/>
      <c r="ZH137" s="18"/>
      <c r="ZI137" s="18"/>
      <c r="ZJ137" s="18"/>
      <c r="ZK137" s="18"/>
      <c r="ZL137" s="18"/>
      <c r="ZM137" s="18"/>
      <c r="ZN137" s="18"/>
      <c r="ZO137" s="18"/>
      <c r="ZP137" s="18"/>
      <c r="ZQ137" s="18"/>
      <c r="ZR137" s="18"/>
      <c r="ZS137" s="18"/>
      <c r="ZT137" s="18"/>
      <c r="ZU137" s="18"/>
      <c r="ZV137" s="18"/>
      <c r="ZW137" s="18"/>
      <c r="ZX137" s="18"/>
      <c r="ZY137" s="18"/>
      <c r="ZZ137" s="18"/>
      <c r="AAA137" s="18"/>
      <c r="AAB137" s="18"/>
      <c r="AAC137" s="18"/>
      <c r="AAD137" s="18"/>
      <c r="AAE137" s="18"/>
      <c r="AAF137" s="18"/>
      <c r="AAG137" s="18"/>
      <c r="AAH137" s="18"/>
      <c r="AAI137" s="18"/>
      <c r="AAJ137" s="18"/>
      <c r="AAK137" s="18"/>
      <c r="AAL137" s="18"/>
      <c r="AAM137" s="18"/>
      <c r="AAN137" s="18"/>
      <c r="AAO137" s="18"/>
      <c r="AAP137" s="18"/>
      <c r="AAQ137" s="18"/>
      <c r="AAR137" s="18"/>
      <c r="AAS137" s="18"/>
      <c r="AAT137" s="18"/>
      <c r="AAU137" s="18"/>
      <c r="AAV137" s="18"/>
      <c r="AAW137" s="18"/>
      <c r="AAX137" s="18"/>
      <c r="AAY137" s="18"/>
      <c r="AAZ137" s="18"/>
      <c r="ABA137" s="18"/>
      <c r="ABB137" s="18"/>
      <c r="ABC137" s="18"/>
      <c r="ABD137" s="18"/>
      <c r="ABE137" s="18"/>
      <c r="ABF137" s="18"/>
      <c r="ABG137" s="18"/>
      <c r="ABH137" s="18"/>
      <c r="ABI137" s="18"/>
      <c r="ABJ137" s="18"/>
      <c r="ABK137" s="18"/>
      <c r="ABL137" s="18"/>
      <c r="ABM137" s="18"/>
      <c r="ABN137" s="18"/>
      <c r="ABO137" s="18"/>
      <c r="ABP137" s="18"/>
      <c r="ABQ137" s="18"/>
      <c r="ABR137" s="18"/>
      <c r="ABS137" s="18"/>
      <c r="ABT137" s="18"/>
      <c r="ABU137" s="18"/>
      <c r="ABV137" s="18"/>
      <c r="ABW137" s="18"/>
      <c r="ABX137" s="18"/>
      <c r="ABY137" s="18"/>
      <c r="ABZ137" s="18"/>
      <c r="ACA137" s="18"/>
      <c r="ACB137" s="18"/>
      <c r="ACC137" s="18"/>
      <c r="ACD137" s="18"/>
      <c r="ACE137" s="18"/>
      <c r="ACF137" s="18"/>
      <c r="ACG137" s="18"/>
      <c r="ACH137" s="18"/>
      <c r="ACI137" s="18"/>
      <c r="ACJ137" s="18"/>
      <c r="ACK137" s="18"/>
      <c r="ACL137" s="18"/>
      <c r="ACM137" s="18"/>
      <c r="ACN137" s="18"/>
      <c r="ACO137" s="18"/>
      <c r="ACP137" s="18"/>
      <c r="ACQ137" s="18"/>
      <c r="ACR137" s="18"/>
      <c r="ACS137" s="18"/>
      <c r="ACT137" s="18"/>
      <c r="ACU137" s="18"/>
      <c r="ACV137" s="18"/>
      <c r="ACW137" s="18"/>
      <c r="ACX137" s="18"/>
      <c r="ACY137" s="18"/>
      <c r="ACZ137" s="18"/>
      <c r="ADA137" s="18"/>
      <c r="ADB137" s="18"/>
      <c r="ADC137" s="18"/>
      <c r="ADD137" s="18"/>
      <c r="ADE137" s="18"/>
      <c r="ADF137" s="18"/>
      <c r="ADG137" s="18"/>
      <c r="ADH137" s="18"/>
      <c r="ADI137" s="18"/>
      <c r="ADJ137" s="18"/>
      <c r="ADK137" s="18"/>
      <c r="ADL137" s="18"/>
      <c r="ADM137" s="18"/>
      <c r="ADN137" s="18"/>
      <c r="ADO137" s="18"/>
      <c r="ADP137" s="18"/>
      <c r="ADQ137" s="18"/>
      <c r="ADR137" s="18"/>
      <c r="ADS137" s="18"/>
      <c r="ADT137" s="18"/>
      <c r="ADU137" s="18"/>
      <c r="ADV137" s="18"/>
      <c r="ADW137" s="18"/>
      <c r="ADX137" s="18"/>
      <c r="ADY137" s="18"/>
      <c r="ADZ137" s="18"/>
      <c r="AEA137" s="18"/>
      <c r="AEB137" s="18"/>
      <c r="AEC137" s="18"/>
      <c r="AED137" s="18"/>
      <c r="AEE137" s="18"/>
      <c r="AEF137" s="18"/>
      <c r="AEG137" s="18"/>
      <c r="AEH137" s="18"/>
      <c r="AEI137" s="18"/>
      <c r="AEJ137" s="18"/>
      <c r="AEK137" s="18"/>
      <c r="AEL137" s="18"/>
      <c r="AEM137" s="18"/>
      <c r="AEN137" s="18"/>
      <c r="AEO137" s="18"/>
      <c r="AEP137" s="18"/>
      <c r="AEQ137" s="18"/>
      <c r="AER137" s="18"/>
      <c r="AES137" s="18"/>
      <c r="AET137" s="18"/>
      <c r="AEU137" s="18"/>
      <c r="AEV137" s="18"/>
      <c r="AEW137" s="18"/>
      <c r="AEX137" s="18"/>
      <c r="AEY137" s="18"/>
      <c r="AEZ137" s="18"/>
      <c r="AFA137" s="18"/>
      <c r="AFB137" s="18"/>
      <c r="AFC137" s="18"/>
      <c r="AFD137" s="18"/>
      <c r="AFE137" s="18"/>
      <c r="AFF137" s="18"/>
      <c r="AFG137" s="18"/>
      <c r="AFH137" s="18"/>
      <c r="AFI137" s="18"/>
      <c r="AFJ137" s="18"/>
      <c r="AFK137" s="18"/>
      <c r="AFL137" s="18"/>
      <c r="AFM137" s="18"/>
      <c r="AFN137" s="18"/>
      <c r="AFO137" s="18"/>
      <c r="AFP137" s="18"/>
      <c r="AFQ137" s="18"/>
      <c r="AFR137" s="18"/>
      <c r="AFS137" s="18"/>
      <c r="AFT137" s="18"/>
      <c r="AFU137" s="18"/>
      <c r="AFV137" s="18"/>
      <c r="AFW137" s="18"/>
      <c r="AFX137" s="18"/>
      <c r="AFY137" s="18"/>
      <c r="AFZ137" s="18"/>
      <c r="AGA137" s="18"/>
      <c r="AGB137" s="18"/>
      <c r="AGC137" s="18"/>
      <c r="AGD137" s="18"/>
      <c r="AGE137" s="18"/>
      <c r="AGF137" s="18"/>
      <c r="AGG137" s="18"/>
      <c r="AGH137" s="18"/>
      <c r="AGI137" s="18"/>
      <c r="AGJ137" s="18"/>
      <c r="AGK137" s="18"/>
      <c r="AGL137" s="18"/>
      <c r="AGM137" s="18"/>
      <c r="AGN137" s="18"/>
      <c r="AGO137" s="18"/>
      <c r="AGP137" s="18"/>
      <c r="AGQ137" s="18"/>
      <c r="AGR137" s="18"/>
      <c r="AGS137" s="18"/>
      <c r="AGT137" s="18"/>
      <c r="AGU137" s="18"/>
      <c r="AGV137" s="18"/>
      <c r="AGW137" s="18"/>
      <c r="AGX137" s="18"/>
      <c r="AGY137" s="18"/>
      <c r="AGZ137" s="18"/>
      <c r="AHA137" s="18"/>
      <c r="AHB137" s="18"/>
      <c r="AHC137" s="18"/>
      <c r="AHD137" s="18"/>
      <c r="AHE137" s="18"/>
      <c r="AHF137" s="18"/>
      <c r="AHG137" s="18"/>
      <c r="AHH137" s="18"/>
      <c r="AHI137" s="18"/>
      <c r="AHJ137" s="18"/>
      <c r="AHK137" s="18"/>
      <c r="AHL137" s="18"/>
      <c r="AHM137" s="18"/>
      <c r="AHN137" s="18"/>
      <c r="AHO137" s="18"/>
      <c r="AHP137" s="18"/>
      <c r="AHQ137" s="18"/>
      <c r="AHR137" s="18"/>
      <c r="AHS137" s="18"/>
      <c r="AHT137" s="18"/>
      <c r="AHU137" s="18"/>
      <c r="AHV137" s="18"/>
      <c r="AHW137" s="18"/>
      <c r="AHX137" s="18"/>
      <c r="AHY137" s="18"/>
      <c r="AHZ137" s="18"/>
      <c r="AIA137" s="18"/>
      <c r="AIB137" s="18"/>
      <c r="AIC137" s="18"/>
      <c r="AID137" s="18"/>
      <c r="AIE137" s="18"/>
      <c r="AIF137" s="18"/>
      <c r="AIG137" s="18"/>
      <c r="AIH137" s="18"/>
      <c r="AII137" s="18"/>
      <c r="AIJ137" s="18"/>
      <c r="AIK137" s="18"/>
      <c r="AIL137" s="18"/>
      <c r="AIM137" s="18"/>
      <c r="AIN137" s="18"/>
      <c r="AIO137" s="18"/>
      <c r="AIP137" s="18"/>
      <c r="AIQ137" s="18"/>
      <c r="AIR137" s="18"/>
      <c r="AIS137" s="18"/>
      <c r="AIT137" s="18"/>
      <c r="AIU137" s="18"/>
      <c r="AIV137" s="18"/>
      <c r="AIW137" s="18"/>
      <c r="AIX137" s="18"/>
      <c r="AIY137" s="18"/>
      <c r="AIZ137" s="18"/>
      <c r="AJA137" s="18"/>
      <c r="AJB137" s="18"/>
      <c r="AJC137" s="18"/>
      <c r="AJD137" s="18"/>
      <c r="AJE137" s="18"/>
      <c r="AJF137" s="18"/>
      <c r="AJG137" s="18"/>
      <c r="AJH137" s="18"/>
      <c r="AJI137" s="18"/>
      <c r="AJJ137" s="18"/>
      <c r="AJK137" s="18"/>
      <c r="AJL137" s="18"/>
      <c r="AJM137" s="18"/>
      <c r="AJN137" s="18"/>
      <c r="AJO137" s="18"/>
      <c r="AJP137" s="18"/>
      <c r="AJQ137" s="18"/>
      <c r="AJR137" s="18"/>
      <c r="AJS137" s="18"/>
      <c r="AJT137" s="18"/>
      <c r="AJU137" s="18"/>
      <c r="AJV137" s="18"/>
      <c r="AJW137" s="18"/>
      <c r="AJX137" s="18"/>
      <c r="AJY137" s="18"/>
      <c r="AJZ137" s="18"/>
      <c r="AKA137" s="18"/>
      <c r="AKB137" s="18"/>
      <c r="AKC137" s="18"/>
      <c r="AKD137" s="18"/>
      <c r="AKE137" s="18"/>
      <c r="AKF137" s="18"/>
      <c r="AKG137" s="18"/>
      <c r="AKH137" s="18"/>
      <c r="AKI137" s="18"/>
      <c r="AKJ137" s="18"/>
      <c r="AKK137" s="18"/>
      <c r="AKL137" s="18"/>
      <c r="AKM137" s="18"/>
      <c r="AKN137" s="18"/>
      <c r="AKO137" s="18"/>
      <c r="AKP137" s="18"/>
      <c r="AKQ137" s="18"/>
      <c r="AKR137" s="18"/>
      <c r="AKS137" s="18"/>
      <c r="AKT137" s="18"/>
      <c r="AKU137" s="18"/>
      <c r="AKV137" s="18"/>
      <c r="AKW137" s="18"/>
      <c r="AKX137" s="18"/>
      <c r="AKY137" s="18"/>
      <c r="AKZ137" s="18"/>
      <c r="ALA137" s="18"/>
      <c r="ALB137" s="18"/>
      <c r="ALC137" s="18"/>
      <c r="ALD137" s="18"/>
      <c r="ALE137" s="18"/>
      <c r="ALF137" s="18"/>
      <c r="ALG137" s="18"/>
      <c r="ALH137" s="18"/>
      <c r="ALI137" s="18"/>
      <c r="ALJ137" s="18"/>
      <c r="ALK137" s="18"/>
      <c r="ALL137" s="18"/>
      <c r="ALM137" s="18"/>
      <c r="ALN137" s="18"/>
      <c r="ALO137" s="18"/>
      <c r="ALP137" s="18"/>
      <c r="ALQ137" s="18"/>
      <c r="ALR137" s="18"/>
      <c r="ALS137" s="18"/>
      <c r="ALT137" s="18"/>
      <c r="ALU137" s="18"/>
      <c r="ALV137" s="18"/>
      <c r="ALW137" s="18"/>
      <c r="ALX137" s="18"/>
      <c r="ALY137" s="18"/>
      <c r="ALZ137" s="18"/>
      <c r="AMA137" s="18"/>
      <c r="AMB137" s="18"/>
      <c r="AMC137" s="18"/>
      <c r="AMD137" s="18"/>
      <c r="AME137" s="18"/>
      <c r="AMF137" s="18"/>
      <c r="AMG137" s="18"/>
      <c r="AMH137" s="18"/>
    </row>
    <row r="138" spans="1:1022" s="23" customFormat="1" x14ac:dyDescent="0.3">
      <c r="A138" s="33">
        <v>234</v>
      </c>
      <c r="B138" s="19"/>
      <c r="C138" s="19"/>
      <c r="D138" s="34"/>
      <c r="E138" s="34"/>
      <c r="F138" s="19"/>
      <c r="G138" s="19"/>
      <c r="H138" s="18"/>
      <c r="I138" s="49"/>
      <c r="J138" s="31"/>
      <c r="K138" s="31"/>
      <c r="L138" s="31"/>
      <c r="M138" s="32"/>
      <c r="N138" s="32"/>
      <c r="O138" s="18"/>
      <c r="P138" s="36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  <c r="BB138" s="18"/>
      <c r="BC138" s="18"/>
      <c r="BD138" s="18"/>
      <c r="BE138" s="18"/>
      <c r="BF138" s="18"/>
      <c r="BG138" s="18"/>
      <c r="BH138" s="18"/>
      <c r="BI138" s="18"/>
      <c r="BJ138" s="18"/>
      <c r="BK138" s="18"/>
      <c r="BL138" s="18"/>
      <c r="BM138" s="18"/>
      <c r="BN138" s="18"/>
      <c r="BO138" s="18"/>
      <c r="BP138" s="18"/>
      <c r="BQ138" s="18"/>
      <c r="BR138" s="18"/>
      <c r="BS138" s="18"/>
      <c r="BT138" s="18"/>
      <c r="BU138" s="18"/>
      <c r="BV138" s="18"/>
      <c r="BW138" s="18"/>
      <c r="BX138" s="18"/>
      <c r="BY138" s="18"/>
      <c r="BZ138" s="18"/>
      <c r="CA138" s="18"/>
      <c r="CB138" s="18"/>
      <c r="CC138" s="18"/>
      <c r="CD138" s="18"/>
      <c r="CE138" s="18"/>
      <c r="CF138" s="18"/>
      <c r="CG138" s="18"/>
      <c r="CH138" s="18"/>
      <c r="CI138" s="18"/>
      <c r="CJ138" s="18"/>
      <c r="CK138" s="18"/>
      <c r="CL138" s="18"/>
      <c r="CM138" s="18"/>
      <c r="CN138" s="18"/>
      <c r="CO138" s="18"/>
      <c r="CP138" s="18"/>
      <c r="CQ138" s="18"/>
      <c r="CR138" s="18"/>
      <c r="CS138" s="18"/>
      <c r="CT138" s="18"/>
      <c r="CU138" s="18"/>
      <c r="CV138" s="18"/>
      <c r="CW138" s="18"/>
      <c r="CX138" s="18"/>
      <c r="CY138" s="18"/>
      <c r="CZ138" s="18"/>
      <c r="DA138" s="18"/>
      <c r="DB138" s="18"/>
      <c r="DC138" s="18"/>
      <c r="DD138" s="18"/>
      <c r="DE138" s="18"/>
      <c r="DF138" s="18"/>
      <c r="DG138" s="18"/>
      <c r="DH138" s="18"/>
      <c r="DI138" s="18"/>
      <c r="DJ138" s="18"/>
      <c r="DK138" s="18"/>
      <c r="DL138" s="18"/>
      <c r="DM138" s="18"/>
      <c r="DN138" s="18"/>
      <c r="DO138" s="18"/>
      <c r="DP138" s="18"/>
      <c r="DQ138" s="18"/>
      <c r="DR138" s="18"/>
      <c r="DS138" s="18"/>
      <c r="DT138" s="18"/>
      <c r="DU138" s="18"/>
      <c r="DV138" s="18"/>
      <c r="DW138" s="18"/>
      <c r="DX138" s="18"/>
      <c r="DY138" s="18"/>
      <c r="DZ138" s="18"/>
      <c r="EA138" s="18"/>
      <c r="EB138" s="18"/>
      <c r="EC138" s="18"/>
      <c r="ED138" s="18"/>
      <c r="EE138" s="18"/>
      <c r="EF138" s="18"/>
      <c r="EG138" s="18"/>
      <c r="EH138" s="18"/>
      <c r="EI138" s="18"/>
      <c r="EJ138" s="18"/>
      <c r="EK138" s="18"/>
      <c r="EL138" s="18"/>
      <c r="EM138" s="18"/>
      <c r="EN138" s="18"/>
      <c r="EO138" s="18"/>
      <c r="EP138" s="18"/>
      <c r="EQ138" s="18"/>
      <c r="ER138" s="18"/>
      <c r="ES138" s="18"/>
      <c r="ET138" s="18"/>
      <c r="EU138" s="18"/>
      <c r="EV138" s="18"/>
      <c r="EW138" s="18"/>
      <c r="EX138" s="18"/>
      <c r="EY138" s="18"/>
      <c r="EZ138" s="18"/>
      <c r="FA138" s="18"/>
      <c r="FB138" s="18"/>
      <c r="FC138" s="18"/>
      <c r="FD138" s="18"/>
      <c r="FE138" s="18"/>
      <c r="FF138" s="18"/>
      <c r="FG138" s="18"/>
      <c r="FH138" s="18"/>
      <c r="FI138" s="18"/>
      <c r="FJ138" s="18"/>
      <c r="FK138" s="18"/>
      <c r="FL138" s="18"/>
      <c r="FM138" s="18"/>
      <c r="FN138" s="18"/>
      <c r="FO138" s="18"/>
      <c r="FP138" s="18"/>
      <c r="FQ138" s="18"/>
      <c r="FR138" s="18"/>
      <c r="FS138" s="18"/>
      <c r="FT138" s="18"/>
      <c r="FU138" s="18"/>
      <c r="FV138" s="18"/>
      <c r="FW138" s="18"/>
      <c r="FX138" s="18"/>
      <c r="FY138" s="18"/>
      <c r="FZ138" s="18"/>
      <c r="GA138" s="18"/>
      <c r="GB138" s="18"/>
      <c r="GC138" s="18"/>
      <c r="GD138" s="18"/>
      <c r="GE138" s="18"/>
      <c r="GF138" s="18"/>
      <c r="GG138" s="18"/>
      <c r="GH138" s="18"/>
      <c r="GI138" s="18"/>
      <c r="GJ138" s="18"/>
      <c r="GK138" s="18"/>
      <c r="GL138" s="18"/>
      <c r="GM138" s="18"/>
      <c r="GN138" s="18"/>
      <c r="GO138" s="18"/>
      <c r="GP138" s="18"/>
      <c r="GQ138" s="18"/>
      <c r="GR138" s="18"/>
      <c r="GS138" s="18"/>
      <c r="GT138" s="18"/>
      <c r="GU138" s="18"/>
      <c r="GV138" s="18"/>
      <c r="GW138" s="18"/>
      <c r="GX138" s="18"/>
      <c r="GY138" s="18"/>
      <c r="GZ138" s="18"/>
      <c r="HA138" s="18"/>
      <c r="HB138" s="18"/>
      <c r="HC138" s="18"/>
      <c r="HD138" s="18"/>
      <c r="HE138" s="18"/>
      <c r="HF138" s="18"/>
      <c r="HG138" s="18"/>
      <c r="HH138" s="18"/>
      <c r="HI138" s="18"/>
      <c r="HJ138" s="18"/>
      <c r="HK138" s="18"/>
      <c r="HL138" s="18"/>
      <c r="HM138" s="18"/>
      <c r="HN138" s="18"/>
      <c r="HO138" s="18"/>
      <c r="HP138" s="18"/>
      <c r="HQ138" s="18"/>
      <c r="HR138" s="18"/>
      <c r="HS138" s="18"/>
      <c r="HT138" s="18"/>
      <c r="HU138" s="18"/>
      <c r="HV138" s="18"/>
      <c r="HW138" s="18"/>
      <c r="HX138" s="18"/>
      <c r="HY138" s="18"/>
      <c r="HZ138" s="18"/>
      <c r="IA138" s="18"/>
      <c r="IB138" s="18"/>
      <c r="IC138" s="18"/>
      <c r="ID138" s="18"/>
      <c r="IE138" s="18"/>
      <c r="IF138" s="18"/>
      <c r="IG138" s="18"/>
      <c r="IH138" s="18"/>
      <c r="II138" s="18"/>
      <c r="IJ138" s="18"/>
      <c r="IK138" s="18"/>
      <c r="IL138" s="18"/>
      <c r="IM138" s="18"/>
      <c r="IN138" s="18"/>
      <c r="IO138" s="18"/>
      <c r="IP138" s="18"/>
      <c r="IQ138" s="18"/>
      <c r="IR138" s="18"/>
      <c r="IS138" s="18"/>
      <c r="IT138" s="18"/>
      <c r="IU138" s="18"/>
      <c r="IV138" s="18"/>
      <c r="IW138" s="18"/>
      <c r="IX138" s="18"/>
      <c r="IY138" s="18"/>
      <c r="IZ138" s="18"/>
      <c r="JA138" s="18"/>
      <c r="JB138" s="18"/>
      <c r="JC138" s="18"/>
      <c r="JD138" s="18"/>
      <c r="JE138" s="18"/>
      <c r="JF138" s="18"/>
      <c r="JG138" s="18"/>
      <c r="JH138" s="18"/>
      <c r="JI138" s="18"/>
      <c r="JJ138" s="18"/>
      <c r="JK138" s="18"/>
      <c r="JL138" s="18"/>
      <c r="JM138" s="18"/>
      <c r="JN138" s="18"/>
      <c r="JO138" s="18"/>
      <c r="JP138" s="18"/>
      <c r="JQ138" s="18"/>
      <c r="JR138" s="18"/>
      <c r="JS138" s="18"/>
      <c r="JT138" s="18"/>
      <c r="JU138" s="18"/>
      <c r="JV138" s="18"/>
      <c r="JW138" s="18"/>
      <c r="JX138" s="18"/>
      <c r="JY138" s="18"/>
      <c r="JZ138" s="18"/>
      <c r="KA138" s="18"/>
      <c r="KB138" s="18"/>
      <c r="KC138" s="18"/>
      <c r="KD138" s="18"/>
      <c r="KE138" s="18"/>
      <c r="KF138" s="18"/>
      <c r="KG138" s="18"/>
      <c r="KH138" s="18"/>
      <c r="KI138" s="18"/>
      <c r="KJ138" s="18"/>
      <c r="KK138" s="18"/>
      <c r="KL138" s="18"/>
      <c r="KM138" s="18"/>
      <c r="KN138" s="18"/>
      <c r="KO138" s="18"/>
      <c r="KP138" s="18"/>
      <c r="KQ138" s="18"/>
      <c r="KR138" s="18"/>
      <c r="KS138" s="18"/>
      <c r="KT138" s="18"/>
      <c r="KU138" s="18"/>
      <c r="KV138" s="18"/>
      <c r="KW138" s="18"/>
      <c r="KX138" s="18"/>
      <c r="KY138" s="18"/>
      <c r="KZ138" s="18"/>
      <c r="LA138" s="18"/>
      <c r="LB138" s="18"/>
      <c r="LC138" s="18"/>
      <c r="LD138" s="18"/>
      <c r="LE138" s="18"/>
      <c r="LF138" s="18"/>
      <c r="LG138" s="18"/>
      <c r="LH138" s="18"/>
      <c r="LI138" s="18"/>
      <c r="LJ138" s="18"/>
      <c r="LK138" s="18"/>
      <c r="LL138" s="18"/>
      <c r="LM138" s="18"/>
      <c r="LN138" s="18"/>
      <c r="LO138" s="18"/>
      <c r="LP138" s="18"/>
      <c r="LQ138" s="18"/>
      <c r="LR138" s="18"/>
      <c r="LS138" s="18"/>
      <c r="LT138" s="18"/>
      <c r="LU138" s="18"/>
      <c r="LV138" s="18"/>
      <c r="LW138" s="18"/>
      <c r="LX138" s="18"/>
      <c r="LY138" s="18"/>
      <c r="LZ138" s="18"/>
      <c r="MA138" s="18"/>
      <c r="MB138" s="18"/>
      <c r="MC138" s="18"/>
      <c r="MD138" s="18"/>
      <c r="ME138" s="18"/>
      <c r="MF138" s="18"/>
      <c r="MG138" s="18"/>
      <c r="MH138" s="18"/>
      <c r="MI138" s="18"/>
      <c r="MJ138" s="18"/>
      <c r="MK138" s="18"/>
      <c r="ML138" s="18"/>
      <c r="MM138" s="18"/>
      <c r="MN138" s="18"/>
      <c r="MO138" s="18"/>
      <c r="MP138" s="18"/>
      <c r="MQ138" s="18"/>
      <c r="MR138" s="18"/>
      <c r="MS138" s="18"/>
      <c r="MT138" s="18"/>
      <c r="MU138" s="18"/>
      <c r="MV138" s="18"/>
      <c r="MW138" s="18"/>
      <c r="MX138" s="18"/>
      <c r="MY138" s="18"/>
      <c r="MZ138" s="18"/>
      <c r="NA138" s="18"/>
      <c r="NB138" s="18"/>
      <c r="NC138" s="18"/>
      <c r="ND138" s="18"/>
      <c r="NE138" s="18"/>
      <c r="NF138" s="18"/>
      <c r="NG138" s="18"/>
      <c r="NH138" s="18"/>
      <c r="NI138" s="18"/>
      <c r="NJ138" s="18"/>
      <c r="NK138" s="18"/>
      <c r="NL138" s="18"/>
      <c r="NM138" s="18"/>
      <c r="NN138" s="18"/>
      <c r="NO138" s="18"/>
      <c r="NP138" s="18"/>
      <c r="NQ138" s="18"/>
      <c r="NR138" s="18"/>
      <c r="NS138" s="18"/>
      <c r="NT138" s="18"/>
      <c r="NU138" s="18"/>
      <c r="NV138" s="18"/>
      <c r="NW138" s="18"/>
      <c r="NX138" s="18"/>
      <c r="NY138" s="18"/>
      <c r="NZ138" s="18"/>
      <c r="OA138" s="18"/>
      <c r="OB138" s="18"/>
      <c r="OC138" s="18"/>
      <c r="OD138" s="18"/>
      <c r="OE138" s="18"/>
      <c r="OF138" s="18"/>
      <c r="OG138" s="18"/>
      <c r="OH138" s="18"/>
      <c r="OI138" s="18"/>
      <c r="OJ138" s="18"/>
      <c r="OK138" s="18"/>
      <c r="OL138" s="18"/>
      <c r="OM138" s="18"/>
      <c r="ON138" s="18"/>
      <c r="OO138" s="18"/>
      <c r="OP138" s="18"/>
      <c r="OQ138" s="18"/>
      <c r="OR138" s="18"/>
      <c r="OS138" s="18"/>
      <c r="OT138" s="18"/>
      <c r="OU138" s="18"/>
      <c r="OV138" s="18"/>
      <c r="OW138" s="18"/>
      <c r="OX138" s="18"/>
      <c r="OY138" s="18"/>
      <c r="OZ138" s="18"/>
      <c r="PA138" s="18"/>
      <c r="PB138" s="18"/>
      <c r="PC138" s="18"/>
      <c r="PD138" s="18"/>
      <c r="PE138" s="18"/>
      <c r="PF138" s="18"/>
      <c r="PG138" s="18"/>
      <c r="PH138" s="18"/>
      <c r="PI138" s="18"/>
      <c r="PJ138" s="18"/>
      <c r="PK138" s="18"/>
      <c r="PL138" s="18"/>
      <c r="PM138" s="18"/>
      <c r="PN138" s="18"/>
      <c r="PO138" s="18"/>
      <c r="PP138" s="18"/>
      <c r="PQ138" s="18"/>
      <c r="PR138" s="18"/>
      <c r="PS138" s="18"/>
      <c r="PT138" s="18"/>
      <c r="PU138" s="18"/>
      <c r="PV138" s="18"/>
      <c r="PW138" s="18"/>
      <c r="PX138" s="18"/>
      <c r="PY138" s="18"/>
      <c r="PZ138" s="18"/>
      <c r="QA138" s="18"/>
      <c r="QB138" s="18"/>
      <c r="QC138" s="18"/>
      <c r="QD138" s="18"/>
      <c r="QE138" s="18"/>
      <c r="QF138" s="18"/>
      <c r="QG138" s="18"/>
      <c r="QH138" s="18"/>
      <c r="QI138" s="18"/>
      <c r="QJ138" s="18"/>
      <c r="QK138" s="18"/>
      <c r="QL138" s="18"/>
      <c r="QM138" s="18"/>
      <c r="QN138" s="18"/>
      <c r="QO138" s="18"/>
      <c r="QP138" s="18"/>
      <c r="QQ138" s="18"/>
      <c r="QR138" s="18"/>
      <c r="QS138" s="18"/>
      <c r="QT138" s="18"/>
      <c r="QU138" s="18"/>
      <c r="QV138" s="18"/>
      <c r="QW138" s="18"/>
      <c r="QX138" s="18"/>
      <c r="QY138" s="18"/>
      <c r="QZ138" s="18"/>
      <c r="RA138" s="18"/>
      <c r="RB138" s="18"/>
      <c r="RC138" s="18"/>
      <c r="RD138" s="18"/>
      <c r="RE138" s="18"/>
      <c r="RF138" s="18"/>
      <c r="RG138" s="18"/>
      <c r="RH138" s="18"/>
      <c r="RI138" s="18"/>
      <c r="RJ138" s="18"/>
      <c r="RK138" s="18"/>
      <c r="RL138" s="18"/>
      <c r="RM138" s="18"/>
      <c r="RN138" s="18"/>
      <c r="RO138" s="18"/>
      <c r="RP138" s="18"/>
      <c r="RQ138" s="18"/>
      <c r="RR138" s="18"/>
      <c r="RS138" s="18"/>
      <c r="RT138" s="18"/>
      <c r="RU138" s="18"/>
      <c r="RV138" s="18"/>
      <c r="RW138" s="18"/>
      <c r="RX138" s="18"/>
      <c r="RY138" s="18"/>
      <c r="RZ138" s="18"/>
      <c r="SA138" s="18"/>
      <c r="SB138" s="18"/>
      <c r="SC138" s="18"/>
      <c r="SD138" s="18"/>
      <c r="SE138" s="18"/>
      <c r="SF138" s="18"/>
      <c r="SG138" s="18"/>
      <c r="SH138" s="18"/>
      <c r="SI138" s="18"/>
      <c r="SJ138" s="18"/>
      <c r="SK138" s="18"/>
      <c r="SL138" s="18"/>
      <c r="SM138" s="18"/>
      <c r="SN138" s="18"/>
      <c r="SO138" s="18"/>
      <c r="SP138" s="18"/>
      <c r="SQ138" s="18"/>
      <c r="SR138" s="18"/>
      <c r="SS138" s="18"/>
      <c r="ST138" s="18"/>
      <c r="SU138" s="18"/>
      <c r="SV138" s="18"/>
      <c r="SW138" s="18"/>
      <c r="SX138" s="18"/>
      <c r="SY138" s="18"/>
      <c r="SZ138" s="18"/>
      <c r="TA138" s="18"/>
      <c r="TB138" s="18"/>
      <c r="TC138" s="18"/>
      <c r="TD138" s="18"/>
      <c r="TE138" s="18"/>
      <c r="TF138" s="18"/>
      <c r="TG138" s="18"/>
      <c r="TH138" s="18"/>
      <c r="TI138" s="18"/>
      <c r="TJ138" s="18"/>
      <c r="TK138" s="18"/>
      <c r="TL138" s="18"/>
      <c r="TM138" s="18"/>
      <c r="TN138" s="18"/>
      <c r="TO138" s="18"/>
      <c r="TP138" s="18"/>
      <c r="TQ138" s="18"/>
      <c r="TR138" s="18"/>
      <c r="TS138" s="18"/>
      <c r="TT138" s="18"/>
      <c r="TU138" s="18"/>
      <c r="TV138" s="18"/>
      <c r="TW138" s="18"/>
      <c r="TX138" s="18"/>
      <c r="TY138" s="18"/>
      <c r="TZ138" s="18"/>
      <c r="UA138" s="18"/>
      <c r="UB138" s="18"/>
      <c r="UC138" s="18"/>
      <c r="UD138" s="18"/>
      <c r="UE138" s="18"/>
      <c r="UF138" s="18"/>
      <c r="UG138" s="18"/>
      <c r="UH138" s="18"/>
      <c r="UI138" s="18"/>
      <c r="UJ138" s="18"/>
      <c r="UK138" s="18"/>
      <c r="UL138" s="18"/>
      <c r="UM138" s="18"/>
      <c r="UN138" s="18"/>
      <c r="UO138" s="18"/>
      <c r="UP138" s="18"/>
      <c r="UQ138" s="18"/>
      <c r="UR138" s="18"/>
      <c r="US138" s="18"/>
      <c r="UT138" s="18"/>
      <c r="UU138" s="18"/>
      <c r="UV138" s="18"/>
      <c r="UW138" s="18"/>
      <c r="UX138" s="18"/>
      <c r="UY138" s="18"/>
      <c r="UZ138" s="18"/>
      <c r="VA138" s="18"/>
      <c r="VB138" s="18"/>
      <c r="VC138" s="18"/>
      <c r="VD138" s="18"/>
      <c r="VE138" s="18"/>
      <c r="VF138" s="18"/>
      <c r="VG138" s="18"/>
      <c r="VH138" s="18"/>
      <c r="VI138" s="18"/>
      <c r="VJ138" s="18"/>
      <c r="VK138" s="18"/>
      <c r="VL138" s="18"/>
      <c r="VM138" s="18"/>
      <c r="VN138" s="18"/>
      <c r="VO138" s="18"/>
      <c r="VP138" s="18"/>
      <c r="VQ138" s="18"/>
      <c r="VR138" s="18"/>
      <c r="VS138" s="18"/>
      <c r="VT138" s="18"/>
      <c r="VU138" s="18"/>
      <c r="VV138" s="18"/>
      <c r="VW138" s="18"/>
      <c r="VX138" s="18"/>
      <c r="VY138" s="18"/>
      <c r="VZ138" s="18"/>
      <c r="WA138" s="18"/>
      <c r="WB138" s="18"/>
      <c r="WC138" s="18"/>
      <c r="WD138" s="18"/>
      <c r="WE138" s="18"/>
      <c r="WF138" s="18"/>
      <c r="WG138" s="18"/>
      <c r="WH138" s="18"/>
      <c r="WI138" s="18"/>
      <c r="WJ138" s="18"/>
      <c r="WK138" s="18"/>
      <c r="WL138" s="18"/>
      <c r="WM138" s="18"/>
      <c r="WN138" s="18"/>
      <c r="WO138" s="18"/>
      <c r="WP138" s="18"/>
      <c r="WQ138" s="18"/>
      <c r="WR138" s="18"/>
      <c r="WS138" s="18"/>
      <c r="WT138" s="18"/>
      <c r="WU138" s="18"/>
      <c r="WV138" s="18"/>
      <c r="WW138" s="18"/>
      <c r="WX138" s="18"/>
      <c r="WY138" s="18"/>
      <c r="WZ138" s="18"/>
      <c r="XA138" s="18"/>
      <c r="XB138" s="18"/>
      <c r="XC138" s="18"/>
      <c r="XD138" s="18"/>
      <c r="XE138" s="18"/>
      <c r="XF138" s="18"/>
      <c r="XG138" s="18"/>
      <c r="XH138" s="18"/>
      <c r="XI138" s="18"/>
      <c r="XJ138" s="18"/>
      <c r="XK138" s="18"/>
      <c r="XL138" s="18"/>
      <c r="XM138" s="18"/>
      <c r="XN138" s="18"/>
      <c r="XO138" s="18"/>
      <c r="XP138" s="18"/>
      <c r="XQ138" s="18"/>
      <c r="XR138" s="18"/>
      <c r="XS138" s="18"/>
      <c r="XT138" s="18"/>
      <c r="XU138" s="18"/>
      <c r="XV138" s="18"/>
      <c r="XW138" s="18"/>
      <c r="XX138" s="18"/>
      <c r="XY138" s="18"/>
      <c r="XZ138" s="18"/>
      <c r="YA138" s="18"/>
      <c r="YB138" s="18"/>
      <c r="YC138" s="18"/>
      <c r="YD138" s="18"/>
      <c r="YE138" s="18"/>
      <c r="YF138" s="18"/>
      <c r="YG138" s="18"/>
      <c r="YH138" s="18"/>
      <c r="YI138" s="18"/>
      <c r="YJ138" s="18"/>
      <c r="YK138" s="18"/>
      <c r="YL138" s="18"/>
      <c r="YM138" s="18"/>
      <c r="YN138" s="18"/>
      <c r="YO138" s="18"/>
      <c r="YP138" s="18"/>
      <c r="YQ138" s="18"/>
      <c r="YR138" s="18"/>
      <c r="YS138" s="18"/>
      <c r="YT138" s="18"/>
      <c r="YU138" s="18"/>
      <c r="YV138" s="18"/>
      <c r="YW138" s="18"/>
      <c r="YX138" s="18"/>
      <c r="YY138" s="18"/>
      <c r="YZ138" s="18"/>
      <c r="ZA138" s="18"/>
      <c r="ZB138" s="18"/>
      <c r="ZC138" s="18"/>
      <c r="ZD138" s="18"/>
      <c r="ZE138" s="18"/>
      <c r="ZF138" s="18"/>
      <c r="ZG138" s="18"/>
      <c r="ZH138" s="18"/>
      <c r="ZI138" s="18"/>
      <c r="ZJ138" s="18"/>
      <c r="ZK138" s="18"/>
      <c r="ZL138" s="18"/>
      <c r="ZM138" s="18"/>
      <c r="ZN138" s="18"/>
      <c r="ZO138" s="18"/>
      <c r="ZP138" s="18"/>
      <c r="ZQ138" s="18"/>
      <c r="ZR138" s="18"/>
      <c r="ZS138" s="18"/>
      <c r="ZT138" s="18"/>
      <c r="ZU138" s="18"/>
      <c r="ZV138" s="18"/>
      <c r="ZW138" s="18"/>
      <c r="ZX138" s="18"/>
      <c r="ZY138" s="18"/>
      <c r="ZZ138" s="18"/>
      <c r="AAA138" s="18"/>
      <c r="AAB138" s="18"/>
      <c r="AAC138" s="18"/>
      <c r="AAD138" s="18"/>
      <c r="AAE138" s="18"/>
      <c r="AAF138" s="18"/>
      <c r="AAG138" s="18"/>
      <c r="AAH138" s="18"/>
      <c r="AAI138" s="18"/>
      <c r="AAJ138" s="18"/>
      <c r="AAK138" s="18"/>
      <c r="AAL138" s="18"/>
      <c r="AAM138" s="18"/>
      <c r="AAN138" s="18"/>
      <c r="AAO138" s="18"/>
      <c r="AAP138" s="18"/>
      <c r="AAQ138" s="18"/>
      <c r="AAR138" s="18"/>
      <c r="AAS138" s="18"/>
      <c r="AAT138" s="18"/>
      <c r="AAU138" s="18"/>
      <c r="AAV138" s="18"/>
      <c r="AAW138" s="18"/>
      <c r="AAX138" s="18"/>
      <c r="AAY138" s="18"/>
      <c r="AAZ138" s="18"/>
      <c r="ABA138" s="18"/>
      <c r="ABB138" s="18"/>
      <c r="ABC138" s="18"/>
      <c r="ABD138" s="18"/>
      <c r="ABE138" s="18"/>
      <c r="ABF138" s="18"/>
      <c r="ABG138" s="18"/>
      <c r="ABH138" s="18"/>
      <c r="ABI138" s="18"/>
      <c r="ABJ138" s="18"/>
      <c r="ABK138" s="18"/>
      <c r="ABL138" s="18"/>
      <c r="ABM138" s="18"/>
      <c r="ABN138" s="18"/>
      <c r="ABO138" s="18"/>
      <c r="ABP138" s="18"/>
      <c r="ABQ138" s="18"/>
      <c r="ABR138" s="18"/>
      <c r="ABS138" s="18"/>
      <c r="ABT138" s="18"/>
      <c r="ABU138" s="18"/>
      <c r="ABV138" s="18"/>
      <c r="ABW138" s="18"/>
      <c r="ABX138" s="18"/>
      <c r="ABY138" s="18"/>
      <c r="ABZ138" s="18"/>
      <c r="ACA138" s="18"/>
      <c r="ACB138" s="18"/>
      <c r="ACC138" s="18"/>
      <c r="ACD138" s="18"/>
      <c r="ACE138" s="18"/>
      <c r="ACF138" s="18"/>
      <c r="ACG138" s="18"/>
      <c r="ACH138" s="18"/>
      <c r="ACI138" s="18"/>
      <c r="ACJ138" s="18"/>
      <c r="ACK138" s="18"/>
      <c r="ACL138" s="18"/>
      <c r="ACM138" s="18"/>
      <c r="ACN138" s="18"/>
      <c r="ACO138" s="18"/>
      <c r="ACP138" s="18"/>
      <c r="ACQ138" s="18"/>
      <c r="ACR138" s="18"/>
      <c r="ACS138" s="18"/>
      <c r="ACT138" s="18"/>
      <c r="ACU138" s="18"/>
      <c r="ACV138" s="18"/>
      <c r="ACW138" s="18"/>
      <c r="ACX138" s="18"/>
      <c r="ACY138" s="18"/>
      <c r="ACZ138" s="18"/>
      <c r="ADA138" s="18"/>
      <c r="ADB138" s="18"/>
      <c r="ADC138" s="18"/>
      <c r="ADD138" s="18"/>
      <c r="ADE138" s="18"/>
      <c r="ADF138" s="18"/>
      <c r="ADG138" s="18"/>
      <c r="ADH138" s="18"/>
      <c r="ADI138" s="18"/>
      <c r="ADJ138" s="18"/>
      <c r="ADK138" s="18"/>
      <c r="ADL138" s="18"/>
      <c r="ADM138" s="18"/>
      <c r="ADN138" s="18"/>
      <c r="ADO138" s="18"/>
      <c r="ADP138" s="18"/>
      <c r="ADQ138" s="18"/>
      <c r="ADR138" s="18"/>
      <c r="ADS138" s="18"/>
      <c r="ADT138" s="18"/>
      <c r="ADU138" s="18"/>
      <c r="ADV138" s="18"/>
      <c r="ADW138" s="18"/>
      <c r="ADX138" s="18"/>
      <c r="ADY138" s="18"/>
      <c r="ADZ138" s="18"/>
      <c r="AEA138" s="18"/>
      <c r="AEB138" s="18"/>
      <c r="AEC138" s="18"/>
      <c r="AED138" s="18"/>
      <c r="AEE138" s="18"/>
      <c r="AEF138" s="18"/>
      <c r="AEG138" s="18"/>
      <c r="AEH138" s="18"/>
      <c r="AEI138" s="18"/>
      <c r="AEJ138" s="18"/>
      <c r="AEK138" s="18"/>
      <c r="AEL138" s="18"/>
      <c r="AEM138" s="18"/>
      <c r="AEN138" s="18"/>
      <c r="AEO138" s="18"/>
      <c r="AEP138" s="18"/>
      <c r="AEQ138" s="18"/>
      <c r="AER138" s="18"/>
      <c r="AES138" s="18"/>
      <c r="AET138" s="18"/>
      <c r="AEU138" s="18"/>
      <c r="AEV138" s="18"/>
      <c r="AEW138" s="18"/>
      <c r="AEX138" s="18"/>
      <c r="AEY138" s="18"/>
      <c r="AEZ138" s="18"/>
      <c r="AFA138" s="18"/>
      <c r="AFB138" s="18"/>
      <c r="AFC138" s="18"/>
      <c r="AFD138" s="18"/>
      <c r="AFE138" s="18"/>
      <c r="AFF138" s="18"/>
      <c r="AFG138" s="18"/>
      <c r="AFH138" s="18"/>
      <c r="AFI138" s="18"/>
      <c r="AFJ138" s="18"/>
      <c r="AFK138" s="18"/>
      <c r="AFL138" s="18"/>
      <c r="AFM138" s="18"/>
      <c r="AFN138" s="18"/>
      <c r="AFO138" s="18"/>
      <c r="AFP138" s="18"/>
      <c r="AFQ138" s="18"/>
      <c r="AFR138" s="18"/>
      <c r="AFS138" s="18"/>
      <c r="AFT138" s="18"/>
      <c r="AFU138" s="18"/>
      <c r="AFV138" s="18"/>
      <c r="AFW138" s="18"/>
      <c r="AFX138" s="18"/>
      <c r="AFY138" s="18"/>
      <c r="AFZ138" s="18"/>
      <c r="AGA138" s="18"/>
      <c r="AGB138" s="18"/>
      <c r="AGC138" s="18"/>
      <c r="AGD138" s="18"/>
      <c r="AGE138" s="18"/>
      <c r="AGF138" s="18"/>
      <c r="AGG138" s="18"/>
      <c r="AGH138" s="18"/>
      <c r="AGI138" s="18"/>
      <c r="AGJ138" s="18"/>
      <c r="AGK138" s="18"/>
      <c r="AGL138" s="18"/>
      <c r="AGM138" s="18"/>
      <c r="AGN138" s="18"/>
      <c r="AGO138" s="18"/>
      <c r="AGP138" s="18"/>
      <c r="AGQ138" s="18"/>
      <c r="AGR138" s="18"/>
      <c r="AGS138" s="18"/>
      <c r="AGT138" s="18"/>
      <c r="AGU138" s="18"/>
      <c r="AGV138" s="18"/>
      <c r="AGW138" s="18"/>
      <c r="AGX138" s="18"/>
      <c r="AGY138" s="18"/>
      <c r="AGZ138" s="18"/>
      <c r="AHA138" s="18"/>
      <c r="AHB138" s="18"/>
      <c r="AHC138" s="18"/>
      <c r="AHD138" s="18"/>
      <c r="AHE138" s="18"/>
      <c r="AHF138" s="18"/>
      <c r="AHG138" s="18"/>
      <c r="AHH138" s="18"/>
      <c r="AHI138" s="18"/>
      <c r="AHJ138" s="18"/>
      <c r="AHK138" s="18"/>
      <c r="AHL138" s="18"/>
      <c r="AHM138" s="18"/>
      <c r="AHN138" s="18"/>
      <c r="AHO138" s="18"/>
      <c r="AHP138" s="18"/>
      <c r="AHQ138" s="18"/>
      <c r="AHR138" s="18"/>
      <c r="AHS138" s="18"/>
      <c r="AHT138" s="18"/>
      <c r="AHU138" s="18"/>
      <c r="AHV138" s="18"/>
      <c r="AHW138" s="18"/>
      <c r="AHX138" s="18"/>
      <c r="AHY138" s="18"/>
      <c r="AHZ138" s="18"/>
      <c r="AIA138" s="18"/>
      <c r="AIB138" s="18"/>
      <c r="AIC138" s="18"/>
      <c r="AID138" s="18"/>
      <c r="AIE138" s="18"/>
      <c r="AIF138" s="18"/>
      <c r="AIG138" s="18"/>
      <c r="AIH138" s="18"/>
      <c r="AII138" s="18"/>
      <c r="AIJ138" s="18"/>
      <c r="AIK138" s="18"/>
      <c r="AIL138" s="18"/>
      <c r="AIM138" s="18"/>
      <c r="AIN138" s="18"/>
      <c r="AIO138" s="18"/>
      <c r="AIP138" s="18"/>
      <c r="AIQ138" s="18"/>
      <c r="AIR138" s="18"/>
      <c r="AIS138" s="18"/>
      <c r="AIT138" s="18"/>
      <c r="AIU138" s="18"/>
      <c r="AIV138" s="18"/>
      <c r="AIW138" s="18"/>
      <c r="AIX138" s="18"/>
      <c r="AIY138" s="18"/>
      <c r="AIZ138" s="18"/>
      <c r="AJA138" s="18"/>
      <c r="AJB138" s="18"/>
      <c r="AJC138" s="18"/>
      <c r="AJD138" s="18"/>
      <c r="AJE138" s="18"/>
      <c r="AJF138" s="18"/>
      <c r="AJG138" s="18"/>
      <c r="AJH138" s="18"/>
      <c r="AJI138" s="18"/>
      <c r="AJJ138" s="18"/>
      <c r="AJK138" s="18"/>
      <c r="AJL138" s="18"/>
      <c r="AJM138" s="18"/>
      <c r="AJN138" s="18"/>
      <c r="AJO138" s="18"/>
      <c r="AJP138" s="18"/>
      <c r="AJQ138" s="18"/>
      <c r="AJR138" s="18"/>
      <c r="AJS138" s="18"/>
      <c r="AJT138" s="18"/>
      <c r="AJU138" s="18"/>
      <c r="AJV138" s="18"/>
      <c r="AJW138" s="18"/>
      <c r="AJX138" s="18"/>
      <c r="AJY138" s="18"/>
      <c r="AJZ138" s="18"/>
      <c r="AKA138" s="18"/>
      <c r="AKB138" s="18"/>
      <c r="AKC138" s="18"/>
      <c r="AKD138" s="18"/>
      <c r="AKE138" s="18"/>
      <c r="AKF138" s="18"/>
      <c r="AKG138" s="18"/>
      <c r="AKH138" s="18"/>
      <c r="AKI138" s="18"/>
      <c r="AKJ138" s="18"/>
      <c r="AKK138" s="18"/>
      <c r="AKL138" s="18"/>
      <c r="AKM138" s="18"/>
      <c r="AKN138" s="18"/>
      <c r="AKO138" s="18"/>
      <c r="AKP138" s="18"/>
      <c r="AKQ138" s="18"/>
      <c r="AKR138" s="18"/>
      <c r="AKS138" s="18"/>
      <c r="AKT138" s="18"/>
      <c r="AKU138" s="18"/>
      <c r="AKV138" s="18"/>
      <c r="AKW138" s="18"/>
      <c r="AKX138" s="18"/>
      <c r="AKY138" s="18"/>
      <c r="AKZ138" s="18"/>
      <c r="ALA138" s="18"/>
      <c r="ALB138" s="18"/>
      <c r="ALC138" s="18"/>
      <c r="ALD138" s="18"/>
      <c r="ALE138" s="18"/>
      <c r="ALF138" s="18"/>
      <c r="ALG138" s="18"/>
      <c r="ALH138" s="18"/>
      <c r="ALI138" s="18"/>
      <c r="ALJ138" s="18"/>
      <c r="ALK138" s="18"/>
      <c r="ALL138" s="18"/>
      <c r="ALM138" s="18"/>
      <c r="ALN138" s="18"/>
      <c r="ALO138" s="18"/>
      <c r="ALP138" s="18"/>
      <c r="ALQ138" s="18"/>
      <c r="ALR138" s="18"/>
      <c r="ALS138" s="18"/>
      <c r="ALT138" s="18"/>
      <c r="ALU138" s="18"/>
      <c r="ALV138" s="18"/>
      <c r="ALW138" s="18"/>
      <c r="ALX138" s="18"/>
      <c r="ALY138" s="18"/>
      <c r="ALZ138" s="18"/>
      <c r="AMA138" s="18"/>
      <c r="AMB138" s="18"/>
      <c r="AMC138" s="18"/>
      <c r="AMD138" s="18"/>
      <c r="AME138" s="18"/>
      <c r="AMF138" s="18"/>
      <c r="AMG138" s="18"/>
      <c r="AMH138" s="18"/>
    </row>
    <row r="139" spans="1:1022" s="23" customFormat="1" x14ac:dyDescent="0.3">
      <c r="A139" s="33">
        <v>235</v>
      </c>
      <c r="B139" s="19"/>
      <c r="C139" s="19"/>
      <c r="D139" s="34"/>
      <c r="E139" s="34"/>
      <c r="F139" s="19"/>
      <c r="G139" s="19"/>
      <c r="H139" s="18"/>
      <c r="I139" s="31"/>
      <c r="J139" s="31"/>
      <c r="K139" s="31"/>
      <c r="L139" s="31"/>
      <c r="M139" s="32"/>
      <c r="N139" s="32"/>
      <c r="O139" s="18"/>
      <c r="P139" s="36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  <c r="BB139" s="18"/>
      <c r="BC139" s="18"/>
      <c r="BD139" s="18"/>
      <c r="BE139" s="18"/>
      <c r="BF139" s="18"/>
      <c r="BG139" s="18"/>
      <c r="BH139" s="18"/>
      <c r="BI139" s="18"/>
      <c r="BJ139" s="18"/>
      <c r="BK139" s="18"/>
      <c r="BL139" s="18"/>
      <c r="BM139" s="18"/>
      <c r="BN139" s="18"/>
      <c r="BO139" s="18"/>
      <c r="BP139" s="18"/>
      <c r="BQ139" s="18"/>
      <c r="BR139" s="18"/>
      <c r="BS139" s="18"/>
      <c r="BT139" s="18"/>
      <c r="BU139" s="18"/>
      <c r="BV139" s="18"/>
      <c r="BW139" s="18"/>
      <c r="BX139" s="18"/>
      <c r="BY139" s="18"/>
      <c r="BZ139" s="18"/>
      <c r="CA139" s="18"/>
      <c r="CB139" s="18"/>
      <c r="CC139" s="18"/>
      <c r="CD139" s="18"/>
      <c r="CE139" s="18"/>
      <c r="CF139" s="18"/>
      <c r="CG139" s="18"/>
      <c r="CH139" s="18"/>
      <c r="CI139" s="18"/>
      <c r="CJ139" s="18"/>
      <c r="CK139" s="18"/>
      <c r="CL139" s="18"/>
      <c r="CM139" s="18"/>
      <c r="CN139" s="18"/>
      <c r="CO139" s="18"/>
      <c r="CP139" s="18"/>
      <c r="CQ139" s="18"/>
      <c r="CR139" s="18"/>
      <c r="CS139" s="18"/>
      <c r="CT139" s="18"/>
      <c r="CU139" s="18"/>
      <c r="CV139" s="18"/>
      <c r="CW139" s="18"/>
      <c r="CX139" s="18"/>
      <c r="CY139" s="18"/>
      <c r="CZ139" s="18"/>
      <c r="DA139" s="18"/>
      <c r="DB139" s="18"/>
      <c r="DC139" s="18"/>
      <c r="DD139" s="18"/>
      <c r="DE139" s="18"/>
      <c r="DF139" s="18"/>
      <c r="DG139" s="18"/>
      <c r="DH139" s="18"/>
      <c r="DI139" s="18"/>
      <c r="DJ139" s="18"/>
      <c r="DK139" s="18"/>
      <c r="DL139" s="18"/>
      <c r="DM139" s="18"/>
      <c r="DN139" s="18"/>
      <c r="DO139" s="18"/>
      <c r="DP139" s="18"/>
      <c r="DQ139" s="18"/>
      <c r="DR139" s="18"/>
      <c r="DS139" s="18"/>
      <c r="DT139" s="18"/>
      <c r="DU139" s="18"/>
      <c r="DV139" s="18"/>
      <c r="DW139" s="18"/>
      <c r="DX139" s="18"/>
      <c r="DY139" s="18"/>
      <c r="DZ139" s="18"/>
      <c r="EA139" s="18"/>
      <c r="EB139" s="18"/>
      <c r="EC139" s="18"/>
      <c r="ED139" s="18"/>
      <c r="EE139" s="18"/>
      <c r="EF139" s="18"/>
      <c r="EG139" s="18"/>
      <c r="EH139" s="18"/>
      <c r="EI139" s="18"/>
      <c r="EJ139" s="18"/>
      <c r="EK139" s="18"/>
      <c r="EL139" s="18"/>
      <c r="EM139" s="18"/>
      <c r="EN139" s="18"/>
      <c r="EO139" s="18"/>
      <c r="EP139" s="18"/>
      <c r="EQ139" s="18"/>
      <c r="ER139" s="18"/>
      <c r="ES139" s="18"/>
      <c r="ET139" s="18"/>
      <c r="EU139" s="18"/>
      <c r="EV139" s="18"/>
      <c r="EW139" s="18"/>
      <c r="EX139" s="18"/>
      <c r="EY139" s="18"/>
      <c r="EZ139" s="18"/>
      <c r="FA139" s="18"/>
      <c r="FB139" s="18"/>
      <c r="FC139" s="18"/>
      <c r="FD139" s="18"/>
      <c r="FE139" s="18"/>
      <c r="FF139" s="18"/>
      <c r="FG139" s="18"/>
      <c r="FH139" s="18"/>
      <c r="FI139" s="18"/>
      <c r="FJ139" s="18"/>
      <c r="FK139" s="18"/>
      <c r="FL139" s="18"/>
      <c r="FM139" s="18"/>
      <c r="FN139" s="18"/>
      <c r="FO139" s="18"/>
      <c r="FP139" s="18"/>
      <c r="FQ139" s="18"/>
      <c r="FR139" s="18"/>
      <c r="FS139" s="18"/>
      <c r="FT139" s="18"/>
      <c r="FU139" s="18"/>
      <c r="FV139" s="18"/>
      <c r="FW139" s="18"/>
      <c r="FX139" s="18"/>
      <c r="FY139" s="18"/>
      <c r="FZ139" s="18"/>
      <c r="GA139" s="18"/>
      <c r="GB139" s="18"/>
      <c r="GC139" s="18"/>
      <c r="GD139" s="18"/>
      <c r="GE139" s="18"/>
      <c r="GF139" s="18"/>
      <c r="GG139" s="18"/>
      <c r="GH139" s="18"/>
      <c r="GI139" s="18"/>
      <c r="GJ139" s="18"/>
      <c r="GK139" s="18"/>
      <c r="GL139" s="18"/>
      <c r="GM139" s="18"/>
      <c r="GN139" s="18"/>
      <c r="GO139" s="18"/>
      <c r="GP139" s="18"/>
      <c r="GQ139" s="18"/>
      <c r="GR139" s="18"/>
      <c r="GS139" s="18"/>
      <c r="GT139" s="18"/>
      <c r="GU139" s="18"/>
      <c r="GV139" s="18"/>
      <c r="GW139" s="18"/>
      <c r="GX139" s="18"/>
      <c r="GY139" s="18"/>
      <c r="GZ139" s="18"/>
      <c r="HA139" s="18"/>
      <c r="HB139" s="18"/>
      <c r="HC139" s="18"/>
      <c r="HD139" s="18"/>
      <c r="HE139" s="18"/>
      <c r="HF139" s="18"/>
      <c r="HG139" s="18"/>
      <c r="HH139" s="18"/>
      <c r="HI139" s="18"/>
      <c r="HJ139" s="18"/>
      <c r="HK139" s="18"/>
      <c r="HL139" s="18"/>
      <c r="HM139" s="18"/>
      <c r="HN139" s="18"/>
      <c r="HO139" s="18"/>
      <c r="HP139" s="18"/>
      <c r="HQ139" s="18"/>
      <c r="HR139" s="18"/>
      <c r="HS139" s="18"/>
      <c r="HT139" s="18"/>
      <c r="HU139" s="18"/>
      <c r="HV139" s="18"/>
      <c r="HW139" s="18"/>
      <c r="HX139" s="18"/>
      <c r="HY139" s="18"/>
      <c r="HZ139" s="18"/>
      <c r="IA139" s="18"/>
      <c r="IB139" s="18"/>
      <c r="IC139" s="18"/>
      <c r="ID139" s="18"/>
      <c r="IE139" s="18"/>
      <c r="IF139" s="18"/>
      <c r="IG139" s="18"/>
      <c r="IH139" s="18"/>
      <c r="II139" s="18"/>
      <c r="IJ139" s="18"/>
      <c r="IK139" s="18"/>
      <c r="IL139" s="18"/>
      <c r="IM139" s="18"/>
      <c r="IN139" s="18"/>
      <c r="IO139" s="18"/>
      <c r="IP139" s="18"/>
      <c r="IQ139" s="18"/>
      <c r="IR139" s="18"/>
      <c r="IS139" s="18"/>
      <c r="IT139" s="18"/>
      <c r="IU139" s="18"/>
      <c r="IV139" s="18"/>
      <c r="IW139" s="18"/>
      <c r="IX139" s="18"/>
      <c r="IY139" s="18"/>
      <c r="IZ139" s="18"/>
      <c r="JA139" s="18"/>
      <c r="JB139" s="18"/>
      <c r="JC139" s="18"/>
      <c r="JD139" s="18"/>
      <c r="JE139" s="18"/>
      <c r="JF139" s="18"/>
      <c r="JG139" s="18"/>
      <c r="JH139" s="18"/>
      <c r="JI139" s="18"/>
      <c r="JJ139" s="18"/>
      <c r="JK139" s="18"/>
      <c r="JL139" s="18"/>
      <c r="JM139" s="18"/>
      <c r="JN139" s="18"/>
      <c r="JO139" s="18"/>
      <c r="JP139" s="18"/>
      <c r="JQ139" s="18"/>
      <c r="JR139" s="18"/>
      <c r="JS139" s="18"/>
      <c r="JT139" s="18"/>
      <c r="JU139" s="18"/>
      <c r="JV139" s="18"/>
      <c r="JW139" s="18"/>
      <c r="JX139" s="18"/>
      <c r="JY139" s="18"/>
      <c r="JZ139" s="18"/>
      <c r="KA139" s="18"/>
      <c r="KB139" s="18"/>
      <c r="KC139" s="18"/>
      <c r="KD139" s="18"/>
      <c r="KE139" s="18"/>
      <c r="KF139" s="18"/>
      <c r="KG139" s="18"/>
      <c r="KH139" s="18"/>
      <c r="KI139" s="18"/>
      <c r="KJ139" s="18"/>
      <c r="KK139" s="18"/>
      <c r="KL139" s="18"/>
      <c r="KM139" s="18"/>
      <c r="KN139" s="18"/>
      <c r="KO139" s="18"/>
      <c r="KP139" s="18"/>
      <c r="KQ139" s="18"/>
      <c r="KR139" s="18"/>
      <c r="KS139" s="18"/>
      <c r="KT139" s="18"/>
      <c r="KU139" s="18"/>
      <c r="KV139" s="18"/>
      <c r="KW139" s="18"/>
      <c r="KX139" s="18"/>
      <c r="KY139" s="18"/>
      <c r="KZ139" s="18"/>
      <c r="LA139" s="18"/>
      <c r="LB139" s="18"/>
      <c r="LC139" s="18"/>
      <c r="LD139" s="18"/>
      <c r="LE139" s="18"/>
      <c r="LF139" s="18"/>
      <c r="LG139" s="18"/>
      <c r="LH139" s="18"/>
      <c r="LI139" s="18"/>
      <c r="LJ139" s="18"/>
      <c r="LK139" s="18"/>
      <c r="LL139" s="18"/>
      <c r="LM139" s="18"/>
      <c r="LN139" s="18"/>
      <c r="LO139" s="18"/>
      <c r="LP139" s="18"/>
      <c r="LQ139" s="18"/>
      <c r="LR139" s="18"/>
      <c r="LS139" s="18"/>
      <c r="LT139" s="18"/>
      <c r="LU139" s="18"/>
      <c r="LV139" s="18"/>
      <c r="LW139" s="18"/>
      <c r="LX139" s="18"/>
      <c r="LY139" s="18"/>
      <c r="LZ139" s="18"/>
      <c r="MA139" s="18"/>
      <c r="MB139" s="18"/>
      <c r="MC139" s="18"/>
      <c r="MD139" s="18"/>
      <c r="ME139" s="18"/>
      <c r="MF139" s="18"/>
      <c r="MG139" s="18"/>
      <c r="MH139" s="18"/>
      <c r="MI139" s="18"/>
      <c r="MJ139" s="18"/>
      <c r="MK139" s="18"/>
      <c r="ML139" s="18"/>
      <c r="MM139" s="18"/>
      <c r="MN139" s="18"/>
      <c r="MO139" s="18"/>
      <c r="MP139" s="18"/>
      <c r="MQ139" s="18"/>
      <c r="MR139" s="18"/>
      <c r="MS139" s="18"/>
      <c r="MT139" s="18"/>
      <c r="MU139" s="18"/>
      <c r="MV139" s="18"/>
      <c r="MW139" s="18"/>
      <c r="MX139" s="18"/>
      <c r="MY139" s="18"/>
      <c r="MZ139" s="18"/>
      <c r="NA139" s="18"/>
      <c r="NB139" s="18"/>
      <c r="NC139" s="18"/>
      <c r="ND139" s="18"/>
      <c r="NE139" s="18"/>
      <c r="NF139" s="18"/>
      <c r="NG139" s="18"/>
      <c r="NH139" s="18"/>
      <c r="NI139" s="18"/>
      <c r="NJ139" s="18"/>
      <c r="NK139" s="18"/>
      <c r="NL139" s="18"/>
      <c r="NM139" s="18"/>
      <c r="NN139" s="18"/>
      <c r="NO139" s="18"/>
      <c r="NP139" s="18"/>
      <c r="NQ139" s="18"/>
      <c r="NR139" s="18"/>
      <c r="NS139" s="18"/>
      <c r="NT139" s="18"/>
      <c r="NU139" s="18"/>
      <c r="NV139" s="18"/>
      <c r="NW139" s="18"/>
      <c r="NX139" s="18"/>
      <c r="NY139" s="18"/>
      <c r="NZ139" s="18"/>
      <c r="OA139" s="18"/>
      <c r="OB139" s="18"/>
      <c r="OC139" s="18"/>
      <c r="OD139" s="18"/>
      <c r="OE139" s="18"/>
      <c r="OF139" s="18"/>
      <c r="OG139" s="18"/>
      <c r="OH139" s="18"/>
      <c r="OI139" s="18"/>
      <c r="OJ139" s="18"/>
      <c r="OK139" s="18"/>
      <c r="OL139" s="18"/>
      <c r="OM139" s="18"/>
      <c r="ON139" s="18"/>
      <c r="OO139" s="18"/>
      <c r="OP139" s="18"/>
      <c r="OQ139" s="18"/>
      <c r="OR139" s="18"/>
      <c r="OS139" s="18"/>
      <c r="OT139" s="18"/>
      <c r="OU139" s="18"/>
      <c r="OV139" s="18"/>
      <c r="OW139" s="18"/>
      <c r="OX139" s="18"/>
      <c r="OY139" s="18"/>
      <c r="OZ139" s="18"/>
      <c r="PA139" s="18"/>
      <c r="PB139" s="18"/>
      <c r="PC139" s="18"/>
      <c r="PD139" s="18"/>
      <c r="PE139" s="18"/>
      <c r="PF139" s="18"/>
      <c r="PG139" s="18"/>
      <c r="PH139" s="18"/>
      <c r="PI139" s="18"/>
      <c r="PJ139" s="18"/>
      <c r="PK139" s="18"/>
      <c r="PL139" s="18"/>
      <c r="PM139" s="18"/>
      <c r="PN139" s="18"/>
      <c r="PO139" s="18"/>
      <c r="PP139" s="18"/>
      <c r="PQ139" s="18"/>
      <c r="PR139" s="18"/>
      <c r="PS139" s="18"/>
      <c r="PT139" s="18"/>
      <c r="PU139" s="18"/>
      <c r="PV139" s="18"/>
      <c r="PW139" s="18"/>
      <c r="PX139" s="18"/>
      <c r="PY139" s="18"/>
      <c r="PZ139" s="18"/>
      <c r="QA139" s="18"/>
      <c r="QB139" s="18"/>
      <c r="QC139" s="18"/>
      <c r="QD139" s="18"/>
      <c r="QE139" s="18"/>
      <c r="QF139" s="18"/>
      <c r="QG139" s="18"/>
      <c r="QH139" s="18"/>
      <c r="QI139" s="18"/>
      <c r="QJ139" s="18"/>
      <c r="QK139" s="18"/>
      <c r="QL139" s="18"/>
      <c r="QM139" s="18"/>
      <c r="QN139" s="18"/>
      <c r="QO139" s="18"/>
      <c r="QP139" s="18"/>
      <c r="QQ139" s="18"/>
      <c r="QR139" s="18"/>
      <c r="QS139" s="18"/>
      <c r="QT139" s="18"/>
      <c r="QU139" s="18"/>
      <c r="QV139" s="18"/>
      <c r="QW139" s="18"/>
      <c r="QX139" s="18"/>
      <c r="QY139" s="18"/>
      <c r="QZ139" s="18"/>
      <c r="RA139" s="18"/>
      <c r="RB139" s="18"/>
      <c r="RC139" s="18"/>
      <c r="RD139" s="18"/>
      <c r="RE139" s="18"/>
      <c r="RF139" s="18"/>
      <c r="RG139" s="18"/>
      <c r="RH139" s="18"/>
      <c r="RI139" s="18"/>
      <c r="RJ139" s="18"/>
      <c r="RK139" s="18"/>
      <c r="RL139" s="18"/>
      <c r="RM139" s="18"/>
      <c r="RN139" s="18"/>
      <c r="RO139" s="18"/>
      <c r="RP139" s="18"/>
      <c r="RQ139" s="18"/>
      <c r="RR139" s="18"/>
      <c r="RS139" s="18"/>
      <c r="RT139" s="18"/>
      <c r="RU139" s="18"/>
      <c r="RV139" s="18"/>
      <c r="RW139" s="18"/>
      <c r="RX139" s="18"/>
      <c r="RY139" s="18"/>
      <c r="RZ139" s="18"/>
      <c r="SA139" s="18"/>
      <c r="SB139" s="18"/>
      <c r="SC139" s="18"/>
      <c r="SD139" s="18"/>
      <c r="SE139" s="18"/>
      <c r="SF139" s="18"/>
      <c r="SG139" s="18"/>
      <c r="SH139" s="18"/>
      <c r="SI139" s="18"/>
      <c r="SJ139" s="18"/>
      <c r="SK139" s="18"/>
      <c r="SL139" s="18"/>
      <c r="SM139" s="18"/>
      <c r="SN139" s="18"/>
      <c r="SO139" s="18"/>
      <c r="SP139" s="18"/>
      <c r="SQ139" s="18"/>
      <c r="SR139" s="18"/>
      <c r="SS139" s="18"/>
      <c r="ST139" s="18"/>
      <c r="SU139" s="18"/>
      <c r="SV139" s="18"/>
      <c r="SW139" s="18"/>
      <c r="SX139" s="18"/>
      <c r="SY139" s="18"/>
      <c r="SZ139" s="18"/>
      <c r="TA139" s="18"/>
      <c r="TB139" s="18"/>
      <c r="TC139" s="18"/>
      <c r="TD139" s="18"/>
      <c r="TE139" s="18"/>
      <c r="TF139" s="18"/>
      <c r="TG139" s="18"/>
      <c r="TH139" s="18"/>
      <c r="TI139" s="18"/>
      <c r="TJ139" s="18"/>
      <c r="TK139" s="18"/>
      <c r="TL139" s="18"/>
      <c r="TM139" s="18"/>
      <c r="TN139" s="18"/>
      <c r="TO139" s="18"/>
      <c r="TP139" s="18"/>
      <c r="TQ139" s="18"/>
      <c r="TR139" s="18"/>
      <c r="TS139" s="18"/>
      <c r="TT139" s="18"/>
      <c r="TU139" s="18"/>
      <c r="TV139" s="18"/>
      <c r="TW139" s="18"/>
      <c r="TX139" s="18"/>
      <c r="TY139" s="18"/>
      <c r="TZ139" s="18"/>
      <c r="UA139" s="18"/>
      <c r="UB139" s="18"/>
      <c r="UC139" s="18"/>
      <c r="UD139" s="18"/>
      <c r="UE139" s="18"/>
      <c r="UF139" s="18"/>
      <c r="UG139" s="18"/>
      <c r="UH139" s="18"/>
      <c r="UI139" s="18"/>
      <c r="UJ139" s="18"/>
      <c r="UK139" s="18"/>
      <c r="UL139" s="18"/>
      <c r="UM139" s="18"/>
      <c r="UN139" s="18"/>
      <c r="UO139" s="18"/>
      <c r="UP139" s="18"/>
      <c r="UQ139" s="18"/>
      <c r="UR139" s="18"/>
      <c r="US139" s="18"/>
      <c r="UT139" s="18"/>
      <c r="UU139" s="18"/>
      <c r="UV139" s="18"/>
      <c r="UW139" s="18"/>
      <c r="UX139" s="18"/>
      <c r="UY139" s="18"/>
      <c r="UZ139" s="18"/>
      <c r="VA139" s="18"/>
      <c r="VB139" s="18"/>
      <c r="VC139" s="18"/>
      <c r="VD139" s="18"/>
      <c r="VE139" s="18"/>
      <c r="VF139" s="18"/>
      <c r="VG139" s="18"/>
      <c r="VH139" s="18"/>
      <c r="VI139" s="18"/>
      <c r="VJ139" s="18"/>
      <c r="VK139" s="18"/>
      <c r="VL139" s="18"/>
      <c r="VM139" s="18"/>
      <c r="VN139" s="18"/>
      <c r="VO139" s="18"/>
      <c r="VP139" s="18"/>
      <c r="VQ139" s="18"/>
      <c r="VR139" s="18"/>
      <c r="VS139" s="18"/>
      <c r="VT139" s="18"/>
      <c r="VU139" s="18"/>
      <c r="VV139" s="18"/>
      <c r="VW139" s="18"/>
      <c r="VX139" s="18"/>
      <c r="VY139" s="18"/>
      <c r="VZ139" s="18"/>
      <c r="WA139" s="18"/>
      <c r="WB139" s="18"/>
      <c r="WC139" s="18"/>
      <c r="WD139" s="18"/>
      <c r="WE139" s="18"/>
      <c r="WF139" s="18"/>
      <c r="WG139" s="18"/>
      <c r="WH139" s="18"/>
      <c r="WI139" s="18"/>
      <c r="WJ139" s="18"/>
      <c r="WK139" s="18"/>
      <c r="WL139" s="18"/>
      <c r="WM139" s="18"/>
      <c r="WN139" s="18"/>
      <c r="WO139" s="18"/>
      <c r="WP139" s="18"/>
      <c r="WQ139" s="18"/>
      <c r="WR139" s="18"/>
      <c r="WS139" s="18"/>
      <c r="WT139" s="18"/>
      <c r="WU139" s="18"/>
      <c r="WV139" s="18"/>
      <c r="WW139" s="18"/>
      <c r="WX139" s="18"/>
      <c r="WY139" s="18"/>
      <c r="WZ139" s="18"/>
      <c r="XA139" s="18"/>
      <c r="XB139" s="18"/>
      <c r="XC139" s="18"/>
      <c r="XD139" s="18"/>
      <c r="XE139" s="18"/>
      <c r="XF139" s="18"/>
      <c r="XG139" s="18"/>
      <c r="XH139" s="18"/>
      <c r="XI139" s="18"/>
      <c r="XJ139" s="18"/>
      <c r="XK139" s="18"/>
      <c r="XL139" s="18"/>
      <c r="XM139" s="18"/>
      <c r="XN139" s="18"/>
      <c r="XO139" s="18"/>
      <c r="XP139" s="18"/>
      <c r="XQ139" s="18"/>
      <c r="XR139" s="18"/>
      <c r="XS139" s="18"/>
      <c r="XT139" s="18"/>
      <c r="XU139" s="18"/>
      <c r="XV139" s="18"/>
      <c r="XW139" s="18"/>
      <c r="XX139" s="18"/>
      <c r="XY139" s="18"/>
      <c r="XZ139" s="18"/>
      <c r="YA139" s="18"/>
      <c r="YB139" s="18"/>
      <c r="YC139" s="18"/>
      <c r="YD139" s="18"/>
      <c r="YE139" s="18"/>
      <c r="YF139" s="18"/>
      <c r="YG139" s="18"/>
      <c r="YH139" s="18"/>
      <c r="YI139" s="18"/>
      <c r="YJ139" s="18"/>
      <c r="YK139" s="18"/>
      <c r="YL139" s="18"/>
      <c r="YM139" s="18"/>
      <c r="YN139" s="18"/>
      <c r="YO139" s="18"/>
      <c r="YP139" s="18"/>
      <c r="YQ139" s="18"/>
      <c r="YR139" s="18"/>
      <c r="YS139" s="18"/>
      <c r="YT139" s="18"/>
      <c r="YU139" s="18"/>
      <c r="YV139" s="18"/>
      <c r="YW139" s="18"/>
      <c r="YX139" s="18"/>
      <c r="YY139" s="18"/>
      <c r="YZ139" s="18"/>
      <c r="ZA139" s="18"/>
      <c r="ZB139" s="18"/>
      <c r="ZC139" s="18"/>
      <c r="ZD139" s="18"/>
      <c r="ZE139" s="18"/>
      <c r="ZF139" s="18"/>
      <c r="ZG139" s="18"/>
      <c r="ZH139" s="18"/>
      <c r="ZI139" s="18"/>
      <c r="ZJ139" s="18"/>
      <c r="ZK139" s="18"/>
      <c r="ZL139" s="18"/>
      <c r="ZM139" s="18"/>
      <c r="ZN139" s="18"/>
      <c r="ZO139" s="18"/>
      <c r="ZP139" s="18"/>
      <c r="ZQ139" s="18"/>
      <c r="ZR139" s="18"/>
      <c r="ZS139" s="18"/>
      <c r="ZT139" s="18"/>
      <c r="ZU139" s="18"/>
      <c r="ZV139" s="18"/>
      <c r="ZW139" s="18"/>
      <c r="ZX139" s="18"/>
      <c r="ZY139" s="18"/>
      <c r="ZZ139" s="18"/>
      <c r="AAA139" s="18"/>
      <c r="AAB139" s="18"/>
      <c r="AAC139" s="18"/>
      <c r="AAD139" s="18"/>
      <c r="AAE139" s="18"/>
      <c r="AAF139" s="18"/>
      <c r="AAG139" s="18"/>
      <c r="AAH139" s="18"/>
      <c r="AAI139" s="18"/>
      <c r="AAJ139" s="18"/>
      <c r="AAK139" s="18"/>
      <c r="AAL139" s="18"/>
      <c r="AAM139" s="18"/>
      <c r="AAN139" s="18"/>
      <c r="AAO139" s="18"/>
      <c r="AAP139" s="18"/>
      <c r="AAQ139" s="18"/>
      <c r="AAR139" s="18"/>
      <c r="AAS139" s="18"/>
      <c r="AAT139" s="18"/>
      <c r="AAU139" s="18"/>
      <c r="AAV139" s="18"/>
      <c r="AAW139" s="18"/>
      <c r="AAX139" s="18"/>
      <c r="AAY139" s="18"/>
      <c r="AAZ139" s="18"/>
      <c r="ABA139" s="18"/>
      <c r="ABB139" s="18"/>
      <c r="ABC139" s="18"/>
      <c r="ABD139" s="18"/>
      <c r="ABE139" s="18"/>
      <c r="ABF139" s="18"/>
      <c r="ABG139" s="18"/>
      <c r="ABH139" s="18"/>
      <c r="ABI139" s="18"/>
      <c r="ABJ139" s="18"/>
      <c r="ABK139" s="18"/>
      <c r="ABL139" s="18"/>
      <c r="ABM139" s="18"/>
      <c r="ABN139" s="18"/>
      <c r="ABO139" s="18"/>
      <c r="ABP139" s="18"/>
      <c r="ABQ139" s="18"/>
      <c r="ABR139" s="18"/>
      <c r="ABS139" s="18"/>
      <c r="ABT139" s="18"/>
      <c r="ABU139" s="18"/>
      <c r="ABV139" s="18"/>
      <c r="ABW139" s="18"/>
      <c r="ABX139" s="18"/>
      <c r="ABY139" s="18"/>
      <c r="ABZ139" s="18"/>
      <c r="ACA139" s="18"/>
      <c r="ACB139" s="18"/>
      <c r="ACC139" s="18"/>
      <c r="ACD139" s="18"/>
      <c r="ACE139" s="18"/>
      <c r="ACF139" s="18"/>
      <c r="ACG139" s="18"/>
      <c r="ACH139" s="18"/>
      <c r="ACI139" s="18"/>
      <c r="ACJ139" s="18"/>
      <c r="ACK139" s="18"/>
      <c r="ACL139" s="18"/>
      <c r="ACM139" s="18"/>
      <c r="ACN139" s="18"/>
      <c r="ACO139" s="18"/>
      <c r="ACP139" s="18"/>
      <c r="ACQ139" s="18"/>
      <c r="ACR139" s="18"/>
      <c r="ACS139" s="18"/>
      <c r="ACT139" s="18"/>
      <c r="ACU139" s="18"/>
      <c r="ACV139" s="18"/>
      <c r="ACW139" s="18"/>
      <c r="ACX139" s="18"/>
      <c r="ACY139" s="18"/>
      <c r="ACZ139" s="18"/>
      <c r="ADA139" s="18"/>
      <c r="ADB139" s="18"/>
      <c r="ADC139" s="18"/>
      <c r="ADD139" s="18"/>
      <c r="ADE139" s="18"/>
      <c r="ADF139" s="18"/>
      <c r="ADG139" s="18"/>
      <c r="ADH139" s="18"/>
      <c r="ADI139" s="18"/>
      <c r="ADJ139" s="18"/>
      <c r="ADK139" s="18"/>
      <c r="ADL139" s="18"/>
      <c r="ADM139" s="18"/>
      <c r="ADN139" s="18"/>
      <c r="ADO139" s="18"/>
      <c r="ADP139" s="18"/>
      <c r="ADQ139" s="18"/>
      <c r="ADR139" s="18"/>
      <c r="ADS139" s="18"/>
      <c r="ADT139" s="18"/>
      <c r="ADU139" s="18"/>
      <c r="ADV139" s="18"/>
      <c r="ADW139" s="18"/>
      <c r="ADX139" s="18"/>
      <c r="ADY139" s="18"/>
      <c r="ADZ139" s="18"/>
      <c r="AEA139" s="18"/>
      <c r="AEB139" s="18"/>
      <c r="AEC139" s="18"/>
      <c r="AED139" s="18"/>
      <c r="AEE139" s="18"/>
      <c r="AEF139" s="18"/>
      <c r="AEG139" s="18"/>
      <c r="AEH139" s="18"/>
      <c r="AEI139" s="18"/>
      <c r="AEJ139" s="18"/>
      <c r="AEK139" s="18"/>
      <c r="AEL139" s="18"/>
      <c r="AEM139" s="18"/>
      <c r="AEN139" s="18"/>
      <c r="AEO139" s="18"/>
      <c r="AEP139" s="18"/>
      <c r="AEQ139" s="18"/>
      <c r="AER139" s="18"/>
      <c r="AES139" s="18"/>
      <c r="AET139" s="18"/>
      <c r="AEU139" s="18"/>
      <c r="AEV139" s="18"/>
      <c r="AEW139" s="18"/>
      <c r="AEX139" s="18"/>
      <c r="AEY139" s="18"/>
      <c r="AEZ139" s="18"/>
      <c r="AFA139" s="18"/>
      <c r="AFB139" s="18"/>
      <c r="AFC139" s="18"/>
      <c r="AFD139" s="18"/>
      <c r="AFE139" s="18"/>
      <c r="AFF139" s="18"/>
      <c r="AFG139" s="18"/>
      <c r="AFH139" s="18"/>
      <c r="AFI139" s="18"/>
      <c r="AFJ139" s="18"/>
      <c r="AFK139" s="18"/>
      <c r="AFL139" s="18"/>
      <c r="AFM139" s="18"/>
      <c r="AFN139" s="18"/>
      <c r="AFO139" s="18"/>
      <c r="AFP139" s="18"/>
      <c r="AFQ139" s="18"/>
      <c r="AFR139" s="18"/>
      <c r="AFS139" s="18"/>
      <c r="AFT139" s="18"/>
      <c r="AFU139" s="18"/>
      <c r="AFV139" s="18"/>
      <c r="AFW139" s="18"/>
      <c r="AFX139" s="18"/>
      <c r="AFY139" s="18"/>
      <c r="AFZ139" s="18"/>
      <c r="AGA139" s="18"/>
      <c r="AGB139" s="18"/>
      <c r="AGC139" s="18"/>
      <c r="AGD139" s="18"/>
      <c r="AGE139" s="18"/>
      <c r="AGF139" s="18"/>
      <c r="AGG139" s="18"/>
      <c r="AGH139" s="18"/>
      <c r="AGI139" s="18"/>
      <c r="AGJ139" s="18"/>
      <c r="AGK139" s="18"/>
      <c r="AGL139" s="18"/>
      <c r="AGM139" s="18"/>
      <c r="AGN139" s="18"/>
      <c r="AGO139" s="18"/>
      <c r="AGP139" s="18"/>
      <c r="AGQ139" s="18"/>
      <c r="AGR139" s="18"/>
      <c r="AGS139" s="18"/>
      <c r="AGT139" s="18"/>
      <c r="AGU139" s="18"/>
      <c r="AGV139" s="18"/>
      <c r="AGW139" s="18"/>
      <c r="AGX139" s="18"/>
      <c r="AGY139" s="18"/>
      <c r="AGZ139" s="18"/>
      <c r="AHA139" s="18"/>
      <c r="AHB139" s="18"/>
      <c r="AHC139" s="18"/>
      <c r="AHD139" s="18"/>
      <c r="AHE139" s="18"/>
      <c r="AHF139" s="18"/>
      <c r="AHG139" s="18"/>
      <c r="AHH139" s="18"/>
      <c r="AHI139" s="18"/>
      <c r="AHJ139" s="18"/>
      <c r="AHK139" s="18"/>
      <c r="AHL139" s="18"/>
      <c r="AHM139" s="18"/>
      <c r="AHN139" s="18"/>
      <c r="AHO139" s="18"/>
      <c r="AHP139" s="18"/>
      <c r="AHQ139" s="18"/>
      <c r="AHR139" s="18"/>
      <c r="AHS139" s="18"/>
      <c r="AHT139" s="18"/>
      <c r="AHU139" s="18"/>
      <c r="AHV139" s="18"/>
      <c r="AHW139" s="18"/>
      <c r="AHX139" s="18"/>
      <c r="AHY139" s="18"/>
      <c r="AHZ139" s="18"/>
      <c r="AIA139" s="18"/>
      <c r="AIB139" s="18"/>
      <c r="AIC139" s="18"/>
      <c r="AID139" s="18"/>
      <c r="AIE139" s="18"/>
      <c r="AIF139" s="18"/>
      <c r="AIG139" s="18"/>
      <c r="AIH139" s="18"/>
      <c r="AII139" s="18"/>
      <c r="AIJ139" s="18"/>
      <c r="AIK139" s="18"/>
      <c r="AIL139" s="18"/>
      <c r="AIM139" s="18"/>
      <c r="AIN139" s="18"/>
      <c r="AIO139" s="18"/>
      <c r="AIP139" s="18"/>
      <c r="AIQ139" s="18"/>
      <c r="AIR139" s="18"/>
      <c r="AIS139" s="18"/>
      <c r="AIT139" s="18"/>
      <c r="AIU139" s="18"/>
      <c r="AIV139" s="18"/>
      <c r="AIW139" s="18"/>
      <c r="AIX139" s="18"/>
      <c r="AIY139" s="18"/>
      <c r="AIZ139" s="18"/>
      <c r="AJA139" s="18"/>
      <c r="AJB139" s="18"/>
      <c r="AJC139" s="18"/>
      <c r="AJD139" s="18"/>
      <c r="AJE139" s="18"/>
      <c r="AJF139" s="18"/>
      <c r="AJG139" s="18"/>
      <c r="AJH139" s="18"/>
      <c r="AJI139" s="18"/>
      <c r="AJJ139" s="18"/>
      <c r="AJK139" s="18"/>
      <c r="AJL139" s="18"/>
      <c r="AJM139" s="18"/>
      <c r="AJN139" s="18"/>
      <c r="AJO139" s="18"/>
      <c r="AJP139" s="18"/>
      <c r="AJQ139" s="18"/>
      <c r="AJR139" s="18"/>
      <c r="AJS139" s="18"/>
      <c r="AJT139" s="18"/>
      <c r="AJU139" s="18"/>
      <c r="AJV139" s="18"/>
      <c r="AJW139" s="18"/>
      <c r="AJX139" s="18"/>
      <c r="AJY139" s="18"/>
      <c r="AJZ139" s="18"/>
      <c r="AKA139" s="18"/>
      <c r="AKB139" s="18"/>
      <c r="AKC139" s="18"/>
      <c r="AKD139" s="18"/>
      <c r="AKE139" s="18"/>
      <c r="AKF139" s="18"/>
      <c r="AKG139" s="18"/>
      <c r="AKH139" s="18"/>
      <c r="AKI139" s="18"/>
      <c r="AKJ139" s="18"/>
      <c r="AKK139" s="18"/>
      <c r="AKL139" s="18"/>
      <c r="AKM139" s="18"/>
      <c r="AKN139" s="18"/>
      <c r="AKO139" s="18"/>
      <c r="AKP139" s="18"/>
      <c r="AKQ139" s="18"/>
      <c r="AKR139" s="18"/>
      <c r="AKS139" s="18"/>
      <c r="AKT139" s="18"/>
      <c r="AKU139" s="18"/>
      <c r="AKV139" s="18"/>
      <c r="AKW139" s="18"/>
      <c r="AKX139" s="18"/>
      <c r="AKY139" s="18"/>
      <c r="AKZ139" s="18"/>
      <c r="ALA139" s="18"/>
      <c r="ALB139" s="18"/>
      <c r="ALC139" s="18"/>
      <c r="ALD139" s="18"/>
      <c r="ALE139" s="18"/>
      <c r="ALF139" s="18"/>
      <c r="ALG139" s="18"/>
      <c r="ALH139" s="18"/>
      <c r="ALI139" s="18"/>
      <c r="ALJ139" s="18"/>
      <c r="ALK139" s="18"/>
      <c r="ALL139" s="18"/>
      <c r="ALM139" s="18"/>
      <c r="ALN139" s="18"/>
      <c r="ALO139" s="18"/>
      <c r="ALP139" s="18"/>
      <c r="ALQ139" s="18"/>
      <c r="ALR139" s="18"/>
      <c r="ALS139" s="18"/>
      <c r="ALT139" s="18"/>
      <c r="ALU139" s="18"/>
      <c r="ALV139" s="18"/>
      <c r="ALW139" s="18"/>
      <c r="ALX139" s="18"/>
      <c r="ALY139" s="18"/>
      <c r="ALZ139" s="18"/>
      <c r="AMA139" s="18"/>
      <c r="AMB139" s="18"/>
      <c r="AMC139" s="18"/>
      <c r="AMD139" s="18"/>
      <c r="AME139" s="18"/>
      <c r="AMF139" s="18"/>
      <c r="AMG139" s="18"/>
      <c r="AMH139" s="18"/>
    </row>
    <row r="140" spans="1:1022" s="23" customFormat="1" x14ac:dyDescent="0.3">
      <c r="A140" s="33">
        <v>236</v>
      </c>
      <c r="B140" s="19"/>
      <c r="C140" s="19"/>
      <c r="D140" s="34"/>
      <c r="E140" s="34"/>
      <c r="F140" s="19"/>
      <c r="G140" s="19"/>
      <c r="H140" s="18"/>
      <c r="I140" s="31"/>
      <c r="J140" s="31"/>
      <c r="K140" s="31"/>
      <c r="L140" s="31"/>
      <c r="M140" s="32"/>
      <c r="N140" s="32"/>
      <c r="O140" s="18"/>
      <c r="P140" s="36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18"/>
      <c r="AX140" s="18"/>
      <c r="AY140" s="18"/>
      <c r="AZ140" s="18"/>
      <c r="BA140" s="18"/>
      <c r="BB140" s="18"/>
      <c r="BC140" s="18"/>
      <c r="BD140" s="18"/>
      <c r="BE140" s="18"/>
      <c r="BF140" s="18"/>
      <c r="BG140" s="18"/>
      <c r="BH140" s="18"/>
      <c r="BI140" s="18"/>
      <c r="BJ140" s="18"/>
      <c r="BK140" s="18"/>
      <c r="BL140" s="18"/>
      <c r="BM140" s="18"/>
      <c r="BN140" s="18"/>
      <c r="BO140" s="18"/>
      <c r="BP140" s="18"/>
      <c r="BQ140" s="18"/>
      <c r="BR140" s="18"/>
      <c r="BS140" s="18"/>
      <c r="BT140" s="18"/>
      <c r="BU140" s="18"/>
      <c r="BV140" s="18"/>
      <c r="BW140" s="18"/>
      <c r="BX140" s="18"/>
      <c r="BY140" s="18"/>
      <c r="BZ140" s="18"/>
      <c r="CA140" s="18"/>
      <c r="CB140" s="18"/>
      <c r="CC140" s="18"/>
      <c r="CD140" s="18"/>
      <c r="CE140" s="18"/>
      <c r="CF140" s="18"/>
      <c r="CG140" s="18"/>
      <c r="CH140" s="18"/>
      <c r="CI140" s="18"/>
      <c r="CJ140" s="18"/>
      <c r="CK140" s="18"/>
      <c r="CL140" s="18"/>
      <c r="CM140" s="18"/>
      <c r="CN140" s="18"/>
      <c r="CO140" s="18"/>
      <c r="CP140" s="18"/>
      <c r="CQ140" s="18"/>
      <c r="CR140" s="18"/>
      <c r="CS140" s="18"/>
      <c r="CT140" s="18"/>
      <c r="CU140" s="18"/>
      <c r="CV140" s="18"/>
      <c r="CW140" s="18"/>
      <c r="CX140" s="18"/>
      <c r="CY140" s="18"/>
      <c r="CZ140" s="18"/>
      <c r="DA140" s="18"/>
      <c r="DB140" s="18"/>
      <c r="DC140" s="18"/>
      <c r="DD140" s="18"/>
      <c r="DE140" s="18"/>
      <c r="DF140" s="18"/>
      <c r="DG140" s="18"/>
      <c r="DH140" s="18"/>
      <c r="DI140" s="18"/>
      <c r="DJ140" s="18"/>
      <c r="DK140" s="18"/>
      <c r="DL140" s="18"/>
      <c r="DM140" s="18"/>
      <c r="DN140" s="18"/>
      <c r="DO140" s="18"/>
      <c r="DP140" s="18"/>
      <c r="DQ140" s="18"/>
      <c r="DR140" s="18"/>
      <c r="DS140" s="18"/>
      <c r="DT140" s="18"/>
      <c r="DU140" s="18"/>
      <c r="DV140" s="18"/>
      <c r="DW140" s="18"/>
      <c r="DX140" s="18"/>
      <c r="DY140" s="18"/>
      <c r="DZ140" s="18"/>
      <c r="EA140" s="18"/>
      <c r="EB140" s="18"/>
      <c r="EC140" s="18"/>
      <c r="ED140" s="18"/>
      <c r="EE140" s="18"/>
      <c r="EF140" s="18"/>
      <c r="EG140" s="18"/>
      <c r="EH140" s="18"/>
      <c r="EI140" s="18"/>
      <c r="EJ140" s="18"/>
      <c r="EK140" s="18"/>
      <c r="EL140" s="18"/>
      <c r="EM140" s="18"/>
      <c r="EN140" s="18"/>
      <c r="EO140" s="18"/>
      <c r="EP140" s="18"/>
      <c r="EQ140" s="18"/>
      <c r="ER140" s="18"/>
      <c r="ES140" s="18"/>
      <c r="ET140" s="18"/>
      <c r="EU140" s="18"/>
      <c r="EV140" s="18"/>
      <c r="EW140" s="18"/>
      <c r="EX140" s="18"/>
      <c r="EY140" s="18"/>
      <c r="EZ140" s="18"/>
      <c r="FA140" s="18"/>
      <c r="FB140" s="18"/>
      <c r="FC140" s="18"/>
      <c r="FD140" s="18"/>
      <c r="FE140" s="18"/>
      <c r="FF140" s="18"/>
      <c r="FG140" s="18"/>
      <c r="FH140" s="18"/>
      <c r="FI140" s="18"/>
      <c r="FJ140" s="18"/>
      <c r="FK140" s="18"/>
      <c r="FL140" s="18"/>
      <c r="FM140" s="18"/>
      <c r="FN140" s="18"/>
      <c r="FO140" s="18"/>
      <c r="FP140" s="18"/>
      <c r="FQ140" s="18"/>
      <c r="FR140" s="18"/>
      <c r="FS140" s="18"/>
      <c r="FT140" s="18"/>
      <c r="FU140" s="18"/>
      <c r="FV140" s="18"/>
      <c r="FW140" s="18"/>
      <c r="FX140" s="18"/>
      <c r="FY140" s="18"/>
      <c r="FZ140" s="18"/>
      <c r="GA140" s="18"/>
      <c r="GB140" s="18"/>
      <c r="GC140" s="18"/>
      <c r="GD140" s="18"/>
      <c r="GE140" s="18"/>
      <c r="GF140" s="18"/>
      <c r="GG140" s="18"/>
      <c r="GH140" s="18"/>
      <c r="GI140" s="18"/>
      <c r="GJ140" s="18"/>
      <c r="GK140" s="18"/>
      <c r="GL140" s="18"/>
      <c r="GM140" s="18"/>
      <c r="GN140" s="18"/>
      <c r="GO140" s="18"/>
      <c r="GP140" s="18"/>
      <c r="GQ140" s="18"/>
      <c r="GR140" s="18"/>
      <c r="GS140" s="18"/>
      <c r="GT140" s="18"/>
      <c r="GU140" s="18"/>
      <c r="GV140" s="18"/>
      <c r="GW140" s="18"/>
      <c r="GX140" s="18"/>
      <c r="GY140" s="18"/>
      <c r="GZ140" s="18"/>
      <c r="HA140" s="18"/>
      <c r="HB140" s="18"/>
      <c r="HC140" s="18"/>
      <c r="HD140" s="18"/>
      <c r="HE140" s="18"/>
      <c r="HF140" s="18"/>
      <c r="HG140" s="18"/>
      <c r="HH140" s="18"/>
      <c r="HI140" s="18"/>
      <c r="HJ140" s="18"/>
      <c r="HK140" s="18"/>
      <c r="HL140" s="18"/>
      <c r="HM140" s="18"/>
      <c r="HN140" s="18"/>
      <c r="HO140" s="18"/>
      <c r="HP140" s="18"/>
      <c r="HQ140" s="18"/>
      <c r="HR140" s="18"/>
      <c r="HS140" s="18"/>
      <c r="HT140" s="18"/>
      <c r="HU140" s="18"/>
      <c r="HV140" s="18"/>
      <c r="HW140" s="18"/>
      <c r="HX140" s="18"/>
      <c r="HY140" s="18"/>
      <c r="HZ140" s="18"/>
      <c r="IA140" s="18"/>
      <c r="IB140" s="18"/>
      <c r="IC140" s="18"/>
      <c r="ID140" s="18"/>
      <c r="IE140" s="18"/>
      <c r="IF140" s="18"/>
      <c r="IG140" s="18"/>
      <c r="IH140" s="18"/>
      <c r="II140" s="18"/>
      <c r="IJ140" s="18"/>
      <c r="IK140" s="18"/>
      <c r="IL140" s="18"/>
      <c r="IM140" s="18"/>
      <c r="IN140" s="18"/>
      <c r="IO140" s="18"/>
      <c r="IP140" s="18"/>
      <c r="IQ140" s="18"/>
      <c r="IR140" s="18"/>
      <c r="IS140" s="18"/>
      <c r="IT140" s="18"/>
      <c r="IU140" s="18"/>
      <c r="IV140" s="18"/>
      <c r="IW140" s="18"/>
      <c r="IX140" s="18"/>
      <c r="IY140" s="18"/>
      <c r="IZ140" s="18"/>
      <c r="JA140" s="18"/>
      <c r="JB140" s="18"/>
      <c r="JC140" s="18"/>
      <c r="JD140" s="18"/>
      <c r="JE140" s="18"/>
      <c r="JF140" s="18"/>
      <c r="JG140" s="18"/>
      <c r="JH140" s="18"/>
      <c r="JI140" s="18"/>
      <c r="JJ140" s="18"/>
      <c r="JK140" s="18"/>
      <c r="JL140" s="18"/>
      <c r="JM140" s="18"/>
      <c r="JN140" s="18"/>
      <c r="JO140" s="18"/>
      <c r="JP140" s="18"/>
      <c r="JQ140" s="18"/>
      <c r="JR140" s="18"/>
      <c r="JS140" s="18"/>
      <c r="JT140" s="18"/>
      <c r="JU140" s="18"/>
      <c r="JV140" s="18"/>
      <c r="JW140" s="18"/>
      <c r="JX140" s="18"/>
      <c r="JY140" s="18"/>
      <c r="JZ140" s="18"/>
      <c r="KA140" s="18"/>
      <c r="KB140" s="18"/>
      <c r="KC140" s="18"/>
      <c r="KD140" s="18"/>
      <c r="KE140" s="18"/>
      <c r="KF140" s="18"/>
      <c r="KG140" s="18"/>
      <c r="KH140" s="18"/>
      <c r="KI140" s="18"/>
      <c r="KJ140" s="18"/>
      <c r="KK140" s="18"/>
      <c r="KL140" s="18"/>
      <c r="KM140" s="18"/>
      <c r="KN140" s="18"/>
      <c r="KO140" s="18"/>
      <c r="KP140" s="18"/>
      <c r="KQ140" s="18"/>
      <c r="KR140" s="18"/>
      <c r="KS140" s="18"/>
      <c r="KT140" s="18"/>
      <c r="KU140" s="18"/>
      <c r="KV140" s="18"/>
      <c r="KW140" s="18"/>
      <c r="KX140" s="18"/>
      <c r="KY140" s="18"/>
      <c r="KZ140" s="18"/>
      <c r="LA140" s="18"/>
      <c r="LB140" s="18"/>
      <c r="LC140" s="18"/>
      <c r="LD140" s="18"/>
      <c r="LE140" s="18"/>
      <c r="LF140" s="18"/>
      <c r="LG140" s="18"/>
      <c r="LH140" s="18"/>
      <c r="LI140" s="18"/>
      <c r="LJ140" s="18"/>
      <c r="LK140" s="18"/>
      <c r="LL140" s="18"/>
      <c r="LM140" s="18"/>
      <c r="LN140" s="18"/>
      <c r="LO140" s="18"/>
      <c r="LP140" s="18"/>
      <c r="LQ140" s="18"/>
      <c r="LR140" s="18"/>
      <c r="LS140" s="18"/>
      <c r="LT140" s="18"/>
      <c r="LU140" s="18"/>
      <c r="LV140" s="18"/>
      <c r="LW140" s="18"/>
      <c r="LX140" s="18"/>
      <c r="LY140" s="18"/>
      <c r="LZ140" s="18"/>
      <c r="MA140" s="18"/>
      <c r="MB140" s="18"/>
      <c r="MC140" s="18"/>
      <c r="MD140" s="18"/>
      <c r="ME140" s="18"/>
      <c r="MF140" s="18"/>
      <c r="MG140" s="18"/>
      <c r="MH140" s="18"/>
      <c r="MI140" s="18"/>
      <c r="MJ140" s="18"/>
      <c r="MK140" s="18"/>
      <c r="ML140" s="18"/>
      <c r="MM140" s="18"/>
      <c r="MN140" s="18"/>
      <c r="MO140" s="18"/>
      <c r="MP140" s="18"/>
      <c r="MQ140" s="18"/>
      <c r="MR140" s="18"/>
      <c r="MS140" s="18"/>
      <c r="MT140" s="18"/>
      <c r="MU140" s="18"/>
      <c r="MV140" s="18"/>
      <c r="MW140" s="18"/>
      <c r="MX140" s="18"/>
      <c r="MY140" s="18"/>
      <c r="MZ140" s="18"/>
      <c r="NA140" s="18"/>
      <c r="NB140" s="18"/>
      <c r="NC140" s="18"/>
      <c r="ND140" s="18"/>
      <c r="NE140" s="18"/>
      <c r="NF140" s="18"/>
      <c r="NG140" s="18"/>
      <c r="NH140" s="18"/>
      <c r="NI140" s="18"/>
      <c r="NJ140" s="18"/>
      <c r="NK140" s="18"/>
      <c r="NL140" s="18"/>
      <c r="NM140" s="18"/>
      <c r="NN140" s="18"/>
      <c r="NO140" s="18"/>
      <c r="NP140" s="18"/>
      <c r="NQ140" s="18"/>
      <c r="NR140" s="18"/>
      <c r="NS140" s="18"/>
      <c r="NT140" s="18"/>
      <c r="NU140" s="18"/>
      <c r="NV140" s="18"/>
      <c r="NW140" s="18"/>
      <c r="NX140" s="18"/>
      <c r="NY140" s="18"/>
      <c r="NZ140" s="18"/>
      <c r="OA140" s="18"/>
      <c r="OB140" s="18"/>
      <c r="OC140" s="18"/>
      <c r="OD140" s="18"/>
      <c r="OE140" s="18"/>
      <c r="OF140" s="18"/>
      <c r="OG140" s="18"/>
      <c r="OH140" s="18"/>
      <c r="OI140" s="18"/>
      <c r="OJ140" s="18"/>
      <c r="OK140" s="18"/>
      <c r="OL140" s="18"/>
      <c r="OM140" s="18"/>
      <c r="ON140" s="18"/>
      <c r="OO140" s="18"/>
      <c r="OP140" s="18"/>
      <c r="OQ140" s="18"/>
      <c r="OR140" s="18"/>
      <c r="OS140" s="18"/>
      <c r="OT140" s="18"/>
      <c r="OU140" s="18"/>
      <c r="OV140" s="18"/>
      <c r="OW140" s="18"/>
      <c r="OX140" s="18"/>
      <c r="OY140" s="18"/>
      <c r="OZ140" s="18"/>
      <c r="PA140" s="18"/>
      <c r="PB140" s="18"/>
      <c r="PC140" s="18"/>
      <c r="PD140" s="18"/>
      <c r="PE140" s="18"/>
      <c r="PF140" s="18"/>
      <c r="PG140" s="18"/>
      <c r="PH140" s="18"/>
      <c r="PI140" s="18"/>
      <c r="PJ140" s="18"/>
      <c r="PK140" s="18"/>
      <c r="PL140" s="18"/>
      <c r="PM140" s="18"/>
      <c r="PN140" s="18"/>
      <c r="PO140" s="18"/>
      <c r="PP140" s="18"/>
      <c r="PQ140" s="18"/>
      <c r="PR140" s="18"/>
      <c r="PS140" s="18"/>
      <c r="PT140" s="18"/>
      <c r="PU140" s="18"/>
      <c r="PV140" s="18"/>
      <c r="PW140" s="18"/>
      <c r="PX140" s="18"/>
      <c r="PY140" s="18"/>
      <c r="PZ140" s="18"/>
      <c r="QA140" s="18"/>
      <c r="QB140" s="18"/>
      <c r="QC140" s="18"/>
      <c r="QD140" s="18"/>
      <c r="QE140" s="18"/>
      <c r="QF140" s="18"/>
      <c r="QG140" s="18"/>
      <c r="QH140" s="18"/>
      <c r="QI140" s="18"/>
      <c r="QJ140" s="18"/>
      <c r="QK140" s="18"/>
      <c r="QL140" s="18"/>
      <c r="QM140" s="18"/>
      <c r="QN140" s="18"/>
      <c r="QO140" s="18"/>
      <c r="QP140" s="18"/>
      <c r="QQ140" s="18"/>
      <c r="QR140" s="18"/>
      <c r="QS140" s="18"/>
      <c r="QT140" s="18"/>
      <c r="QU140" s="18"/>
      <c r="QV140" s="18"/>
      <c r="QW140" s="18"/>
      <c r="QX140" s="18"/>
      <c r="QY140" s="18"/>
      <c r="QZ140" s="18"/>
      <c r="RA140" s="18"/>
      <c r="RB140" s="18"/>
      <c r="RC140" s="18"/>
      <c r="RD140" s="18"/>
      <c r="RE140" s="18"/>
      <c r="RF140" s="18"/>
      <c r="RG140" s="18"/>
      <c r="RH140" s="18"/>
      <c r="RI140" s="18"/>
      <c r="RJ140" s="18"/>
      <c r="RK140" s="18"/>
      <c r="RL140" s="18"/>
      <c r="RM140" s="18"/>
      <c r="RN140" s="18"/>
      <c r="RO140" s="18"/>
      <c r="RP140" s="18"/>
      <c r="RQ140" s="18"/>
      <c r="RR140" s="18"/>
      <c r="RS140" s="18"/>
      <c r="RT140" s="18"/>
      <c r="RU140" s="18"/>
      <c r="RV140" s="18"/>
      <c r="RW140" s="18"/>
      <c r="RX140" s="18"/>
      <c r="RY140" s="18"/>
      <c r="RZ140" s="18"/>
      <c r="SA140" s="18"/>
      <c r="SB140" s="18"/>
      <c r="SC140" s="18"/>
      <c r="SD140" s="18"/>
      <c r="SE140" s="18"/>
      <c r="SF140" s="18"/>
      <c r="SG140" s="18"/>
      <c r="SH140" s="18"/>
      <c r="SI140" s="18"/>
      <c r="SJ140" s="18"/>
      <c r="SK140" s="18"/>
      <c r="SL140" s="18"/>
      <c r="SM140" s="18"/>
      <c r="SN140" s="18"/>
      <c r="SO140" s="18"/>
      <c r="SP140" s="18"/>
      <c r="SQ140" s="18"/>
      <c r="SR140" s="18"/>
      <c r="SS140" s="18"/>
      <c r="ST140" s="18"/>
      <c r="SU140" s="18"/>
      <c r="SV140" s="18"/>
      <c r="SW140" s="18"/>
      <c r="SX140" s="18"/>
      <c r="SY140" s="18"/>
      <c r="SZ140" s="18"/>
      <c r="TA140" s="18"/>
      <c r="TB140" s="18"/>
      <c r="TC140" s="18"/>
      <c r="TD140" s="18"/>
      <c r="TE140" s="18"/>
      <c r="TF140" s="18"/>
      <c r="TG140" s="18"/>
      <c r="TH140" s="18"/>
      <c r="TI140" s="18"/>
      <c r="TJ140" s="18"/>
      <c r="TK140" s="18"/>
      <c r="TL140" s="18"/>
      <c r="TM140" s="18"/>
      <c r="TN140" s="18"/>
      <c r="TO140" s="18"/>
      <c r="TP140" s="18"/>
      <c r="TQ140" s="18"/>
      <c r="TR140" s="18"/>
      <c r="TS140" s="18"/>
      <c r="TT140" s="18"/>
      <c r="TU140" s="18"/>
      <c r="TV140" s="18"/>
      <c r="TW140" s="18"/>
      <c r="TX140" s="18"/>
      <c r="TY140" s="18"/>
      <c r="TZ140" s="18"/>
      <c r="UA140" s="18"/>
      <c r="UB140" s="18"/>
      <c r="UC140" s="18"/>
      <c r="UD140" s="18"/>
      <c r="UE140" s="18"/>
      <c r="UF140" s="18"/>
      <c r="UG140" s="18"/>
      <c r="UH140" s="18"/>
      <c r="UI140" s="18"/>
      <c r="UJ140" s="18"/>
      <c r="UK140" s="18"/>
      <c r="UL140" s="18"/>
      <c r="UM140" s="18"/>
      <c r="UN140" s="18"/>
      <c r="UO140" s="18"/>
      <c r="UP140" s="18"/>
      <c r="UQ140" s="18"/>
      <c r="UR140" s="18"/>
      <c r="US140" s="18"/>
      <c r="UT140" s="18"/>
      <c r="UU140" s="18"/>
      <c r="UV140" s="18"/>
      <c r="UW140" s="18"/>
      <c r="UX140" s="18"/>
      <c r="UY140" s="18"/>
      <c r="UZ140" s="18"/>
      <c r="VA140" s="18"/>
      <c r="VB140" s="18"/>
      <c r="VC140" s="18"/>
      <c r="VD140" s="18"/>
      <c r="VE140" s="18"/>
      <c r="VF140" s="18"/>
      <c r="VG140" s="18"/>
      <c r="VH140" s="18"/>
      <c r="VI140" s="18"/>
      <c r="VJ140" s="18"/>
      <c r="VK140" s="18"/>
      <c r="VL140" s="18"/>
      <c r="VM140" s="18"/>
      <c r="VN140" s="18"/>
      <c r="VO140" s="18"/>
      <c r="VP140" s="18"/>
      <c r="VQ140" s="18"/>
      <c r="VR140" s="18"/>
      <c r="VS140" s="18"/>
      <c r="VT140" s="18"/>
      <c r="VU140" s="18"/>
      <c r="VV140" s="18"/>
      <c r="VW140" s="18"/>
      <c r="VX140" s="18"/>
      <c r="VY140" s="18"/>
      <c r="VZ140" s="18"/>
      <c r="WA140" s="18"/>
      <c r="WB140" s="18"/>
      <c r="WC140" s="18"/>
      <c r="WD140" s="18"/>
      <c r="WE140" s="18"/>
      <c r="WF140" s="18"/>
      <c r="WG140" s="18"/>
      <c r="WH140" s="18"/>
      <c r="WI140" s="18"/>
      <c r="WJ140" s="18"/>
      <c r="WK140" s="18"/>
      <c r="WL140" s="18"/>
      <c r="WM140" s="18"/>
      <c r="WN140" s="18"/>
      <c r="WO140" s="18"/>
      <c r="WP140" s="18"/>
      <c r="WQ140" s="18"/>
      <c r="WR140" s="18"/>
      <c r="WS140" s="18"/>
      <c r="WT140" s="18"/>
      <c r="WU140" s="18"/>
      <c r="WV140" s="18"/>
      <c r="WW140" s="18"/>
      <c r="WX140" s="18"/>
      <c r="WY140" s="18"/>
      <c r="WZ140" s="18"/>
      <c r="XA140" s="18"/>
      <c r="XB140" s="18"/>
      <c r="XC140" s="18"/>
      <c r="XD140" s="18"/>
      <c r="XE140" s="18"/>
      <c r="XF140" s="18"/>
      <c r="XG140" s="18"/>
      <c r="XH140" s="18"/>
      <c r="XI140" s="18"/>
      <c r="XJ140" s="18"/>
      <c r="XK140" s="18"/>
      <c r="XL140" s="18"/>
      <c r="XM140" s="18"/>
      <c r="XN140" s="18"/>
      <c r="XO140" s="18"/>
      <c r="XP140" s="18"/>
      <c r="XQ140" s="18"/>
      <c r="XR140" s="18"/>
      <c r="XS140" s="18"/>
      <c r="XT140" s="18"/>
      <c r="XU140" s="18"/>
      <c r="XV140" s="18"/>
      <c r="XW140" s="18"/>
      <c r="XX140" s="18"/>
      <c r="XY140" s="18"/>
      <c r="XZ140" s="18"/>
      <c r="YA140" s="18"/>
      <c r="YB140" s="18"/>
      <c r="YC140" s="18"/>
      <c r="YD140" s="18"/>
      <c r="YE140" s="18"/>
      <c r="YF140" s="18"/>
      <c r="YG140" s="18"/>
      <c r="YH140" s="18"/>
      <c r="YI140" s="18"/>
      <c r="YJ140" s="18"/>
      <c r="YK140" s="18"/>
      <c r="YL140" s="18"/>
      <c r="YM140" s="18"/>
      <c r="YN140" s="18"/>
      <c r="YO140" s="18"/>
      <c r="YP140" s="18"/>
      <c r="YQ140" s="18"/>
      <c r="YR140" s="18"/>
      <c r="YS140" s="18"/>
      <c r="YT140" s="18"/>
      <c r="YU140" s="18"/>
      <c r="YV140" s="18"/>
      <c r="YW140" s="18"/>
      <c r="YX140" s="18"/>
      <c r="YY140" s="18"/>
      <c r="YZ140" s="18"/>
      <c r="ZA140" s="18"/>
      <c r="ZB140" s="18"/>
      <c r="ZC140" s="18"/>
      <c r="ZD140" s="18"/>
      <c r="ZE140" s="18"/>
      <c r="ZF140" s="18"/>
      <c r="ZG140" s="18"/>
      <c r="ZH140" s="18"/>
      <c r="ZI140" s="18"/>
      <c r="ZJ140" s="18"/>
      <c r="ZK140" s="18"/>
      <c r="ZL140" s="18"/>
      <c r="ZM140" s="18"/>
      <c r="ZN140" s="18"/>
      <c r="ZO140" s="18"/>
      <c r="ZP140" s="18"/>
      <c r="ZQ140" s="18"/>
      <c r="ZR140" s="18"/>
      <c r="ZS140" s="18"/>
      <c r="ZT140" s="18"/>
      <c r="ZU140" s="18"/>
      <c r="ZV140" s="18"/>
      <c r="ZW140" s="18"/>
      <c r="ZX140" s="18"/>
      <c r="ZY140" s="18"/>
      <c r="ZZ140" s="18"/>
      <c r="AAA140" s="18"/>
      <c r="AAB140" s="18"/>
      <c r="AAC140" s="18"/>
      <c r="AAD140" s="18"/>
      <c r="AAE140" s="18"/>
      <c r="AAF140" s="18"/>
      <c r="AAG140" s="18"/>
      <c r="AAH140" s="18"/>
      <c r="AAI140" s="18"/>
      <c r="AAJ140" s="18"/>
      <c r="AAK140" s="18"/>
      <c r="AAL140" s="18"/>
      <c r="AAM140" s="18"/>
      <c r="AAN140" s="18"/>
      <c r="AAO140" s="18"/>
      <c r="AAP140" s="18"/>
      <c r="AAQ140" s="18"/>
      <c r="AAR140" s="18"/>
      <c r="AAS140" s="18"/>
      <c r="AAT140" s="18"/>
      <c r="AAU140" s="18"/>
      <c r="AAV140" s="18"/>
      <c r="AAW140" s="18"/>
      <c r="AAX140" s="18"/>
      <c r="AAY140" s="18"/>
      <c r="AAZ140" s="18"/>
      <c r="ABA140" s="18"/>
      <c r="ABB140" s="18"/>
      <c r="ABC140" s="18"/>
      <c r="ABD140" s="18"/>
      <c r="ABE140" s="18"/>
      <c r="ABF140" s="18"/>
      <c r="ABG140" s="18"/>
      <c r="ABH140" s="18"/>
      <c r="ABI140" s="18"/>
      <c r="ABJ140" s="18"/>
      <c r="ABK140" s="18"/>
      <c r="ABL140" s="18"/>
      <c r="ABM140" s="18"/>
      <c r="ABN140" s="18"/>
      <c r="ABO140" s="18"/>
      <c r="ABP140" s="18"/>
      <c r="ABQ140" s="18"/>
      <c r="ABR140" s="18"/>
      <c r="ABS140" s="18"/>
      <c r="ABT140" s="18"/>
      <c r="ABU140" s="18"/>
      <c r="ABV140" s="18"/>
      <c r="ABW140" s="18"/>
      <c r="ABX140" s="18"/>
      <c r="ABY140" s="18"/>
      <c r="ABZ140" s="18"/>
      <c r="ACA140" s="18"/>
      <c r="ACB140" s="18"/>
      <c r="ACC140" s="18"/>
      <c r="ACD140" s="18"/>
      <c r="ACE140" s="18"/>
      <c r="ACF140" s="18"/>
      <c r="ACG140" s="18"/>
      <c r="ACH140" s="18"/>
      <c r="ACI140" s="18"/>
      <c r="ACJ140" s="18"/>
      <c r="ACK140" s="18"/>
      <c r="ACL140" s="18"/>
      <c r="ACM140" s="18"/>
      <c r="ACN140" s="18"/>
      <c r="ACO140" s="18"/>
      <c r="ACP140" s="18"/>
      <c r="ACQ140" s="18"/>
      <c r="ACR140" s="18"/>
      <c r="ACS140" s="18"/>
      <c r="ACT140" s="18"/>
      <c r="ACU140" s="18"/>
      <c r="ACV140" s="18"/>
      <c r="ACW140" s="18"/>
      <c r="ACX140" s="18"/>
      <c r="ACY140" s="18"/>
      <c r="ACZ140" s="18"/>
      <c r="ADA140" s="18"/>
      <c r="ADB140" s="18"/>
      <c r="ADC140" s="18"/>
      <c r="ADD140" s="18"/>
      <c r="ADE140" s="18"/>
      <c r="ADF140" s="18"/>
      <c r="ADG140" s="18"/>
      <c r="ADH140" s="18"/>
      <c r="ADI140" s="18"/>
      <c r="ADJ140" s="18"/>
      <c r="ADK140" s="18"/>
      <c r="ADL140" s="18"/>
      <c r="ADM140" s="18"/>
      <c r="ADN140" s="18"/>
      <c r="ADO140" s="18"/>
      <c r="ADP140" s="18"/>
      <c r="ADQ140" s="18"/>
      <c r="ADR140" s="18"/>
      <c r="ADS140" s="18"/>
      <c r="ADT140" s="18"/>
      <c r="ADU140" s="18"/>
      <c r="ADV140" s="18"/>
      <c r="ADW140" s="18"/>
      <c r="ADX140" s="18"/>
      <c r="ADY140" s="18"/>
      <c r="ADZ140" s="18"/>
      <c r="AEA140" s="18"/>
      <c r="AEB140" s="18"/>
      <c r="AEC140" s="18"/>
      <c r="AED140" s="18"/>
      <c r="AEE140" s="18"/>
      <c r="AEF140" s="18"/>
      <c r="AEG140" s="18"/>
      <c r="AEH140" s="18"/>
      <c r="AEI140" s="18"/>
      <c r="AEJ140" s="18"/>
      <c r="AEK140" s="18"/>
      <c r="AEL140" s="18"/>
      <c r="AEM140" s="18"/>
      <c r="AEN140" s="18"/>
      <c r="AEO140" s="18"/>
      <c r="AEP140" s="18"/>
      <c r="AEQ140" s="18"/>
      <c r="AER140" s="18"/>
      <c r="AES140" s="18"/>
      <c r="AET140" s="18"/>
      <c r="AEU140" s="18"/>
      <c r="AEV140" s="18"/>
      <c r="AEW140" s="18"/>
      <c r="AEX140" s="18"/>
      <c r="AEY140" s="18"/>
      <c r="AEZ140" s="18"/>
      <c r="AFA140" s="18"/>
      <c r="AFB140" s="18"/>
      <c r="AFC140" s="18"/>
      <c r="AFD140" s="18"/>
      <c r="AFE140" s="18"/>
      <c r="AFF140" s="18"/>
      <c r="AFG140" s="18"/>
      <c r="AFH140" s="18"/>
      <c r="AFI140" s="18"/>
      <c r="AFJ140" s="18"/>
      <c r="AFK140" s="18"/>
      <c r="AFL140" s="18"/>
      <c r="AFM140" s="18"/>
      <c r="AFN140" s="18"/>
      <c r="AFO140" s="18"/>
      <c r="AFP140" s="18"/>
      <c r="AFQ140" s="18"/>
      <c r="AFR140" s="18"/>
      <c r="AFS140" s="18"/>
      <c r="AFT140" s="18"/>
      <c r="AFU140" s="18"/>
      <c r="AFV140" s="18"/>
      <c r="AFW140" s="18"/>
      <c r="AFX140" s="18"/>
      <c r="AFY140" s="18"/>
      <c r="AFZ140" s="18"/>
      <c r="AGA140" s="18"/>
      <c r="AGB140" s="18"/>
      <c r="AGC140" s="18"/>
      <c r="AGD140" s="18"/>
      <c r="AGE140" s="18"/>
      <c r="AGF140" s="18"/>
      <c r="AGG140" s="18"/>
      <c r="AGH140" s="18"/>
      <c r="AGI140" s="18"/>
      <c r="AGJ140" s="18"/>
      <c r="AGK140" s="18"/>
      <c r="AGL140" s="18"/>
      <c r="AGM140" s="18"/>
      <c r="AGN140" s="18"/>
      <c r="AGO140" s="18"/>
      <c r="AGP140" s="18"/>
      <c r="AGQ140" s="18"/>
      <c r="AGR140" s="18"/>
      <c r="AGS140" s="18"/>
      <c r="AGT140" s="18"/>
      <c r="AGU140" s="18"/>
      <c r="AGV140" s="18"/>
      <c r="AGW140" s="18"/>
      <c r="AGX140" s="18"/>
      <c r="AGY140" s="18"/>
      <c r="AGZ140" s="18"/>
      <c r="AHA140" s="18"/>
      <c r="AHB140" s="18"/>
      <c r="AHC140" s="18"/>
      <c r="AHD140" s="18"/>
      <c r="AHE140" s="18"/>
      <c r="AHF140" s="18"/>
      <c r="AHG140" s="18"/>
      <c r="AHH140" s="18"/>
      <c r="AHI140" s="18"/>
      <c r="AHJ140" s="18"/>
      <c r="AHK140" s="18"/>
      <c r="AHL140" s="18"/>
      <c r="AHM140" s="18"/>
      <c r="AHN140" s="18"/>
      <c r="AHO140" s="18"/>
      <c r="AHP140" s="18"/>
      <c r="AHQ140" s="18"/>
      <c r="AHR140" s="18"/>
      <c r="AHS140" s="18"/>
      <c r="AHT140" s="18"/>
      <c r="AHU140" s="18"/>
      <c r="AHV140" s="18"/>
      <c r="AHW140" s="18"/>
      <c r="AHX140" s="18"/>
      <c r="AHY140" s="18"/>
      <c r="AHZ140" s="18"/>
      <c r="AIA140" s="18"/>
      <c r="AIB140" s="18"/>
      <c r="AIC140" s="18"/>
      <c r="AID140" s="18"/>
      <c r="AIE140" s="18"/>
      <c r="AIF140" s="18"/>
      <c r="AIG140" s="18"/>
      <c r="AIH140" s="18"/>
      <c r="AII140" s="18"/>
      <c r="AIJ140" s="18"/>
      <c r="AIK140" s="18"/>
      <c r="AIL140" s="18"/>
      <c r="AIM140" s="18"/>
      <c r="AIN140" s="18"/>
      <c r="AIO140" s="18"/>
      <c r="AIP140" s="18"/>
      <c r="AIQ140" s="18"/>
      <c r="AIR140" s="18"/>
      <c r="AIS140" s="18"/>
      <c r="AIT140" s="18"/>
      <c r="AIU140" s="18"/>
      <c r="AIV140" s="18"/>
      <c r="AIW140" s="18"/>
      <c r="AIX140" s="18"/>
      <c r="AIY140" s="18"/>
      <c r="AIZ140" s="18"/>
      <c r="AJA140" s="18"/>
      <c r="AJB140" s="18"/>
      <c r="AJC140" s="18"/>
      <c r="AJD140" s="18"/>
      <c r="AJE140" s="18"/>
      <c r="AJF140" s="18"/>
      <c r="AJG140" s="18"/>
      <c r="AJH140" s="18"/>
      <c r="AJI140" s="18"/>
      <c r="AJJ140" s="18"/>
      <c r="AJK140" s="18"/>
      <c r="AJL140" s="18"/>
      <c r="AJM140" s="18"/>
      <c r="AJN140" s="18"/>
      <c r="AJO140" s="18"/>
      <c r="AJP140" s="18"/>
      <c r="AJQ140" s="18"/>
      <c r="AJR140" s="18"/>
      <c r="AJS140" s="18"/>
      <c r="AJT140" s="18"/>
      <c r="AJU140" s="18"/>
      <c r="AJV140" s="18"/>
      <c r="AJW140" s="18"/>
      <c r="AJX140" s="18"/>
      <c r="AJY140" s="18"/>
      <c r="AJZ140" s="18"/>
      <c r="AKA140" s="18"/>
      <c r="AKB140" s="18"/>
      <c r="AKC140" s="18"/>
      <c r="AKD140" s="18"/>
      <c r="AKE140" s="18"/>
      <c r="AKF140" s="18"/>
      <c r="AKG140" s="18"/>
      <c r="AKH140" s="18"/>
      <c r="AKI140" s="18"/>
      <c r="AKJ140" s="18"/>
      <c r="AKK140" s="18"/>
      <c r="AKL140" s="18"/>
      <c r="AKM140" s="18"/>
      <c r="AKN140" s="18"/>
      <c r="AKO140" s="18"/>
      <c r="AKP140" s="18"/>
      <c r="AKQ140" s="18"/>
      <c r="AKR140" s="18"/>
      <c r="AKS140" s="18"/>
      <c r="AKT140" s="18"/>
      <c r="AKU140" s="18"/>
      <c r="AKV140" s="18"/>
      <c r="AKW140" s="18"/>
      <c r="AKX140" s="18"/>
      <c r="AKY140" s="18"/>
      <c r="AKZ140" s="18"/>
      <c r="ALA140" s="18"/>
      <c r="ALB140" s="18"/>
      <c r="ALC140" s="18"/>
      <c r="ALD140" s="18"/>
      <c r="ALE140" s="18"/>
      <c r="ALF140" s="18"/>
      <c r="ALG140" s="18"/>
      <c r="ALH140" s="18"/>
      <c r="ALI140" s="18"/>
      <c r="ALJ140" s="18"/>
      <c r="ALK140" s="18"/>
      <c r="ALL140" s="18"/>
      <c r="ALM140" s="18"/>
      <c r="ALN140" s="18"/>
      <c r="ALO140" s="18"/>
      <c r="ALP140" s="18"/>
      <c r="ALQ140" s="18"/>
      <c r="ALR140" s="18"/>
      <c r="ALS140" s="18"/>
      <c r="ALT140" s="18"/>
      <c r="ALU140" s="18"/>
      <c r="ALV140" s="18"/>
      <c r="ALW140" s="18"/>
      <c r="ALX140" s="18"/>
      <c r="ALY140" s="18"/>
      <c r="ALZ140" s="18"/>
      <c r="AMA140" s="18"/>
      <c r="AMB140" s="18"/>
      <c r="AMC140" s="18"/>
      <c r="AMD140" s="18"/>
      <c r="AME140" s="18"/>
      <c r="AMF140" s="18"/>
      <c r="AMG140" s="18"/>
      <c r="AMH140" s="18"/>
    </row>
    <row r="141" spans="1:1022" s="23" customFormat="1" x14ac:dyDescent="0.3">
      <c r="A141" s="33">
        <v>237</v>
      </c>
      <c r="B141" s="19"/>
      <c r="C141" s="19"/>
      <c r="D141" s="34"/>
      <c r="E141" s="34"/>
      <c r="F141" s="19"/>
      <c r="G141" s="19"/>
      <c r="H141" s="18"/>
      <c r="I141" s="31"/>
      <c r="J141" s="31"/>
      <c r="K141" s="31"/>
      <c r="L141" s="31"/>
      <c r="M141" s="32"/>
      <c r="N141" s="32"/>
      <c r="O141" s="18"/>
      <c r="P141" s="36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18"/>
      <c r="AX141" s="18"/>
      <c r="AY141" s="18"/>
      <c r="AZ141" s="18"/>
      <c r="BA141" s="18"/>
      <c r="BB141" s="18"/>
      <c r="BC141" s="18"/>
      <c r="BD141" s="18"/>
      <c r="BE141" s="18"/>
      <c r="BF141" s="18"/>
      <c r="BG141" s="18"/>
      <c r="BH141" s="18"/>
      <c r="BI141" s="18"/>
      <c r="BJ141" s="18"/>
      <c r="BK141" s="18"/>
      <c r="BL141" s="18"/>
      <c r="BM141" s="18"/>
      <c r="BN141" s="18"/>
      <c r="BO141" s="18"/>
      <c r="BP141" s="18"/>
      <c r="BQ141" s="18"/>
      <c r="BR141" s="18"/>
      <c r="BS141" s="18"/>
      <c r="BT141" s="18"/>
      <c r="BU141" s="18"/>
      <c r="BV141" s="18"/>
      <c r="BW141" s="18"/>
      <c r="BX141" s="18"/>
      <c r="BY141" s="18"/>
      <c r="BZ141" s="18"/>
      <c r="CA141" s="18"/>
      <c r="CB141" s="18"/>
      <c r="CC141" s="18"/>
      <c r="CD141" s="18"/>
      <c r="CE141" s="18"/>
      <c r="CF141" s="18"/>
      <c r="CG141" s="18"/>
      <c r="CH141" s="18"/>
      <c r="CI141" s="18"/>
      <c r="CJ141" s="18"/>
      <c r="CK141" s="18"/>
      <c r="CL141" s="18"/>
      <c r="CM141" s="18"/>
      <c r="CN141" s="18"/>
      <c r="CO141" s="18"/>
      <c r="CP141" s="18"/>
      <c r="CQ141" s="18"/>
      <c r="CR141" s="18"/>
      <c r="CS141" s="18"/>
      <c r="CT141" s="18"/>
      <c r="CU141" s="18"/>
      <c r="CV141" s="18"/>
      <c r="CW141" s="18"/>
      <c r="CX141" s="18"/>
      <c r="CY141" s="18"/>
      <c r="CZ141" s="18"/>
      <c r="DA141" s="18"/>
      <c r="DB141" s="18"/>
      <c r="DC141" s="18"/>
      <c r="DD141" s="18"/>
      <c r="DE141" s="18"/>
      <c r="DF141" s="18"/>
      <c r="DG141" s="18"/>
      <c r="DH141" s="18"/>
      <c r="DI141" s="18"/>
      <c r="DJ141" s="18"/>
      <c r="DK141" s="18"/>
      <c r="DL141" s="18"/>
      <c r="DM141" s="18"/>
      <c r="DN141" s="18"/>
      <c r="DO141" s="18"/>
      <c r="DP141" s="18"/>
      <c r="DQ141" s="18"/>
      <c r="DR141" s="18"/>
      <c r="DS141" s="18"/>
      <c r="DT141" s="18"/>
      <c r="DU141" s="18"/>
      <c r="DV141" s="18"/>
      <c r="DW141" s="18"/>
      <c r="DX141" s="18"/>
      <c r="DY141" s="18"/>
      <c r="DZ141" s="18"/>
      <c r="EA141" s="18"/>
      <c r="EB141" s="18"/>
      <c r="EC141" s="18"/>
      <c r="ED141" s="18"/>
      <c r="EE141" s="18"/>
      <c r="EF141" s="18"/>
      <c r="EG141" s="18"/>
      <c r="EH141" s="18"/>
      <c r="EI141" s="18"/>
      <c r="EJ141" s="18"/>
      <c r="EK141" s="18"/>
      <c r="EL141" s="18"/>
      <c r="EM141" s="18"/>
      <c r="EN141" s="18"/>
      <c r="EO141" s="18"/>
      <c r="EP141" s="18"/>
      <c r="EQ141" s="18"/>
      <c r="ER141" s="18"/>
      <c r="ES141" s="18"/>
      <c r="ET141" s="18"/>
      <c r="EU141" s="18"/>
      <c r="EV141" s="18"/>
      <c r="EW141" s="18"/>
      <c r="EX141" s="18"/>
      <c r="EY141" s="18"/>
      <c r="EZ141" s="18"/>
      <c r="FA141" s="18"/>
      <c r="FB141" s="18"/>
      <c r="FC141" s="18"/>
      <c r="FD141" s="18"/>
      <c r="FE141" s="18"/>
      <c r="FF141" s="18"/>
      <c r="FG141" s="18"/>
      <c r="FH141" s="18"/>
      <c r="FI141" s="18"/>
      <c r="FJ141" s="18"/>
      <c r="FK141" s="18"/>
      <c r="FL141" s="18"/>
      <c r="FM141" s="18"/>
      <c r="FN141" s="18"/>
      <c r="FO141" s="18"/>
      <c r="FP141" s="18"/>
      <c r="FQ141" s="18"/>
      <c r="FR141" s="18"/>
      <c r="FS141" s="18"/>
      <c r="FT141" s="18"/>
      <c r="FU141" s="18"/>
      <c r="FV141" s="18"/>
      <c r="FW141" s="18"/>
      <c r="FX141" s="18"/>
      <c r="FY141" s="18"/>
      <c r="FZ141" s="18"/>
      <c r="GA141" s="18"/>
      <c r="GB141" s="18"/>
      <c r="GC141" s="18"/>
      <c r="GD141" s="18"/>
      <c r="GE141" s="18"/>
      <c r="GF141" s="18"/>
      <c r="GG141" s="18"/>
      <c r="GH141" s="18"/>
      <c r="GI141" s="18"/>
      <c r="GJ141" s="18"/>
      <c r="GK141" s="18"/>
      <c r="GL141" s="18"/>
      <c r="GM141" s="18"/>
      <c r="GN141" s="18"/>
      <c r="GO141" s="18"/>
      <c r="GP141" s="18"/>
      <c r="GQ141" s="18"/>
      <c r="GR141" s="18"/>
      <c r="GS141" s="18"/>
      <c r="GT141" s="18"/>
      <c r="GU141" s="18"/>
      <c r="GV141" s="18"/>
      <c r="GW141" s="18"/>
      <c r="GX141" s="18"/>
      <c r="GY141" s="18"/>
      <c r="GZ141" s="18"/>
      <c r="HA141" s="18"/>
      <c r="HB141" s="18"/>
      <c r="HC141" s="18"/>
      <c r="HD141" s="18"/>
      <c r="HE141" s="18"/>
      <c r="HF141" s="18"/>
      <c r="HG141" s="18"/>
      <c r="HH141" s="18"/>
      <c r="HI141" s="18"/>
      <c r="HJ141" s="18"/>
      <c r="HK141" s="18"/>
      <c r="HL141" s="18"/>
      <c r="HM141" s="18"/>
      <c r="HN141" s="18"/>
      <c r="HO141" s="18"/>
      <c r="HP141" s="18"/>
      <c r="HQ141" s="18"/>
      <c r="HR141" s="18"/>
      <c r="HS141" s="18"/>
      <c r="HT141" s="18"/>
      <c r="HU141" s="18"/>
      <c r="HV141" s="18"/>
      <c r="HW141" s="18"/>
      <c r="HX141" s="18"/>
      <c r="HY141" s="18"/>
      <c r="HZ141" s="18"/>
      <c r="IA141" s="18"/>
      <c r="IB141" s="18"/>
      <c r="IC141" s="18"/>
      <c r="ID141" s="18"/>
      <c r="IE141" s="18"/>
      <c r="IF141" s="18"/>
      <c r="IG141" s="18"/>
      <c r="IH141" s="18"/>
      <c r="II141" s="18"/>
      <c r="IJ141" s="18"/>
      <c r="IK141" s="18"/>
      <c r="IL141" s="18"/>
      <c r="IM141" s="18"/>
      <c r="IN141" s="18"/>
      <c r="IO141" s="18"/>
      <c r="IP141" s="18"/>
      <c r="IQ141" s="18"/>
      <c r="IR141" s="18"/>
      <c r="IS141" s="18"/>
      <c r="IT141" s="18"/>
      <c r="IU141" s="18"/>
      <c r="IV141" s="18"/>
      <c r="IW141" s="18"/>
      <c r="IX141" s="18"/>
      <c r="IY141" s="18"/>
      <c r="IZ141" s="18"/>
      <c r="JA141" s="18"/>
      <c r="JB141" s="18"/>
      <c r="JC141" s="18"/>
      <c r="JD141" s="18"/>
      <c r="JE141" s="18"/>
      <c r="JF141" s="18"/>
      <c r="JG141" s="18"/>
      <c r="JH141" s="18"/>
      <c r="JI141" s="18"/>
      <c r="JJ141" s="18"/>
      <c r="JK141" s="18"/>
      <c r="JL141" s="18"/>
      <c r="JM141" s="18"/>
      <c r="JN141" s="18"/>
      <c r="JO141" s="18"/>
      <c r="JP141" s="18"/>
      <c r="JQ141" s="18"/>
      <c r="JR141" s="18"/>
      <c r="JS141" s="18"/>
      <c r="JT141" s="18"/>
      <c r="JU141" s="18"/>
      <c r="JV141" s="18"/>
      <c r="JW141" s="18"/>
      <c r="JX141" s="18"/>
      <c r="JY141" s="18"/>
      <c r="JZ141" s="18"/>
      <c r="KA141" s="18"/>
      <c r="KB141" s="18"/>
      <c r="KC141" s="18"/>
      <c r="KD141" s="18"/>
      <c r="KE141" s="18"/>
      <c r="KF141" s="18"/>
      <c r="KG141" s="18"/>
      <c r="KH141" s="18"/>
      <c r="KI141" s="18"/>
      <c r="KJ141" s="18"/>
      <c r="KK141" s="18"/>
      <c r="KL141" s="18"/>
      <c r="KM141" s="18"/>
      <c r="KN141" s="18"/>
      <c r="KO141" s="18"/>
      <c r="KP141" s="18"/>
      <c r="KQ141" s="18"/>
      <c r="KR141" s="18"/>
      <c r="KS141" s="18"/>
      <c r="KT141" s="18"/>
      <c r="KU141" s="18"/>
      <c r="KV141" s="18"/>
      <c r="KW141" s="18"/>
      <c r="KX141" s="18"/>
      <c r="KY141" s="18"/>
      <c r="KZ141" s="18"/>
      <c r="LA141" s="18"/>
      <c r="LB141" s="18"/>
      <c r="LC141" s="18"/>
      <c r="LD141" s="18"/>
      <c r="LE141" s="18"/>
      <c r="LF141" s="18"/>
      <c r="LG141" s="18"/>
      <c r="LH141" s="18"/>
      <c r="LI141" s="18"/>
      <c r="LJ141" s="18"/>
      <c r="LK141" s="18"/>
      <c r="LL141" s="18"/>
      <c r="LM141" s="18"/>
      <c r="LN141" s="18"/>
      <c r="LO141" s="18"/>
      <c r="LP141" s="18"/>
      <c r="LQ141" s="18"/>
      <c r="LR141" s="18"/>
      <c r="LS141" s="18"/>
      <c r="LT141" s="18"/>
      <c r="LU141" s="18"/>
      <c r="LV141" s="18"/>
      <c r="LW141" s="18"/>
      <c r="LX141" s="18"/>
      <c r="LY141" s="18"/>
      <c r="LZ141" s="18"/>
      <c r="MA141" s="18"/>
      <c r="MB141" s="18"/>
      <c r="MC141" s="18"/>
      <c r="MD141" s="18"/>
      <c r="ME141" s="18"/>
      <c r="MF141" s="18"/>
      <c r="MG141" s="18"/>
      <c r="MH141" s="18"/>
      <c r="MI141" s="18"/>
      <c r="MJ141" s="18"/>
      <c r="MK141" s="18"/>
      <c r="ML141" s="18"/>
      <c r="MM141" s="18"/>
      <c r="MN141" s="18"/>
      <c r="MO141" s="18"/>
      <c r="MP141" s="18"/>
      <c r="MQ141" s="18"/>
      <c r="MR141" s="18"/>
      <c r="MS141" s="18"/>
      <c r="MT141" s="18"/>
      <c r="MU141" s="18"/>
      <c r="MV141" s="18"/>
      <c r="MW141" s="18"/>
      <c r="MX141" s="18"/>
      <c r="MY141" s="18"/>
      <c r="MZ141" s="18"/>
      <c r="NA141" s="18"/>
      <c r="NB141" s="18"/>
      <c r="NC141" s="18"/>
      <c r="ND141" s="18"/>
      <c r="NE141" s="18"/>
      <c r="NF141" s="18"/>
      <c r="NG141" s="18"/>
      <c r="NH141" s="18"/>
      <c r="NI141" s="18"/>
      <c r="NJ141" s="18"/>
      <c r="NK141" s="18"/>
      <c r="NL141" s="18"/>
      <c r="NM141" s="18"/>
      <c r="NN141" s="18"/>
      <c r="NO141" s="18"/>
      <c r="NP141" s="18"/>
      <c r="NQ141" s="18"/>
      <c r="NR141" s="18"/>
      <c r="NS141" s="18"/>
      <c r="NT141" s="18"/>
      <c r="NU141" s="18"/>
      <c r="NV141" s="18"/>
      <c r="NW141" s="18"/>
      <c r="NX141" s="18"/>
      <c r="NY141" s="18"/>
      <c r="NZ141" s="18"/>
      <c r="OA141" s="18"/>
      <c r="OB141" s="18"/>
      <c r="OC141" s="18"/>
      <c r="OD141" s="18"/>
      <c r="OE141" s="18"/>
      <c r="OF141" s="18"/>
      <c r="OG141" s="18"/>
      <c r="OH141" s="18"/>
      <c r="OI141" s="18"/>
      <c r="OJ141" s="18"/>
      <c r="OK141" s="18"/>
      <c r="OL141" s="18"/>
      <c r="OM141" s="18"/>
      <c r="ON141" s="18"/>
      <c r="OO141" s="18"/>
      <c r="OP141" s="18"/>
      <c r="OQ141" s="18"/>
      <c r="OR141" s="18"/>
      <c r="OS141" s="18"/>
      <c r="OT141" s="18"/>
      <c r="OU141" s="18"/>
      <c r="OV141" s="18"/>
      <c r="OW141" s="18"/>
      <c r="OX141" s="18"/>
      <c r="OY141" s="18"/>
      <c r="OZ141" s="18"/>
      <c r="PA141" s="18"/>
      <c r="PB141" s="18"/>
      <c r="PC141" s="18"/>
      <c r="PD141" s="18"/>
      <c r="PE141" s="18"/>
      <c r="PF141" s="18"/>
      <c r="PG141" s="18"/>
      <c r="PH141" s="18"/>
      <c r="PI141" s="18"/>
      <c r="PJ141" s="18"/>
      <c r="PK141" s="18"/>
      <c r="PL141" s="18"/>
      <c r="PM141" s="18"/>
      <c r="PN141" s="18"/>
      <c r="PO141" s="18"/>
      <c r="PP141" s="18"/>
      <c r="PQ141" s="18"/>
      <c r="PR141" s="18"/>
      <c r="PS141" s="18"/>
      <c r="PT141" s="18"/>
      <c r="PU141" s="18"/>
      <c r="PV141" s="18"/>
      <c r="PW141" s="18"/>
      <c r="PX141" s="18"/>
      <c r="PY141" s="18"/>
      <c r="PZ141" s="18"/>
      <c r="QA141" s="18"/>
      <c r="QB141" s="18"/>
      <c r="QC141" s="18"/>
      <c r="QD141" s="18"/>
      <c r="QE141" s="18"/>
      <c r="QF141" s="18"/>
      <c r="QG141" s="18"/>
      <c r="QH141" s="18"/>
      <c r="QI141" s="18"/>
      <c r="QJ141" s="18"/>
      <c r="QK141" s="18"/>
      <c r="QL141" s="18"/>
      <c r="QM141" s="18"/>
      <c r="QN141" s="18"/>
      <c r="QO141" s="18"/>
      <c r="QP141" s="18"/>
      <c r="QQ141" s="18"/>
      <c r="QR141" s="18"/>
      <c r="QS141" s="18"/>
      <c r="QT141" s="18"/>
      <c r="QU141" s="18"/>
      <c r="QV141" s="18"/>
      <c r="QW141" s="18"/>
      <c r="QX141" s="18"/>
      <c r="QY141" s="18"/>
      <c r="QZ141" s="18"/>
      <c r="RA141" s="18"/>
      <c r="RB141" s="18"/>
      <c r="RC141" s="18"/>
      <c r="RD141" s="18"/>
      <c r="RE141" s="18"/>
      <c r="RF141" s="18"/>
      <c r="RG141" s="18"/>
      <c r="RH141" s="18"/>
      <c r="RI141" s="18"/>
      <c r="RJ141" s="18"/>
      <c r="RK141" s="18"/>
      <c r="RL141" s="18"/>
      <c r="RM141" s="18"/>
      <c r="RN141" s="18"/>
      <c r="RO141" s="18"/>
      <c r="RP141" s="18"/>
      <c r="RQ141" s="18"/>
      <c r="RR141" s="18"/>
      <c r="RS141" s="18"/>
      <c r="RT141" s="18"/>
      <c r="RU141" s="18"/>
      <c r="RV141" s="18"/>
      <c r="RW141" s="18"/>
      <c r="RX141" s="18"/>
      <c r="RY141" s="18"/>
      <c r="RZ141" s="18"/>
      <c r="SA141" s="18"/>
      <c r="SB141" s="18"/>
      <c r="SC141" s="18"/>
      <c r="SD141" s="18"/>
      <c r="SE141" s="18"/>
      <c r="SF141" s="18"/>
      <c r="SG141" s="18"/>
      <c r="SH141" s="18"/>
      <c r="SI141" s="18"/>
      <c r="SJ141" s="18"/>
      <c r="SK141" s="18"/>
      <c r="SL141" s="18"/>
      <c r="SM141" s="18"/>
      <c r="SN141" s="18"/>
      <c r="SO141" s="18"/>
      <c r="SP141" s="18"/>
      <c r="SQ141" s="18"/>
      <c r="SR141" s="18"/>
      <c r="SS141" s="18"/>
      <c r="ST141" s="18"/>
      <c r="SU141" s="18"/>
      <c r="SV141" s="18"/>
      <c r="SW141" s="18"/>
      <c r="SX141" s="18"/>
      <c r="SY141" s="18"/>
      <c r="SZ141" s="18"/>
      <c r="TA141" s="18"/>
      <c r="TB141" s="18"/>
      <c r="TC141" s="18"/>
      <c r="TD141" s="18"/>
      <c r="TE141" s="18"/>
      <c r="TF141" s="18"/>
      <c r="TG141" s="18"/>
      <c r="TH141" s="18"/>
      <c r="TI141" s="18"/>
      <c r="TJ141" s="18"/>
      <c r="TK141" s="18"/>
      <c r="TL141" s="18"/>
      <c r="TM141" s="18"/>
      <c r="TN141" s="18"/>
      <c r="TO141" s="18"/>
      <c r="TP141" s="18"/>
      <c r="TQ141" s="18"/>
      <c r="TR141" s="18"/>
      <c r="TS141" s="18"/>
      <c r="TT141" s="18"/>
      <c r="TU141" s="18"/>
      <c r="TV141" s="18"/>
      <c r="TW141" s="18"/>
      <c r="TX141" s="18"/>
      <c r="TY141" s="18"/>
      <c r="TZ141" s="18"/>
      <c r="UA141" s="18"/>
      <c r="UB141" s="18"/>
      <c r="UC141" s="18"/>
      <c r="UD141" s="18"/>
      <c r="UE141" s="18"/>
      <c r="UF141" s="18"/>
      <c r="UG141" s="18"/>
      <c r="UH141" s="18"/>
      <c r="UI141" s="18"/>
      <c r="UJ141" s="18"/>
      <c r="UK141" s="18"/>
      <c r="UL141" s="18"/>
      <c r="UM141" s="18"/>
      <c r="UN141" s="18"/>
      <c r="UO141" s="18"/>
      <c r="UP141" s="18"/>
      <c r="UQ141" s="18"/>
      <c r="UR141" s="18"/>
      <c r="US141" s="18"/>
      <c r="UT141" s="18"/>
      <c r="UU141" s="18"/>
      <c r="UV141" s="18"/>
      <c r="UW141" s="18"/>
      <c r="UX141" s="18"/>
      <c r="UY141" s="18"/>
      <c r="UZ141" s="18"/>
      <c r="VA141" s="18"/>
      <c r="VB141" s="18"/>
      <c r="VC141" s="18"/>
      <c r="VD141" s="18"/>
      <c r="VE141" s="18"/>
      <c r="VF141" s="18"/>
      <c r="VG141" s="18"/>
      <c r="VH141" s="18"/>
      <c r="VI141" s="18"/>
      <c r="VJ141" s="18"/>
      <c r="VK141" s="18"/>
      <c r="VL141" s="18"/>
      <c r="VM141" s="18"/>
      <c r="VN141" s="18"/>
      <c r="VO141" s="18"/>
      <c r="VP141" s="18"/>
      <c r="VQ141" s="18"/>
      <c r="VR141" s="18"/>
      <c r="VS141" s="18"/>
      <c r="VT141" s="18"/>
      <c r="VU141" s="18"/>
      <c r="VV141" s="18"/>
      <c r="VW141" s="18"/>
      <c r="VX141" s="18"/>
      <c r="VY141" s="18"/>
      <c r="VZ141" s="18"/>
      <c r="WA141" s="18"/>
      <c r="WB141" s="18"/>
      <c r="WC141" s="18"/>
      <c r="WD141" s="18"/>
      <c r="WE141" s="18"/>
      <c r="WF141" s="18"/>
      <c r="WG141" s="18"/>
      <c r="WH141" s="18"/>
      <c r="WI141" s="18"/>
      <c r="WJ141" s="18"/>
      <c r="WK141" s="18"/>
      <c r="WL141" s="18"/>
      <c r="WM141" s="18"/>
      <c r="WN141" s="18"/>
      <c r="WO141" s="18"/>
      <c r="WP141" s="18"/>
      <c r="WQ141" s="18"/>
      <c r="WR141" s="18"/>
      <c r="WS141" s="18"/>
      <c r="WT141" s="18"/>
      <c r="WU141" s="18"/>
      <c r="WV141" s="18"/>
      <c r="WW141" s="18"/>
      <c r="WX141" s="18"/>
      <c r="WY141" s="18"/>
      <c r="WZ141" s="18"/>
      <c r="XA141" s="18"/>
      <c r="XB141" s="18"/>
      <c r="XC141" s="18"/>
      <c r="XD141" s="18"/>
      <c r="XE141" s="18"/>
      <c r="XF141" s="18"/>
      <c r="XG141" s="18"/>
      <c r="XH141" s="18"/>
      <c r="XI141" s="18"/>
      <c r="XJ141" s="18"/>
      <c r="XK141" s="18"/>
      <c r="XL141" s="18"/>
      <c r="XM141" s="18"/>
      <c r="XN141" s="18"/>
      <c r="XO141" s="18"/>
      <c r="XP141" s="18"/>
      <c r="XQ141" s="18"/>
      <c r="XR141" s="18"/>
      <c r="XS141" s="18"/>
      <c r="XT141" s="18"/>
      <c r="XU141" s="18"/>
      <c r="XV141" s="18"/>
      <c r="XW141" s="18"/>
      <c r="XX141" s="18"/>
      <c r="XY141" s="18"/>
      <c r="XZ141" s="18"/>
      <c r="YA141" s="18"/>
      <c r="YB141" s="18"/>
      <c r="YC141" s="18"/>
      <c r="YD141" s="18"/>
      <c r="YE141" s="18"/>
      <c r="YF141" s="18"/>
      <c r="YG141" s="18"/>
      <c r="YH141" s="18"/>
      <c r="YI141" s="18"/>
      <c r="YJ141" s="18"/>
      <c r="YK141" s="18"/>
      <c r="YL141" s="18"/>
      <c r="YM141" s="18"/>
      <c r="YN141" s="18"/>
      <c r="YO141" s="18"/>
      <c r="YP141" s="18"/>
      <c r="YQ141" s="18"/>
      <c r="YR141" s="18"/>
      <c r="YS141" s="18"/>
      <c r="YT141" s="18"/>
      <c r="YU141" s="18"/>
      <c r="YV141" s="18"/>
      <c r="YW141" s="18"/>
      <c r="YX141" s="18"/>
      <c r="YY141" s="18"/>
      <c r="YZ141" s="18"/>
      <c r="ZA141" s="18"/>
      <c r="ZB141" s="18"/>
      <c r="ZC141" s="18"/>
      <c r="ZD141" s="18"/>
      <c r="ZE141" s="18"/>
      <c r="ZF141" s="18"/>
      <c r="ZG141" s="18"/>
      <c r="ZH141" s="18"/>
      <c r="ZI141" s="18"/>
      <c r="ZJ141" s="18"/>
      <c r="ZK141" s="18"/>
      <c r="ZL141" s="18"/>
      <c r="ZM141" s="18"/>
      <c r="ZN141" s="18"/>
      <c r="ZO141" s="18"/>
      <c r="ZP141" s="18"/>
      <c r="ZQ141" s="18"/>
      <c r="ZR141" s="18"/>
      <c r="ZS141" s="18"/>
      <c r="ZT141" s="18"/>
      <c r="ZU141" s="18"/>
      <c r="ZV141" s="18"/>
      <c r="ZW141" s="18"/>
      <c r="ZX141" s="18"/>
      <c r="ZY141" s="18"/>
      <c r="ZZ141" s="18"/>
      <c r="AAA141" s="18"/>
      <c r="AAB141" s="18"/>
      <c r="AAC141" s="18"/>
      <c r="AAD141" s="18"/>
      <c r="AAE141" s="18"/>
      <c r="AAF141" s="18"/>
      <c r="AAG141" s="18"/>
      <c r="AAH141" s="18"/>
      <c r="AAI141" s="18"/>
      <c r="AAJ141" s="18"/>
      <c r="AAK141" s="18"/>
      <c r="AAL141" s="18"/>
      <c r="AAM141" s="18"/>
      <c r="AAN141" s="18"/>
      <c r="AAO141" s="18"/>
      <c r="AAP141" s="18"/>
      <c r="AAQ141" s="18"/>
      <c r="AAR141" s="18"/>
      <c r="AAS141" s="18"/>
      <c r="AAT141" s="18"/>
      <c r="AAU141" s="18"/>
      <c r="AAV141" s="18"/>
      <c r="AAW141" s="18"/>
      <c r="AAX141" s="18"/>
      <c r="AAY141" s="18"/>
      <c r="AAZ141" s="18"/>
      <c r="ABA141" s="18"/>
      <c r="ABB141" s="18"/>
      <c r="ABC141" s="18"/>
      <c r="ABD141" s="18"/>
      <c r="ABE141" s="18"/>
      <c r="ABF141" s="18"/>
      <c r="ABG141" s="18"/>
      <c r="ABH141" s="18"/>
      <c r="ABI141" s="18"/>
      <c r="ABJ141" s="18"/>
      <c r="ABK141" s="18"/>
      <c r="ABL141" s="18"/>
      <c r="ABM141" s="18"/>
      <c r="ABN141" s="18"/>
      <c r="ABO141" s="18"/>
      <c r="ABP141" s="18"/>
      <c r="ABQ141" s="18"/>
      <c r="ABR141" s="18"/>
      <c r="ABS141" s="18"/>
      <c r="ABT141" s="18"/>
      <c r="ABU141" s="18"/>
      <c r="ABV141" s="18"/>
      <c r="ABW141" s="18"/>
      <c r="ABX141" s="18"/>
      <c r="ABY141" s="18"/>
      <c r="ABZ141" s="18"/>
      <c r="ACA141" s="18"/>
      <c r="ACB141" s="18"/>
      <c r="ACC141" s="18"/>
      <c r="ACD141" s="18"/>
      <c r="ACE141" s="18"/>
      <c r="ACF141" s="18"/>
      <c r="ACG141" s="18"/>
      <c r="ACH141" s="18"/>
      <c r="ACI141" s="18"/>
      <c r="ACJ141" s="18"/>
      <c r="ACK141" s="18"/>
      <c r="ACL141" s="18"/>
      <c r="ACM141" s="18"/>
      <c r="ACN141" s="18"/>
      <c r="ACO141" s="18"/>
      <c r="ACP141" s="18"/>
      <c r="ACQ141" s="18"/>
      <c r="ACR141" s="18"/>
      <c r="ACS141" s="18"/>
      <c r="ACT141" s="18"/>
      <c r="ACU141" s="18"/>
      <c r="ACV141" s="18"/>
      <c r="ACW141" s="18"/>
      <c r="ACX141" s="18"/>
      <c r="ACY141" s="18"/>
      <c r="ACZ141" s="18"/>
      <c r="ADA141" s="18"/>
      <c r="ADB141" s="18"/>
      <c r="ADC141" s="18"/>
      <c r="ADD141" s="18"/>
      <c r="ADE141" s="18"/>
      <c r="ADF141" s="18"/>
      <c r="ADG141" s="18"/>
      <c r="ADH141" s="18"/>
      <c r="ADI141" s="18"/>
      <c r="ADJ141" s="18"/>
      <c r="ADK141" s="18"/>
      <c r="ADL141" s="18"/>
      <c r="ADM141" s="18"/>
      <c r="ADN141" s="18"/>
      <c r="ADO141" s="18"/>
      <c r="ADP141" s="18"/>
      <c r="ADQ141" s="18"/>
      <c r="ADR141" s="18"/>
      <c r="ADS141" s="18"/>
      <c r="ADT141" s="18"/>
      <c r="ADU141" s="18"/>
      <c r="ADV141" s="18"/>
      <c r="ADW141" s="18"/>
      <c r="ADX141" s="18"/>
      <c r="ADY141" s="18"/>
      <c r="ADZ141" s="18"/>
      <c r="AEA141" s="18"/>
      <c r="AEB141" s="18"/>
      <c r="AEC141" s="18"/>
      <c r="AED141" s="18"/>
      <c r="AEE141" s="18"/>
      <c r="AEF141" s="18"/>
      <c r="AEG141" s="18"/>
      <c r="AEH141" s="18"/>
      <c r="AEI141" s="18"/>
      <c r="AEJ141" s="18"/>
      <c r="AEK141" s="18"/>
      <c r="AEL141" s="18"/>
      <c r="AEM141" s="18"/>
      <c r="AEN141" s="18"/>
      <c r="AEO141" s="18"/>
      <c r="AEP141" s="18"/>
      <c r="AEQ141" s="18"/>
      <c r="AER141" s="18"/>
      <c r="AES141" s="18"/>
      <c r="AET141" s="18"/>
      <c r="AEU141" s="18"/>
      <c r="AEV141" s="18"/>
      <c r="AEW141" s="18"/>
      <c r="AEX141" s="18"/>
      <c r="AEY141" s="18"/>
      <c r="AEZ141" s="18"/>
      <c r="AFA141" s="18"/>
      <c r="AFB141" s="18"/>
      <c r="AFC141" s="18"/>
      <c r="AFD141" s="18"/>
      <c r="AFE141" s="18"/>
      <c r="AFF141" s="18"/>
      <c r="AFG141" s="18"/>
      <c r="AFH141" s="18"/>
      <c r="AFI141" s="18"/>
      <c r="AFJ141" s="18"/>
      <c r="AFK141" s="18"/>
      <c r="AFL141" s="18"/>
      <c r="AFM141" s="18"/>
      <c r="AFN141" s="18"/>
      <c r="AFO141" s="18"/>
      <c r="AFP141" s="18"/>
      <c r="AFQ141" s="18"/>
      <c r="AFR141" s="18"/>
      <c r="AFS141" s="18"/>
      <c r="AFT141" s="18"/>
      <c r="AFU141" s="18"/>
      <c r="AFV141" s="18"/>
      <c r="AFW141" s="18"/>
      <c r="AFX141" s="18"/>
      <c r="AFY141" s="18"/>
      <c r="AFZ141" s="18"/>
      <c r="AGA141" s="18"/>
      <c r="AGB141" s="18"/>
      <c r="AGC141" s="18"/>
      <c r="AGD141" s="18"/>
      <c r="AGE141" s="18"/>
      <c r="AGF141" s="18"/>
      <c r="AGG141" s="18"/>
      <c r="AGH141" s="18"/>
      <c r="AGI141" s="18"/>
      <c r="AGJ141" s="18"/>
      <c r="AGK141" s="18"/>
      <c r="AGL141" s="18"/>
      <c r="AGM141" s="18"/>
      <c r="AGN141" s="18"/>
      <c r="AGO141" s="18"/>
      <c r="AGP141" s="18"/>
      <c r="AGQ141" s="18"/>
      <c r="AGR141" s="18"/>
      <c r="AGS141" s="18"/>
      <c r="AGT141" s="18"/>
      <c r="AGU141" s="18"/>
      <c r="AGV141" s="18"/>
      <c r="AGW141" s="18"/>
      <c r="AGX141" s="18"/>
      <c r="AGY141" s="18"/>
      <c r="AGZ141" s="18"/>
      <c r="AHA141" s="18"/>
      <c r="AHB141" s="18"/>
      <c r="AHC141" s="18"/>
      <c r="AHD141" s="18"/>
      <c r="AHE141" s="18"/>
      <c r="AHF141" s="18"/>
      <c r="AHG141" s="18"/>
      <c r="AHH141" s="18"/>
      <c r="AHI141" s="18"/>
      <c r="AHJ141" s="18"/>
      <c r="AHK141" s="18"/>
      <c r="AHL141" s="18"/>
      <c r="AHM141" s="18"/>
      <c r="AHN141" s="18"/>
      <c r="AHO141" s="18"/>
      <c r="AHP141" s="18"/>
      <c r="AHQ141" s="18"/>
      <c r="AHR141" s="18"/>
      <c r="AHS141" s="18"/>
      <c r="AHT141" s="18"/>
      <c r="AHU141" s="18"/>
      <c r="AHV141" s="18"/>
      <c r="AHW141" s="18"/>
      <c r="AHX141" s="18"/>
      <c r="AHY141" s="18"/>
      <c r="AHZ141" s="18"/>
      <c r="AIA141" s="18"/>
      <c r="AIB141" s="18"/>
      <c r="AIC141" s="18"/>
      <c r="AID141" s="18"/>
      <c r="AIE141" s="18"/>
      <c r="AIF141" s="18"/>
      <c r="AIG141" s="18"/>
      <c r="AIH141" s="18"/>
      <c r="AII141" s="18"/>
      <c r="AIJ141" s="18"/>
      <c r="AIK141" s="18"/>
      <c r="AIL141" s="18"/>
      <c r="AIM141" s="18"/>
      <c r="AIN141" s="18"/>
      <c r="AIO141" s="18"/>
      <c r="AIP141" s="18"/>
      <c r="AIQ141" s="18"/>
      <c r="AIR141" s="18"/>
      <c r="AIS141" s="18"/>
      <c r="AIT141" s="18"/>
      <c r="AIU141" s="18"/>
      <c r="AIV141" s="18"/>
      <c r="AIW141" s="18"/>
      <c r="AIX141" s="18"/>
      <c r="AIY141" s="18"/>
      <c r="AIZ141" s="18"/>
      <c r="AJA141" s="18"/>
      <c r="AJB141" s="18"/>
      <c r="AJC141" s="18"/>
      <c r="AJD141" s="18"/>
      <c r="AJE141" s="18"/>
      <c r="AJF141" s="18"/>
      <c r="AJG141" s="18"/>
      <c r="AJH141" s="18"/>
      <c r="AJI141" s="18"/>
      <c r="AJJ141" s="18"/>
      <c r="AJK141" s="18"/>
      <c r="AJL141" s="18"/>
      <c r="AJM141" s="18"/>
      <c r="AJN141" s="18"/>
      <c r="AJO141" s="18"/>
      <c r="AJP141" s="18"/>
      <c r="AJQ141" s="18"/>
      <c r="AJR141" s="18"/>
      <c r="AJS141" s="18"/>
      <c r="AJT141" s="18"/>
      <c r="AJU141" s="18"/>
      <c r="AJV141" s="18"/>
      <c r="AJW141" s="18"/>
      <c r="AJX141" s="18"/>
      <c r="AJY141" s="18"/>
      <c r="AJZ141" s="18"/>
      <c r="AKA141" s="18"/>
      <c r="AKB141" s="18"/>
      <c r="AKC141" s="18"/>
      <c r="AKD141" s="18"/>
      <c r="AKE141" s="18"/>
      <c r="AKF141" s="18"/>
      <c r="AKG141" s="18"/>
      <c r="AKH141" s="18"/>
      <c r="AKI141" s="18"/>
      <c r="AKJ141" s="18"/>
      <c r="AKK141" s="18"/>
      <c r="AKL141" s="18"/>
      <c r="AKM141" s="18"/>
      <c r="AKN141" s="18"/>
      <c r="AKO141" s="18"/>
      <c r="AKP141" s="18"/>
      <c r="AKQ141" s="18"/>
      <c r="AKR141" s="18"/>
      <c r="AKS141" s="18"/>
      <c r="AKT141" s="18"/>
      <c r="AKU141" s="18"/>
      <c r="AKV141" s="18"/>
      <c r="AKW141" s="18"/>
      <c r="AKX141" s="18"/>
      <c r="AKY141" s="18"/>
      <c r="AKZ141" s="18"/>
      <c r="ALA141" s="18"/>
      <c r="ALB141" s="18"/>
      <c r="ALC141" s="18"/>
      <c r="ALD141" s="18"/>
      <c r="ALE141" s="18"/>
      <c r="ALF141" s="18"/>
      <c r="ALG141" s="18"/>
      <c r="ALH141" s="18"/>
      <c r="ALI141" s="18"/>
      <c r="ALJ141" s="18"/>
      <c r="ALK141" s="18"/>
      <c r="ALL141" s="18"/>
      <c r="ALM141" s="18"/>
      <c r="ALN141" s="18"/>
      <c r="ALO141" s="18"/>
      <c r="ALP141" s="18"/>
      <c r="ALQ141" s="18"/>
      <c r="ALR141" s="18"/>
      <c r="ALS141" s="18"/>
      <c r="ALT141" s="18"/>
      <c r="ALU141" s="18"/>
      <c r="ALV141" s="18"/>
      <c r="ALW141" s="18"/>
      <c r="ALX141" s="18"/>
      <c r="ALY141" s="18"/>
      <c r="ALZ141" s="18"/>
      <c r="AMA141" s="18"/>
      <c r="AMB141" s="18"/>
      <c r="AMC141" s="18"/>
      <c r="AMD141" s="18"/>
      <c r="AME141" s="18"/>
      <c r="AMF141" s="18"/>
      <c r="AMG141" s="18"/>
      <c r="AMH141" s="18"/>
    </row>
    <row r="142" spans="1:1022" s="23" customFormat="1" x14ac:dyDescent="0.3">
      <c r="A142" s="33">
        <v>238</v>
      </c>
      <c r="B142" s="19"/>
      <c r="C142" s="19"/>
      <c r="D142" s="34"/>
      <c r="E142" s="34"/>
      <c r="F142" s="19"/>
      <c r="G142" s="19"/>
      <c r="H142" s="18"/>
      <c r="I142" s="31"/>
      <c r="J142" s="31"/>
      <c r="K142" s="31"/>
      <c r="L142" s="31"/>
      <c r="M142" s="32"/>
      <c r="N142" s="32"/>
      <c r="O142" s="18"/>
      <c r="P142" s="36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  <c r="BB142" s="18"/>
      <c r="BC142" s="18"/>
      <c r="BD142" s="18"/>
      <c r="BE142" s="18"/>
      <c r="BF142" s="18"/>
      <c r="BG142" s="18"/>
      <c r="BH142" s="18"/>
      <c r="BI142" s="18"/>
      <c r="BJ142" s="18"/>
      <c r="BK142" s="18"/>
      <c r="BL142" s="18"/>
      <c r="BM142" s="18"/>
      <c r="BN142" s="18"/>
      <c r="BO142" s="18"/>
      <c r="BP142" s="18"/>
      <c r="BQ142" s="18"/>
      <c r="BR142" s="18"/>
      <c r="BS142" s="18"/>
      <c r="BT142" s="18"/>
      <c r="BU142" s="18"/>
      <c r="BV142" s="18"/>
      <c r="BW142" s="18"/>
      <c r="BX142" s="18"/>
      <c r="BY142" s="18"/>
      <c r="BZ142" s="18"/>
      <c r="CA142" s="18"/>
      <c r="CB142" s="18"/>
      <c r="CC142" s="18"/>
      <c r="CD142" s="18"/>
      <c r="CE142" s="18"/>
      <c r="CF142" s="18"/>
      <c r="CG142" s="18"/>
      <c r="CH142" s="18"/>
      <c r="CI142" s="18"/>
      <c r="CJ142" s="18"/>
      <c r="CK142" s="18"/>
      <c r="CL142" s="18"/>
      <c r="CM142" s="18"/>
      <c r="CN142" s="18"/>
      <c r="CO142" s="18"/>
      <c r="CP142" s="18"/>
      <c r="CQ142" s="18"/>
      <c r="CR142" s="18"/>
      <c r="CS142" s="18"/>
      <c r="CT142" s="18"/>
      <c r="CU142" s="18"/>
      <c r="CV142" s="18"/>
      <c r="CW142" s="18"/>
      <c r="CX142" s="18"/>
      <c r="CY142" s="18"/>
      <c r="CZ142" s="18"/>
      <c r="DA142" s="18"/>
      <c r="DB142" s="18"/>
      <c r="DC142" s="18"/>
      <c r="DD142" s="18"/>
      <c r="DE142" s="18"/>
      <c r="DF142" s="18"/>
      <c r="DG142" s="18"/>
      <c r="DH142" s="18"/>
      <c r="DI142" s="18"/>
      <c r="DJ142" s="18"/>
      <c r="DK142" s="18"/>
      <c r="DL142" s="18"/>
      <c r="DM142" s="18"/>
      <c r="DN142" s="18"/>
      <c r="DO142" s="18"/>
      <c r="DP142" s="18"/>
      <c r="DQ142" s="18"/>
      <c r="DR142" s="18"/>
      <c r="DS142" s="18"/>
      <c r="DT142" s="18"/>
      <c r="DU142" s="18"/>
      <c r="DV142" s="18"/>
      <c r="DW142" s="18"/>
      <c r="DX142" s="18"/>
      <c r="DY142" s="18"/>
      <c r="DZ142" s="18"/>
      <c r="EA142" s="18"/>
      <c r="EB142" s="18"/>
      <c r="EC142" s="18"/>
      <c r="ED142" s="18"/>
      <c r="EE142" s="18"/>
      <c r="EF142" s="18"/>
      <c r="EG142" s="18"/>
      <c r="EH142" s="18"/>
      <c r="EI142" s="18"/>
      <c r="EJ142" s="18"/>
      <c r="EK142" s="18"/>
      <c r="EL142" s="18"/>
      <c r="EM142" s="18"/>
      <c r="EN142" s="18"/>
      <c r="EO142" s="18"/>
      <c r="EP142" s="18"/>
      <c r="EQ142" s="18"/>
      <c r="ER142" s="18"/>
      <c r="ES142" s="18"/>
      <c r="ET142" s="18"/>
      <c r="EU142" s="18"/>
      <c r="EV142" s="18"/>
      <c r="EW142" s="18"/>
      <c r="EX142" s="18"/>
      <c r="EY142" s="18"/>
      <c r="EZ142" s="18"/>
      <c r="FA142" s="18"/>
      <c r="FB142" s="18"/>
      <c r="FC142" s="18"/>
      <c r="FD142" s="18"/>
      <c r="FE142" s="18"/>
      <c r="FF142" s="18"/>
      <c r="FG142" s="18"/>
      <c r="FH142" s="18"/>
      <c r="FI142" s="18"/>
      <c r="FJ142" s="18"/>
      <c r="FK142" s="18"/>
      <c r="FL142" s="18"/>
      <c r="FM142" s="18"/>
      <c r="FN142" s="18"/>
      <c r="FO142" s="18"/>
      <c r="FP142" s="18"/>
      <c r="FQ142" s="18"/>
      <c r="FR142" s="18"/>
      <c r="FS142" s="18"/>
      <c r="FT142" s="18"/>
      <c r="FU142" s="18"/>
      <c r="FV142" s="18"/>
      <c r="FW142" s="18"/>
      <c r="FX142" s="18"/>
      <c r="FY142" s="18"/>
      <c r="FZ142" s="18"/>
      <c r="GA142" s="18"/>
      <c r="GB142" s="18"/>
      <c r="GC142" s="18"/>
      <c r="GD142" s="18"/>
      <c r="GE142" s="18"/>
      <c r="GF142" s="18"/>
      <c r="GG142" s="18"/>
      <c r="GH142" s="18"/>
      <c r="GI142" s="18"/>
      <c r="GJ142" s="18"/>
      <c r="GK142" s="18"/>
      <c r="GL142" s="18"/>
      <c r="GM142" s="18"/>
      <c r="GN142" s="18"/>
      <c r="GO142" s="18"/>
      <c r="GP142" s="18"/>
      <c r="GQ142" s="18"/>
      <c r="GR142" s="18"/>
      <c r="GS142" s="18"/>
      <c r="GT142" s="18"/>
      <c r="GU142" s="18"/>
      <c r="GV142" s="18"/>
      <c r="GW142" s="18"/>
      <c r="GX142" s="18"/>
      <c r="GY142" s="18"/>
      <c r="GZ142" s="18"/>
      <c r="HA142" s="18"/>
      <c r="HB142" s="18"/>
      <c r="HC142" s="18"/>
      <c r="HD142" s="18"/>
      <c r="HE142" s="18"/>
      <c r="HF142" s="18"/>
      <c r="HG142" s="18"/>
      <c r="HH142" s="18"/>
      <c r="HI142" s="18"/>
      <c r="HJ142" s="18"/>
      <c r="HK142" s="18"/>
      <c r="HL142" s="18"/>
      <c r="HM142" s="18"/>
      <c r="HN142" s="18"/>
      <c r="HO142" s="18"/>
      <c r="HP142" s="18"/>
      <c r="HQ142" s="18"/>
      <c r="HR142" s="18"/>
      <c r="HS142" s="18"/>
      <c r="HT142" s="18"/>
      <c r="HU142" s="18"/>
      <c r="HV142" s="18"/>
      <c r="HW142" s="18"/>
      <c r="HX142" s="18"/>
      <c r="HY142" s="18"/>
      <c r="HZ142" s="18"/>
      <c r="IA142" s="18"/>
      <c r="IB142" s="18"/>
      <c r="IC142" s="18"/>
      <c r="ID142" s="18"/>
      <c r="IE142" s="18"/>
      <c r="IF142" s="18"/>
      <c r="IG142" s="18"/>
      <c r="IH142" s="18"/>
      <c r="II142" s="18"/>
      <c r="IJ142" s="18"/>
      <c r="IK142" s="18"/>
      <c r="IL142" s="18"/>
      <c r="IM142" s="18"/>
      <c r="IN142" s="18"/>
      <c r="IO142" s="18"/>
      <c r="IP142" s="18"/>
      <c r="IQ142" s="18"/>
      <c r="IR142" s="18"/>
      <c r="IS142" s="18"/>
      <c r="IT142" s="18"/>
      <c r="IU142" s="18"/>
      <c r="IV142" s="18"/>
      <c r="IW142" s="18"/>
      <c r="IX142" s="18"/>
      <c r="IY142" s="18"/>
      <c r="IZ142" s="18"/>
      <c r="JA142" s="18"/>
      <c r="JB142" s="18"/>
      <c r="JC142" s="18"/>
      <c r="JD142" s="18"/>
      <c r="JE142" s="18"/>
      <c r="JF142" s="18"/>
      <c r="JG142" s="18"/>
      <c r="JH142" s="18"/>
      <c r="JI142" s="18"/>
      <c r="JJ142" s="18"/>
      <c r="JK142" s="18"/>
      <c r="JL142" s="18"/>
      <c r="JM142" s="18"/>
      <c r="JN142" s="18"/>
      <c r="JO142" s="18"/>
      <c r="JP142" s="18"/>
      <c r="JQ142" s="18"/>
      <c r="JR142" s="18"/>
      <c r="JS142" s="18"/>
      <c r="JT142" s="18"/>
      <c r="JU142" s="18"/>
      <c r="JV142" s="18"/>
      <c r="JW142" s="18"/>
      <c r="JX142" s="18"/>
      <c r="JY142" s="18"/>
      <c r="JZ142" s="18"/>
      <c r="KA142" s="18"/>
      <c r="KB142" s="18"/>
      <c r="KC142" s="18"/>
      <c r="KD142" s="18"/>
      <c r="KE142" s="18"/>
      <c r="KF142" s="18"/>
      <c r="KG142" s="18"/>
      <c r="KH142" s="18"/>
      <c r="KI142" s="18"/>
      <c r="KJ142" s="18"/>
      <c r="KK142" s="18"/>
      <c r="KL142" s="18"/>
      <c r="KM142" s="18"/>
      <c r="KN142" s="18"/>
      <c r="KO142" s="18"/>
      <c r="KP142" s="18"/>
      <c r="KQ142" s="18"/>
      <c r="KR142" s="18"/>
      <c r="KS142" s="18"/>
      <c r="KT142" s="18"/>
      <c r="KU142" s="18"/>
      <c r="KV142" s="18"/>
      <c r="KW142" s="18"/>
      <c r="KX142" s="18"/>
      <c r="KY142" s="18"/>
      <c r="KZ142" s="18"/>
      <c r="LA142" s="18"/>
      <c r="LB142" s="18"/>
      <c r="LC142" s="18"/>
      <c r="LD142" s="18"/>
      <c r="LE142" s="18"/>
      <c r="LF142" s="18"/>
      <c r="LG142" s="18"/>
      <c r="LH142" s="18"/>
      <c r="LI142" s="18"/>
      <c r="LJ142" s="18"/>
      <c r="LK142" s="18"/>
      <c r="LL142" s="18"/>
      <c r="LM142" s="18"/>
      <c r="LN142" s="18"/>
      <c r="LO142" s="18"/>
      <c r="LP142" s="18"/>
      <c r="LQ142" s="18"/>
      <c r="LR142" s="18"/>
      <c r="LS142" s="18"/>
      <c r="LT142" s="18"/>
      <c r="LU142" s="18"/>
      <c r="LV142" s="18"/>
      <c r="LW142" s="18"/>
      <c r="LX142" s="18"/>
      <c r="LY142" s="18"/>
      <c r="LZ142" s="18"/>
      <c r="MA142" s="18"/>
      <c r="MB142" s="18"/>
      <c r="MC142" s="18"/>
      <c r="MD142" s="18"/>
      <c r="ME142" s="18"/>
      <c r="MF142" s="18"/>
      <c r="MG142" s="18"/>
      <c r="MH142" s="18"/>
      <c r="MI142" s="18"/>
      <c r="MJ142" s="18"/>
      <c r="MK142" s="18"/>
      <c r="ML142" s="18"/>
      <c r="MM142" s="18"/>
      <c r="MN142" s="18"/>
      <c r="MO142" s="18"/>
      <c r="MP142" s="18"/>
      <c r="MQ142" s="18"/>
      <c r="MR142" s="18"/>
      <c r="MS142" s="18"/>
      <c r="MT142" s="18"/>
      <c r="MU142" s="18"/>
      <c r="MV142" s="18"/>
      <c r="MW142" s="18"/>
      <c r="MX142" s="18"/>
      <c r="MY142" s="18"/>
      <c r="MZ142" s="18"/>
      <c r="NA142" s="18"/>
      <c r="NB142" s="18"/>
      <c r="NC142" s="18"/>
      <c r="ND142" s="18"/>
      <c r="NE142" s="18"/>
      <c r="NF142" s="18"/>
      <c r="NG142" s="18"/>
      <c r="NH142" s="18"/>
      <c r="NI142" s="18"/>
      <c r="NJ142" s="18"/>
      <c r="NK142" s="18"/>
      <c r="NL142" s="18"/>
      <c r="NM142" s="18"/>
      <c r="NN142" s="18"/>
      <c r="NO142" s="18"/>
      <c r="NP142" s="18"/>
      <c r="NQ142" s="18"/>
      <c r="NR142" s="18"/>
      <c r="NS142" s="18"/>
      <c r="NT142" s="18"/>
      <c r="NU142" s="18"/>
      <c r="NV142" s="18"/>
      <c r="NW142" s="18"/>
      <c r="NX142" s="18"/>
      <c r="NY142" s="18"/>
      <c r="NZ142" s="18"/>
      <c r="OA142" s="18"/>
      <c r="OB142" s="18"/>
      <c r="OC142" s="18"/>
      <c r="OD142" s="18"/>
      <c r="OE142" s="18"/>
      <c r="OF142" s="18"/>
      <c r="OG142" s="18"/>
      <c r="OH142" s="18"/>
      <c r="OI142" s="18"/>
      <c r="OJ142" s="18"/>
      <c r="OK142" s="18"/>
      <c r="OL142" s="18"/>
      <c r="OM142" s="18"/>
      <c r="ON142" s="18"/>
      <c r="OO142" s="18"/>
      <c r="OP142" s="18"/>
      <c r="OQ142" s="18"/>
      <c r="OR142" s="18"/>
      <c r="OS142" s="18"/>
      <c r="OT142" s="18"/>
      <c r="OU142" s="18"/>
      <c r="OV142" s="18"/>
      <c r="OW142" s="18"/>
      <c r="OX142" s="18"/>
      <c r="OY142" s="18"/>
      <c r="OZ142" s="18"/>
      <c r="PA142" s="18"/>
      <c r="PB142" s="18"/>
      <c r="PC142" s="18"/>
      <c r="PD142" s="18"/>
      <c r="PE142" s="18"/>
      <c r="PF142" s="18"/>
      <c r="PG142" s="18"/>
      <c r="PH142" s="18"/>
      <c r="PI142" s="18"/>
      <c r="PJ142" s="18"/>
      <c r="PK142" s="18"/>
      <c r="PL142" s="18"/>
      <c r="PM142" s="18"/>
      <c r="PN142" s="18"/>
      <c r="PO142" s="18"/>
      <c r="PP142" s="18"/>
      <c r="PQ142" s="18"/>
      <c r="PR142" s="18"/>
      <c r="PS142" s="18"/>
      <c r="PT142" s="18"/>
      <c r="PU142" s="18"/>
      <c r="PV142" s="18"/>
      <c r="PW142" s="18"/>
      <c r="PX142" s="18"/>
      <c r="PY142" s="18"/>
      <c r="PZ142" s="18"/>
      <c r="QA142" s="18"/>
      <c r="QB142" s="18"/>
      <c r="QC142" s="18"/>
      <c r="QD142" s="18"/>
      <c r="QE142" s="18"/>
      <c r="QF142" s="18"/>
      <c r="QG142" s="18"/>
      <c r="QH142" s="18"/>
      <c r="QI142" s="18"/>
      <c r="QJ142" s="18"/>
      <c r="QK142" s="18"/>
      <c r="QL142" s="18"/>
      <c r="QM142" s="18"/>
      <c r="QN142" s="18"/>
      <c r="QO142" s="18"/>
      <c r="QP142" s="18"/>
      <c r="QQ142" s="18"/>
      <c r="QR142" s="18"/>
      <c r="QS142" s="18"/>
      <c r="QT142" s="18"/>
      <c r="QU142" s="18"/>
      <c r="QV142" s="18"/>
      <c r="QW142" s="18"/>
      <c r="QX142" s="18"/>
      <c r="QY142" s="18"/>
      <c r="QZ142" s="18"/>
      <c r="RA142" s="18"/>
      <c r="RB142" s="18"/>
      <c r="RC142" s="18"/>
      <c r="RD142" s="18"/>
      <c r="RE142" s="18"/>
      <c r="RF142" s="18"/>
      <c r="RG142" s="18"/>
      <c r="RH142" s="18"/>
      <c r="RI142" s="18"/>
      <c r="RJ142" s="18"/>
      <c r="RK142" s="18"/>
      <c r="RL142" s="18"/>
      <c r="RM142" s="18"/>
      <c r="RN142" s="18"/>
      <c r="RO142" s="18"/>
      <c r="RP142" s="18"/>
      <c r="RQ142" s="18"/>
      <c r="RR142" s="18"/>
      <c r="RS142" s="18"/>
      <c r="RT142" s="18"/>
      <c r="RU142" s="18"/>
      <c r="RV142" s="18"/>
      <c r="RW142" s="18"/>
      <c r="RX142" s="18"/>
      <c r="RY142" s="18"/>
      <c r="RZ142" s="18"/>
      <c r="SA142" s="18"/>
      <c r="SB142" s="18"/>
      <c r="SC142" s="18"/>
      <c r="SD142" s="18"/>
      <c r="SE142" s="18"/>
      <c r="SF142" s="18"/>
      <c r="SG142" s="18"/>
      <c r="SH142" s="18"/>
      <c r="SI142" s="18"/>
      <c r="SJ142" s="18"/>
      <c r="SK142" s="18"/>
      <c r="SL142" s="18"/>
      <c r="SM142" s="18"/>
      <c r="SN142" s="18"/>
      <c r="SO142" s="18"/>
      <c r="SP142" s="18"/>
      <c r="SQ142" s="18"/>
      <c r="SR142" s="18"/>
      <c r="SS142" s="18"/>
      <c r="ST142" s="18"/>
      <c r="SU142" s="18"/>
      <c r="SV142" s="18"/>
      <c r="SW142" s="18"/>
      <c r="SX142" s="18"/>
      <c r="SY142" s="18"/>
      <c r="SZ142" s="18"/>
      <c r="TA142" s="18"/>
      <c r="TB142" s="18"/>
      <c r="TC142" s="18"/>
      <c r="TD142" s="18"/>
      <c r="TE142" s="18"/>
      <c r="TF142" s="18"/>
      <c r="TG142" s="18"/>
      <c r="TH142" s="18"/>
      <c r="TI142" s="18"/>
      <c r="TJ142" s="18"/>
      <c r="TK142" s="18"/>
      <c r="TL142" s="18"/>
      <c r="TM142" s="18"/>
      <c r="TN142" s="18"/>
      <c r="TO142" s="18"/>
      <c r="TP142" s="18"/>
      <c r="TQ142" s="18"/>
      <c r="TR142" s="18"/>
      <c r="TS142" s="18"/>
      <c r="TT142" s="18"/>
      <c r="TU142" s="18"/>
      <c r="TV142" s="18"/>
      <c r="TW142" s="18"/>
      <c r="TX142" s="18"/>
      <c r="TY142" s="18"/>
      <c r="TZ142" s="18"/>
      <c r="UA142" s="18"/>
      <c r="UB142" s="18"/>
      <c r="UC142" s="18"/>
      <c r="UD142" s="18"/>
      <c r="UE142" s="18"/>
      <c r="UF142" s="18"/>
      <c r="UG142" s="18"/>
      <c r="UH142" s="18"/>
      <c r="UI142" s="18"/>
      <c r="UJ142" s="18"/>
      <c r="UK142" s="18"/>
      <c r="UL142" s="18"/>
      <c r="UM142" s="18"/>
      <c r="UN142" s="18"/>
      <c r="UO142" s="18"/>
      <c r="UP142" s="18"/>
      <c r="UQ142" s="18"/>
      <c r="UR142" s="18"/>
      <c r="US142" s="18"/>
      <c r="UT142" s="18"/>
      <c r="UU142" s="18"/>
      <c r="UV142" s="18"/>
      <c r="UW142" s="18"/>
      <c r="UX142" s="18"/>
      <c r="UY142" s="18"/>
      <c r="UZ142" s="18"/>
      <c r="VA142" s="18"/>
      <c r="VB142" s="18"/>
      <c r="VC142" s="18"/>
      <c r="VD142" s="18"/>
      <c r="VE142" s="18"/>
      <c r="VF142" s="18"/>
      <c r="VG142" s="18"/>
      <c r="VH142" s="18"/>
      <c r="VI142" s="18"/>
      <c r="VJ142" s="18"/>
      <c r="VK142" s="18"/>
      <c r="VL142" s="18"/>
      <c r="VM142" s="18"/>
      <c r="VN142" s="18"/>
      <c r="VO142" s="18"/>
      <c r="VP142" s="18"/>
      <c r="VQ142" s="18"/>
      <c r="VR142" s="18"/>
      <c r="VS142" s="18"/>
      <c r="VT142" s="18"/>
      <c r="VU142" s="18"/>
      <c r="VV142" s="18"/>
      <c r="VW142" s="18"/>
      <c r="VX142" s="18"/>
      <c r="VY142" s="18"/>
      <c r="VZ142" s="18"/>
      <c r="WA142" s="18"/>
      <c r="WB142" s="18"/>
      <c r="WC142" s="18"/>
      <c r="WD142" s="18"/>
      <c r="WE142" s="18"/>
      <c r="WF142" s="18"/>
      <c r="WG142" s="18"/>
      <c r="WH142" s="18"/>
      <c r="WI142" s="18"/>
      <c r="WJ142" s="18"/>
      <c r="WK142" s="18"/>
      <c r="WL142" s="18"/>
      <c r="WM142" s="18"/>
      <c r="WN142" s="18"/>
      <c r="WO142" s="18"/>
      <c r="WP142" s="18"/>
      <c r="WQ142" s="18"/>
      <c r="WR142" s="18"/>
      <c r="WS142" s="18"/>
      <c r="WT142" s="18"/>
      <c r="WU142" s="18"/>
      <c r="WV142" s="18"/>
      <c r="WW142" s="18"/>
      <c r="WX142" s="18"/>
      <c r="WY142" s="18"/>
      <c r="WZ142" s="18"/>
      <c r="XA142" s="18"/>
      <c r="XB142" s="18"/>
      <c r="XC142" s="18"/>
      <c r="XD142" s="18"/>
      <c r="XE142" s="18"/>
      <c r="XF142" s="18"/>
      <c r="XG142" s="18"/>
      <c r="XH142" s="18"/>
      <c r="XI142" s="18"/>
      <c r="XJ142" s="18"/>
      <c r="XK142" s="18"/>
      <c r="XL142" s="18"/>
      <c r="XM142" s="18"/>
      <c r="XN142" s="18"/>
      <c r="XO142" s="18"/>
      <c r="XP142" s="18"/>
      <c r="XQ142" s="18"/>
      <c r="XR142" s="18"/>
      <c r="XS142" s="18"/>
      <c r="XT142" s="18"/>
      <c r="XU142" s="18"/>
      <c r="XV142" s="18"/>
      <c r="XW142" s="18"/>
      <c r="XX142" s="18"/>
      <c r="XY142" s="18"/>
      <c r="XZ142" s="18"/>
      <c r="YA142" s="18"/>
      <c r="YB142" s="18"/>
      <c r="YC142" s="18"/>
      <c r="YD142" s="18"/>
      <c r="YE142" s="18"/>
      <c r="YF142" s="18"/>
      <c r="YG142" s="18"/>
      <c r="YH142" s="18"/>
      <c r="YI142" s="18"/>
      <c r="YJ142" s="18"/>
      <c r="YK142" s="18"/>
      <c r="YL142" s="18"/>
      <c r="YM142" s="18"/>
      <c r="YN142" s="18"/>
      <c r="YO142" s="18"/>
      <c r="YP142" s="18"/>
      <c r="YQ142" s="18"/>
      <c r="YR142" s="18"/>
      <c r="YS142" s="18"/>
      <c r="YT142" s="18"/>
      <c r="YU142" s="18"/>
      <c r="YV142" s="18"/>
      <c r="YW142" s="18"/>
      <c r="YX142" s="18"/>
      <c r="YY142" s="18"/>
      <c r="YZ142" s="18"/>
      <c r="ZA142" s="18"/>
      <c r="ZB142" s="18"/>
      <c r="ZC142" s="18"/>
      <c r="ZD142" s="18"/>
      <c r="ZE142" s="18"/>
      <c r="ZF142" s="18"/>
      <c r="ZG142" s="18"/>
      <c r="ZH142" s="18"/>
      <c r="ZI142" s="18"/>
      <c r="ZJ142" s="18"/>
      <c r="ZK142" s="18"/>
      <c r="ZL142" s="18"/>
      <c r="ZM142" s="18"/>
      <c r="ZN142" s="18"/>
      <c r="ZO142" s="18"/>
      <c r="ZP142" s="18"/>
      <c r="ZQ142" s="18"/>
      <c r="ZR142" s="18"/>
      <c r="ZS142" s="18"/>
      <c r="ZT142" s="18"/>
      <c r="ZU142" s="18"/>
      <c r="ZV142" s="18"/>
      <c r="ZW142" s="18"/>
      <c r="ZX142" s="18"/>
      <c r="ZY142" s="18"/>
      <c r="ZZ142" s="18"/>
      <c r="AAA142" s="18"/>
      <c r="AAB142" s="18"/>
      <c r="AAC142" s="18"/>
      <c r="AAD142" s="18"/>
      <c r="AAE142" s="18"/>
      <c r="AAF142" s="18"/>
      <c r="AAG142" s="18"/>
      <c r="AAH142" s="18"/>
      <c r="AAI142" s="18"/>
      <c r="AAJ142" s="18"/>
      <c r="AAK142" s="18"/>
      <c r="AAL142" s="18"/>
      <c r="AAM142" s="18"/>
      <c r="AAN142" s="18"/>
      <c r="AAO142" s="18"/>
      <c r="AAP142" s="18"/>
      <c r="AAQ142" s="18"/>
      <c r="AAR142" s="18"/>
      <c r="AAS142" s="18"/>
      <c r="AAT142" s="18"/>
      <c r="AAU142" s="18"/>
      <c r="AAV142" s="18"/>
      <c r="AAW142" s="18"/>
      <c r="AAX142" s="18"/>
      <c r="AAY142" s="18"/>
      <c r="AAZ142" s="18"/>
      <c r="ABA142" s="18"/>
      <c r="ABB142" s="18"/>
      <c r="ABC142" s="18"/>
      <c r="ABD142" s="18"/>
      <c r="ABE142" s="18"/>
      <c r="ABF142" s="18"/>
      <c r="ABG142" s="18"/>
      <c r="ABH142" s="18"/>
      <c r="ABI142" s="18"/>
      <c r="ABJ142" s="18"/>
      <c r="ABK142" s="18"/>
      <c r="ABL142" s="18"/>
      <c r="ABM142" s="18"/>
      <c r="ABN142" s="18"/>
      <c r="ABO142" s="18"/>
      <c r="ABP142" s="18"/>
      <c r="ABQ142" s="18"/>
      <c r="ABR142" s="18"/>
      <c r="ABS142" s="18"/>
      <c r="ABT142" s="18"/>
      <c r="ABU142" s="18"/>
      <c r="ABV142" s="18"/>
      <c r="ABW142" s="18"/>
      <c r="ABX142" s="18"/>
      <c r="ABY142" s="18"/>
      <c r="ABZ142" s="18"/>
      <c r="ACA142" s="18"/>
      <c r="ACB142" s="18"/>
      <c r="ACC142" s="18"/>
      <c r="ACD142" s="18"/>
      <c r="ACE142" s="18"/>
      <c r="ACF142" s="18"/>
      <c r="ACG142" s="18"/>
      <c r="ACH142" s="18"/>
      <c r="ACI142" s="18"/>
      <c r="ACJ142" s="18"/>
      <c r="ACK142" s="18"/>
      <c r="ACL142" s="18"/>
      <c r="ACM142" s="18"/>
      <c r="ACN142" s="18"/>
      <c r="ACO142" s="18"/>
      <c r="ACP142" s="18"/>
      <c r="ACQ142" s="18"/>
      <c r="ACR142" s="18"/>
      <c r="ACS142" s="18"/>
      <c r="ACT142" s="18"/>
      <c r="ACU142" s="18"/>
      <c r="ACV142" s="18"/>
      <c r="ACW142" s="18"/>
      <c r="ACX142" s="18"/>
      <c r="ACY142" s="18"/>
      <c r="ACZ142" s="18"/>
      <c r="ADA142" s="18"/>
      <c r="ADB142" s="18"/>
      <c r="ADC142" s="18"/>
      <c r="ADD142" s="18"/>
      <c r="ADE142" s="18"/>
      <c r="ADF142" s="18"/>
      <c r="ADG142" s="18"/>
      <c r="ADH142" s="18"/>
      <c r="ADI142" s="18"/>
      <c r="ADJ142" s="18"/>
      <c r="ADK142" s="18"/>
      <c r="ADL142" s="18"/>
      <c r="ADM142" s="18"/>
      <c r="ADN142" s="18"/>
      <c r="ADO142" s="18"/>
      <c r="ADP142" s="18"/>
      <c r="ADQ142" s="18"/>
      <c r="ADR142" s="18"/>
      <c r="ADS142" s="18"/>
      <c r="ADT142" s="18"/>
      <c r="ADU142" s="18"/>
      <c r="ADV142" s="18"/>
      <c r="ADW142" s="18"/>
      <c r="ADX142" s="18"/>
      <c r="ADY142" s="18"/>
      <c r="ADZ142" s="18"/>
      <c r="AEA142" s="18"/>
      <c r="AEB142" s="18"/>
      <c r="AEC142" s="18"/>
      <c r="AED142" s="18"/>
      <c r="AEE142" s="18"/>
      <c r="AEF142" s="18"/>
      <c r="AEG142" s="18"/>
      <c r="AEH142" s="18"/>
      <c r="AEI142" s="18"/>
      <c r="AEJ142" s="18"/>
      <c r="AEK142" s="18"/>
      <c r="AEL142" s="18"/>
      <c r="AEM142" s="18"/>
      <c r="AEN142" s="18"/>
      <c r="AEO142" s="18"/>
      <c r="AEP142" s="18"/>
      <c r="AEQ142" s="18"/>
      <c r="AER142" s="18"/>
      <c r="AES142" s="18"/>
      <c r="AET142" s="18"/>
      <c r="AEU142" s="18"/>
      <c r="AEV142" s="18"/>
      <c r="AEW142" s="18"/>
      <c r="AEX142" s="18"/>
      <c r="AEY142" s="18"/>
      <c r="AEZ142" s="18"/>
      <c r="AFA142" s="18"/>
      <c r="AFB142" s="18"/>
      <c r="AFC142" s="18"/>
      <c r="AFD142" s="18"/>
      <c r="AFE142" s="18"/>
      <c r="AFF142" s="18"/>
      <c r="AFG142" s="18"/>
      <c r="AFH142" s="18"/>
      <c r="AFI142" s="18"/>
      <c r="AFJ142" s="18"/>
      <c r="AFK142" s="18"/>
      <c r="AFL142" s="18"/>
      <c r="AFM142" s="18"/>
      <c r="AFN142" s="18"/>
      <c r="AFO142" s="18"/>
      <c r="AFP142" s="18"/>
      <c r="AFQ142" s="18"/>
      <c r="AFR142" s="18"/>
      <c r="AFS142" s="18"/>
      <c r="AFT142" s="18"/>
      <c r="AFU142" s="18"/>
      <c r="AFV142" s="18"/>
      <c r="AFW142" s="18"/>
      <c r="AFX142" s="18"/>
      <c r="AFY142" s="18"/>
      <c r="AFZ142" s="18"/>
      <c r="AGA142" s="18"/>
      <c r="AGB142" s="18"/>
      <c r="AGC142" s="18"/>
      <c r="AGD142" s="18"/>
      <c r="AGE142" s="18"/>
      <c r="AGF142" s="18"/>
      <c r="AGG142" s="18"/>
      <c r="AGH142" s="18"/>
      <c r="AGI142" s="18"/>
      <c r="AGJ142" s="18"/>
      <c r="AGK142" s="18"/>
      <c r="AGL142" s="18"/>
      <c r="AGM142" s="18"/>
      <c r="AGN142" s="18"/>
      <c r="AGO142" s="18"/>
      <c r="AGP142" s="18"/>
      <c r="AGQ142" s="18"/>
      <c r="AGR142" s="18"/>
      <c r="AGS142" s="18"/>
      <c r="AGT142" s="18"/>
      <c r="AGU142" s="18"/>
      <c r="AGV142" s="18"/>
      <c r="AGW142" s="18"/>
      <c r="AGX142" s="18"/>
      <c r="AGY142" s="18"/>
      <c r="AGZ142" s="18"/>
      <c r="AHA142" s="18"/>
      <c r="AHB142" s="18"/>
      <c r="AHC142" s="18"/>
      <c r="AHD142" s="18"/>
      <c r="AHE142" s="18"/>
      <c r="AHF142" s="18"/>
      <c r="AHG142" s="18"/>
      <c r="AHH142" s="18"/>
      <c r="AHI142" s="18"/>
      <c r="AHJ142" s="18"/>
      <c r="AHK142" s="18"/>
      <c r="AHL142" s="18"/>
      <c r="AHM142" s="18"/>
      <c r="AHN142" s="18"/>
      <c r="AHO142" s="18"/>
      <c r="AHP142" s="18"/>
      <c r="AHQ142" s="18"/>
      <c r="AHR142" s="18"/>
      <c r="AHS142" s="18"/>
      <c r="AHT142" s="18"/>
      <c r="AHU142" s="18"/>
      <c r="AHV142" s="18"/>
      <c r="AHW142" s="18"/>
      <c r="AHX142" s="18"/>
      <c r="AHY142" s="18"/>
      <c r="AHZ142" s="18"/>
      <c r="AIA142" s="18"/>
      <c r="AIB142" s="18"/>
      <c r="AIC142" s="18"/>
      <c r="AID142" s="18"/>
      <c r="AIE142" s="18"/>
      <c r="AIF142" s="18"/>
      <c r="AIG142" s="18"/>
      <c r="AIH142" s="18"/>
      <c r="AII142" s="18"/>
      <c r="AIJ142" s="18"/>
      <c r="AIK142" s="18"/>
      <c r="AIL142" s="18"/>
      <c r="AIM142" s="18"/>
      <c r="AIN142" s="18"/>
      <c r="AIO142" s="18"/>
      <c r="AIP142" s="18"/>
      <c r="AIQ142" s="18"/>
      <c r="AIR142" s="18"/>
      <c r="AIS142" s="18"/>
      <c r="AIT142" s="18"/>
      <c r="AIU142" s="18"/>
      <c r="AIV142" s="18"/>
      <c r="AIW142" s="18"/>
      <c r="AIX142" s="18"/>
      <c r="AIY142" s="18"/>
      <c r="AIZ142" s="18"/>
      <c r="AJA142" s="18"/>
      <c r="AJB142" s="18"/>
      <c r="AJC142" s="18"/>
      <c r="AJD142" s="18"/>
      <c r="AJE142" s="18"/>
      <c r="AJF142" s="18"/>
      <c r="AJG142" s="18"/>
      <c r="AJH142" s="18"/>
      <c r="AJI142" s="18"/>
      <c r="AJJ142" s="18"/>
      <c r="AJK142" s="18"/>
      <c r="AJL142" s="18"/>
      <c r="AJM142" s="18"/>
      <c r="AJN142" s="18"/>
      <c r="AJO142" s="18"/>
      <c r="AJP142" s="18"/>
      <c r="AJQ142" s="18"/>
      <c r="AJR142" s="18"/>
      <c r="AJS142" s="18"/>
      <c r="AJT142" s="18"/>
      <c r="AJU142" s="18"/>
      <c r="AJV142" s="18"/>
      <c r="AJW142" s="18"/>
      <c r="AJX142" s="18"/>
      <c r="AJY142" s="18"/>
      <c r="AJZ142" s="18"/>
      <c r="AKA142" s="18"/>
      <c r="AKB142" s="18"/>
      <c r="AKC142" s="18"/>
      <c r="AKD142" s="18"/>
      <c r="AKE142" s="18"/>
      <c r="AKF142" s="18"/>
      <c r="AKG142" s="18"/>
      <c r="AKH142" s="18"/>
      <c r="AKI142" s="18"/>
      <c r="AKJ142" s="18"/>
      <c r="AKK142" s="18"/>
      <c r="AKL142" s="18"/>
      <c r="AKM142" s="18"/>
      <c r="AKN142" s="18"/>
      <c r="AKO142" s="18"/>
      <c r="AKP142" s="18"/>
      <c r="AKQ142" s="18"/>
      <c r="AKR142" s="18"/>
      <c r="AKS142" s="18"/>
      <c r="AKT142" s="18"/>
      <c r="AKU142" s="18"/>
      <c r="AKV142" s="18"/>
      <c r="AKW142" s="18"/>
      <c r="AKX142" s="18"/>
      <c r="AKY142" s="18"/>
      <c r="AKZ142" s="18"/>
      <c r="ALA142" s="18"/>
      <c r="ALB142" s="18"/>
      <c r="ALC142" s="18"/>
      <c r="ALD142" s="18"/>
      <c r="ALE142" s="18"/>
      <c r="ALF142" s="18"/>
      <c r="ALG142" s="18"/>
      <c r="ALH142" s="18"/>
      <c r="ALI142" s="18"/>
      <c r="ALJ142" s="18"/>
      <c r="ALK142" s="18"/>
      <c r="ALL142" s="18"/>
      <c r="ALM142" s="18"/>
      <c r="ALN142" s="18"/>
      <c r="ALO142" s="18"/>
      <c r="ALP142" s="18"/>
      <c r="ALQ142" s="18"/>
      <c r="ALR142" s="18"/>
      <c r="ALS142" s="18"/>
      <c r="ALT142" s="18"/>
      <c r="ALU142" s="18"/>
      <c r="ALV142" s="18"/>
      <c r="ALW142" s="18"/>
      <c r="ALX142" s="18"/>
      <c r="ALY142" s="18"/>
      <c r="ALZ142" s="18"/>
      <c r="AMA142" s="18"/>
      <c r="AMB142" s="18"/>
      <c r="AMC142" s="18"/>
      <c r="AMD142" s="18"/>
      <c r="AME142" s="18"/>
      <c r="AMF142" s="18"/>
      <c r="AMG142" s="18"/>
      <c r="AMH142" s="18"/>
    </row>
    <row r="143" spans="1:1022" s="23" customFormat="1" x14ac:dyDescent="0.3">
      <c r="A143" s="33">
        <v>239</v>
      </c>
      <c r="B143" s="19"/>
      <c r="C143" s="19"/>
      <c r="D143" s="34"/>
      <c r="E143" s="34"/>
      <c r="F143" s="19"/>
      <c r="G143" s="19"/>
      <c r="H143" s="18"/>
      <c r="I143" s="31"/>
      <c r="J143" s="31"/>
      <c r="K143" s="31"/>
      <c r="L143" s="31"/>
      <c r="M143" s="32"/>
      <c r="N143" s="32"/>
      <c r="O143" s="18"/>
      <c r="P143" s="36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  <c r="AW143" s="18"/>
      <c r="AX143" s="18"/>
      <c r="AY143" s="18"/>
      <c r="AZ143" s="18"/>
      <c r="BA143" s="18"/>
      <c r="BB143" s="18"/>
      <c r="BC143" s="18"/>
      <c r="BD143" s="18"/>
      <c r="BE143" s="18"/>
      <c r="BF143" s="18"/>
      <c r="BG143" s="18"/>
      <c r="BH143" s="18"/>
      <c r="BI143" s="18"/>
      <c r="BJ143" s="18"/>
      <c r="BK143" s="18"/>
      <c r="BL143" s="18"/>
      <c r="BM143" s="18"/>
      <c r="BN143" s="18"/>
      <c r="BO143" s="18"/>
      <c r="BP143" s="18"/>
      <c r="BQ143" s="18"/>
      <c r="BR143" s="18"/>
      <c r="BS143" s="18"/>
      <c r="BT143" s="18"/>
      <c r="BU143" s="18"/>
      <c r="BV143" s="18"/>
      <c r="BW143" s="18"/>
      <c r="BX143" s="18"/>
      <c r="BY143" s="18"/>
      <c r="BZ143" s="18"/>
      <c r="CA143" s="18"/>
      <c r="CB143" s="18"/>
      <c r="CC143" s="18"/>
      <c r="CD143" s="18"/>
      <c r="CE143" s="18"/>
      <c r="CF143" s="18"/>
      <c r="CG143" s="18"/>
      <c r="CH143" s="18"/>
      <c r="CI143" s="18"/>
      <c r="CJ143" s="18"/>
      <c r="CK143" s="18"/>
      <c r="CL143" s="18"/>
      <c r="CM143" s="18"/>
      <c r="CN143" s="18"/>
      <c r="CO143" s="18"/>
      <c r="CP143" s="18"/>
      <c r="CQ143" s="18"/>
      <c r="CR143" s="18"/>
      <c r="CS143" s="18"/>
      <c r="CT143" s="18"/>
      <c r="CU143" s="18"/>
      <c r="CV143" s="18"/>
      <c r="CW143" s="18"/>
      <c r="CX143" s="18"/>
      <c r="CY143" s="18"/>
      <c r="CZ143" s="18"/>
      <c r="DA143" s="18"/>
      <c r="DB143" s="18"/>
      <c r="DC143" s="18"/>
      <c r="DD143" s="18"/>
      <c r="DE143" s="18"/>
      <c r="DF143" s="18"/>
      <c r="DG143" s="18"/>
      <c r="DH143" s="18"/>
      <c r="DI143" s="18"/>
      <c r="DJ143" s="18"/>
      <c r="DK143" s="18"/>
      <c r="DL143" s="18"/>
      <c r="DM143" s="18"/>
      <c r="DN143" s="18"/>
      <c r="DO143" s="18"/>
      <c r="DP143" s="18"/>
      <c r="DQ143" s="18"/>
      <c r="DR143" s="18"/>
      <c r="DS143" s="18"/>
      <c r="DT143" s="18"/>
      <c r="DU143" s="18"/>
      <c r="DV143" s="18"/>
      <c r="DW143" s="18"/>
      <c r="DX143" s="18"/>
      <c r="DY143" s="18"/>
      <c r="DZ143" s="18"/>
      <c r="EA143" s="18"/>
      <c r="EB143" s="18"/>
      <c r="EC143" s="18"/>
      <c r="ED143" s="18"/>
      <c r="EE143" s="18"/>
      <c r="EF143" s="18"/>
      <c r="EG143" s="18"/>
      <c r="EH143" s="18"/>
      <c r="EI143" s="18"/>
      <c r="EJ143" s="18"/>
      <c r="EK143" s="18"/>
      <c r="EL143" s="18"/>
      <c r="EM143" s="18"/>
      <c r="EN143" s="18"/>
      <c r="EO143" s="18"/>
      <c r="EP143" s="18"/>
      <c r="EQ143" s="18"/>
      <c r="ER143" s="18"/>
      <c r="ES143" s="18"/>
      <c r="ET143" s="18"/>
      <c r="EU143" s="18"/>
      <c r="EV143" s="18"/>
      <c r="EW143" s="18"/>
      <c r="EX143" s="18"/>
      <c r="EY143" s="18"/>
      <c r="EZ143" s="18"/>
      <c r="FA143" s="18"/>
      <c r="FB143" s="18"/>
      <c r="FC143" s="18"/>
      <c r="FD143" s="18"/>
      <c r="FE143" s="18"/>
      <c r="FF143" s="18"/>
      <c r="FG143" s="18"/>
      <c r="FH143" s="18"/>
      <c r="FI143" s="18"/>
      <c r="FJ143" s="18"/>
      <c r="FK143" s="18"/>
      <c r="FL143" s="18"/>
      <c r="FM143" s="18"/>
      <c r="FN143" s="18"/>
      <c r="FO143" s="18"/>
      <c r="FP143" s="18"/>
      <c r="FQ143" s="18"/>
      <c r="FR143" s="18"/>
      <c r="FS143" s="18"/>
      <c r="FT143" s="18"/>
      <c r="FU143" s="18"/>
      <c r="FV143" s="18"/>
      <c r="FW143" s="18"/>
      <c r="FX143" s="18"/>
      <c r="FY143" s="18"/>
      <c r="FZ143" s="18"/>
      <c r="GA143" s="18"/>
      <c r="GB143" s="18"/>
      <c r="GC143" s="18"/>
      <c r="GD143" s="18"/>
      <c r="GE143" s="18"/>
      <c r="GF143" s="18"/>
      <c r="GG143" s="18"/>
      <c r="GH143" s="18"/>
      <c r="GI143" s="18"/>
      <c r="GJ143" s="18"/>
      <c r="GK143" s="18"/>
      <c r="GL143" s="18"/>
      <c r="GM143" s="18"/>
      <c r="GN143" s="18"/>
      <c r="GO143" s="18"/>
      <c r="GP143" s="18"/>
      <c r="GQ143" s="18"/>
      <c r="GR143" s="18"/>
      <c r="GS143" s="18"/>
      <c r="GT143" s="18"/>
      <c r="GU143" s="18"/>
      <c r="GV143" s="18"/>
      <c r="GW143" s="18"/>
      <c r="GX143" s="18"/>
      <c r="GY143" s="18"/>
      <c r="GZ143" s="18"/>
      <c r="HA143" s="18"/>
      <c r="HB143" s="18"/>
      <c r="HC143" s="18"/>
      <c r="HD143" s="18"/>
      <c r="HE143" s="18"/>
      <c r="HF143" s="18"/>
      <c r="HG143" s="18"/>
      <c r="HH143" s="18"/>
      <c r="HI143" s="18"/>
      <c r="HJ143" s="18"/>
      <c r="HK143" s="18"/>
      <c r="HL143" s="18"/>
      <c r="HM143" s="18"/>
      <c r="HN143" s="18"/>
      <c r="HO143" s="18"/>
      <c r="HP143" s="18"/>
      <c r="HQ143" s="18"/>
      <c r="HR143" s="18"/>
      <c r="HS143" s="18"/>
      <c r="HT143" s="18"/>
      <c r="HU143" s="18"/>
      <c r="HV143" s="18"/>
      <c r="HW143" s="18"/>
      <c r="HX143" s="18"/>
      <c r="HY143" s="18"/>
      <c r="HZ143" s="18"/>
      <c r="IA143" s="18"/>
      <c r="IB143" s="18"/>
      <c r="IC143" s="18"/>
      <c r="ID143" s="18"/>
      <c r="IE143" s="18"/>
      <c r="IF143" s="18"/>
      <c r="IG143" s="18"/>
      <c r="IH143" s="18"/>
      <c r="II143" s="18"/>
      <c r="IJ143" s="18"/>
      <c r="IK143" s="18"/>
      <c r="IL143" s="18"/>
      <c r="IM143" s="18"/>
      <c r="IN143" s="18"/>
      <c r="IO143" s="18"/>
      <c r="IP143" s="18"/>
      <c r="IQ143" s="18"/>
      <c r="IR143" s="18"/>
      <c r="IS143" s="18"/>
      <c r="IT143" s="18"/>
      <c r="IU143" s="18"/>
      <c r="IV143" s="18"/>
      <c r="IW143" s="18"/>
      <c r="IX143" s="18"/>
      <c r="IY143" s="18"/>
      <c r="IZ143" s="18"/>
      <c r="JA143" s="18"/>
      <c r="JB143" s="18"/>
      <c r="JC143" s="18"/>
      <c r="JD143" s="18"/>
      <c r="JE143" s="18"/>
      <c r="JF143" s="18"/>
      <c r="JG143" s="18"/>
      <c r="JH143" s="18"/>
      <c r="JI143" s="18"/>
      <c r="JJ143" s="18"/>
      <c r="JK143" s="18"/>
      <c r="JL143" s="18"/>
      <c r="JM143" s="18"/>
      <c r="JN143" s="18"/>
      <c r="JO143" s="18"/>
      <c r="JP143" s="18"/>
      <c r="JQ143" s="18"/>
      <c r="JR143" s="18"/>
      <c r="JS143" s="18"/>
      <c r="JT143" s="18"/>
      <c r="JU143" s="18"/>
      <c r="JV143" s="18"/>
      <c r="JW143" s="18"/>
      <c r="JX143" s="18"/>
      <c r="JY143" s="18"/>
      <c r="JZ143" s="18"/>
      <c r="KA143" s="18"/>
      <c r="KB143" s="18"/>
      <c r="KC143" s="18"/>
      <c r="KD143" s="18"/>
      <c r="KE143" s="18"/>
      <c r="KF143" s="18"/>
      <c r="KG143" s="18"/>
      <c r="KH143" s="18"/>
      <c r="KI143" s="18"/>
      <c r="KJ143" s="18"/>
      <c r="KK143" s="18"/>
      <c r="KL143" s="18"/>
      <c r="KM143" s="18"/>
      <c r="KN143" s="18"/>
      <c r="KO143" s="18"/>
      <c r="KP143" s="18"/>
      <c r="KQ143" s="18"/>
      <c r="KR143" s="18"/>
      <c r="KS143" s="18"/>
      <c r="KT143" s="18"/>
      <c r="KU143" s="18"/>
      <c r="KV143" s="18"/>
      <c r="KW143" s="18"/>
      <c r="KX143" s="18"/>
      <c r="KY143" s="18"/>
      <c r="KZ143" s="18"/>
      <c r="LA143" s="18"/>
      <c r="LB143" s="18"/>
      <c r="LC143" s="18"/>
      <c r="LD143" s="18"/>
      <c r="LE143" s="18"/>
      <c r="LF143" s="18"/>
      <c r="LG143" s="18"/>
      <c r="LH143" s="18"/>
      <c r="LI143" s="18"/>
      <c r="LJ143" s="18"/>
      <c r="LK143" s="18"/>
      <c r="LL143" s="18"/>
      <c r="LM143" s="18"/>
      <c r="LN143" s="18"/>
      <c r="LO143" s="18"/>
      <c r="LP143" s="18"/>
      <c r="LQ143" s="18"/>
      <c r="LR143" s="18"/>
      <c r="LS143" s="18"/>
      <c r="LT143" s="18"/>
      <c r="LU143" s="18"/>
      <c r="LV143" s="18"/>
      <c r="LW143" s="18"/>
      <c r="LX143" s="18"/>
      <c r="LY143" s="18"/>
      <c r="LZ143" s="18"/>
      <c r="MA143" s="18"/>
      <c r="MB143" s="18"/>
      <c r="MC143" s="18"/>
      <c r="MD143" s="18"/>
      <c r="ME143" s="18"/>
      <c r="MF143" s="18"/>
      <c r="MG143" s="18"/>
      <c r="MH143" s="18"/>
      <c r="MI143" s="18"/>
      <c r="MJ143" s="18"/>
      <c r="MK143" s="18"/>
      <c r="ML143" s="18"/>
      <c r="MM143" s="18"/>
      <c r="MN143" s="18"/>
      <c r="MO143" s="18"/>
      <c r="MP143" s="18"/>
      <c r="MQ143" s="18"/>
      <c r="MR143" s="18"/>
      <c r="MS143" s="18"/>
      <c r="MT143" s="18"/>
      <c r="MU143" s="18"/>
      <c r="MV143" s="18"/>
      <c r="MW143" s="18"/>
      <c r="MX143" s="18"/>
      <c r="MY143" s="18"/>
      <c r="MZ143" s="18"/>
      <c r="NA143" s="18"/>
      <c r="NB143" s="18"/>
      <c r="NC143" s="18"/>
      <c r="ND143" s="18"/>
      <c r="NE143" s="18"/>
      <c r="NF143" s="18"/>
      <c r="NG143" s="18"/>
      <c r="NH143" s="18"/>
      <c r="NI143" s="18"/>
      <c r="NJ143" s="18"/>
      <c r="NK143" s="18"/>
      <c r="NL143" s="18"/>
      <c r="NM143" s="18"/>
      <c r="NN143" s="18"/>
      <c r="NO143" s="18"/>
      <c r="NP143" s="18"/>
      <c r="NQ143" s="18"/>
      <c r="NR143" s="18"/>
      <c r="NS143" s="18"/>
      <c r="NT143" s="18"/>
      <c r="NU143" s="18"/>
      <c r="NV143" s="18"/>
      <c r="NW143" s="18"/>
      <c r="NX143" s="18"/>
      <c r="NY143" s="18"/>
      <c r="NZ143" s="18"/>
      <c r="OA143" s="18"/>
      <c r="OB143" s="18"/>
      <c r="OC143" s="18"/>
      <c r="OD143" s="18"/>
      <c r="OE143" s="18"/>
      <c r="OF143" s="18"/>
      <c r="OG143" s="18"/>
      <c r="OH143" s="18"/>
      <c r="OI143" s="18"/>
      <c r="OJ143" s="18"/>
      <c r="OK143" s="18"/>
      <c r="OL143" s="18"/>
      <c r="OM143" s="18"/>
      <c r="ON143" s="18"/>
      <c r="OO143" s="18"/>
      <c r="OP143" s="18"/>
      <c r="OQ143" s="18"/>
      <c r="OR143" s="18"/>
      <c r="OS143" s="18"/>
      <c r="OT143" s="18"/>
      <c r="OU143" s="18"/>
      <c r="OV143" s="18"/>
      <c r="OW143" s="18"/>
      <c r="OX143" s="18"/>
      <c r="OY143" s="18"/>
      <c r="OZ143" s="18"/>
      <c r="PA143" s="18"/>
      <c r="PB143" s="18"/>
      <c r="PC143" s="18"/>
      <c r="PD143" s="18"/>
      <c r="PE143" s="18"/>
      <c r="PF143" s="18"/>
      <c r="PG143" s="18"/>
      <c r="PH143" s="18"/>
      <c r="PI143" s="18"/>
      <c r="PJ143" s="18"/>
      <c r="PK143" s="18"/>
      <c r="PL143" s="18"/>
      <c r="PM143" s="18"/>
      <c r="PN143" s="18"/>
      <c r="PO143" s="18"/>
      <c r="PP143" s="18"/>
      <c r="PQ143" s="18"/>
      <c r="PR143" s="18"/>
      <c r="PS143" s="18"/>
      <c r="PT143" s="18"/>
      <c r="PU143" s="18"/>
      <c r="PV143" s="18"/>
      <c r="PW143" s="18"/>
      <c r="PX143" s="18"/>
      <c r="PY143" s="18"/>
      <c r="PZ143" s="18"/>
      <c r="QA143" s="18"/>
      <c r="QB143" s="18"/>
      <c r="QC143" s="18"/>
      <c r="QD143" s="18"/>
      <c r="QE143" s="18"/>
      <c r="QF143" s="18"/>
      <c r="QG143" s="18"/>
      <c r="QH143" s="18"/>
      <c r="QI143" s="18"/>
      <c r="QJ143" s="18"/>
      <c r="QK143" s="18"/>
      <c r="QL143" s="18"/>
      <c r="QM143" s="18"/>
      <c r="QN143" s="18"/>
      <c r="QO143" s="18"/>
      <c r="QP143" s="18"/>
      <c r="QQ143" s="18"/>
      <c r="QR143" s="18"/>
      <c r="QS143" s="18"/>
      <c r="QT143" s="18"/>
      <c r="QU143" s="18"/>
      <c r="QV143" s="18"/>
      <c r="QW143" s="18"/>
      <c r="QX143" s="18"/>
      <c r="QY143" s="18"/>
      <c r="QZ143" s="18"/>
      <c r="RA143" s="18"/>
      <c r="RB143" s="18"/>
      <c r="RC143" s="18"/>
      <c r="RD143" s="18"/>
      <c r="RE143" s="18"/>
      <c r="RF143" s="18"/>
      <c r="RG143" s="18"/>
      <c r="RH143" s="18"/>
      <c r="RI143" s="18"/>
      <c r="RJ143" s="18"/>
      <c r="RK143" s="18"/>
      <c r="RL143" s="18"/>
      <c r="RM143" s="18"/>
      <c r="RN143" s="18"/>
      <c r="RO143" s="18"/>
      <c r="RP143" s="18"/>
      <c r="RQ143" s="18"/>
      <c r="RR143" s="18"/>
      <c r="RS143" s="18"/>
      <c r="RT143" s="18"/>
      <c r="RU143" s="18"/>
      <c r="RV143" s="18"/>
      <c r="RW143" s="18"/>
      <c r="RX143" s="18"/>
      <c r="RY143" s="18"/>
      <c r="RZ143" s="18"/>
      <c r="SA143" s="18"/>
      <c r="SB143" s="18"/>
      <c r="SC143" s="18"/>
      <c r="SD143" s="18"/>
      <c r="SE143" s="18"/>
      <c r="SF143" s="18"/>
      <c r="SG143" s="18"/>
      <c r="SH143" s="18"/>
      <c r="SI143" s="18"/>
      <c r="SJ143" s="18"/>
      <c r="SK143" s="18"/>
      <c r="SL143" s="18"/>
      <c r="SM143" s="18"/>
      <c r="SN143" s="18"/>
      <c r="SO143" s="18"/>
      <c r="SP143" s="18"/>
      <c r="SQ143" s="18"/>
      <c r="SR143" s="18"/>
      <c r="SS143" s="18"/>
      <c r="ST143" s="18"/>
      <c r="SU143" s="18"/>
      <c r="SV143" s="18"/>
      <c r="SW143" s="18"/>
      <c r="SX143" s="18"/>
      <c r="SY143" s="18"/>
      <c r="SZ143" s="18"/>
      <c r="TA143" s="18"/>
      <c r="TB143" s="18"/>
      <c r="TC143" s="18"/>
      <c r="TD143" s="18"/>
      <c r="TE143" s="18"/>
      <c r="TF143" s="18"/>
      <c r="TG143" s="18"/>
      <c r="TH143" s="18"/>
      <c r="TI143" s="18"/>
      <c r="TJ143" s="18"/>
      <c r="TK143" s="18"/>
      <c r="TL143" s="18"/>
      <c r="TM143" s="18"/>
      <c r="TN143" s="18"/>
      <c r="TO143" s="18"/>
      <c r="TP143" s="18"/>
      <c r="TQ143" s="18"/>
      <c r="TR143" s="18"/>
      <c r="TS143" s="18"/>
      <c r="TT143" s="18"/>
      <c r="TU143" s="18"/>
      <c r="TV143" s="18"/>
      <c r="TW143" s="18"/>
      <c r="TX143" s="18"/>
      <c r="TY143" s="18"/>
      <c r="TZ143" s="18"/>
      <c r="UA143" s="18"/>
      <c r="UB143" s="18"/>
      <c r="UC143" s="18"/>
      <c r="UD143" s="18"/>
      <c r="UE143" s="18"/>
      <c r="UF143" s="18"/>
      <c r="UG143" s="18"/>
      <c r="UH143" s="18"/>
      <c r="UI143" s="18"/>
      <c r="UJ143" s="18"/>
      <c r="UK143" s="18"/>
      <c r="UL143" s="18"/>
      <c r="UM143" s="18"/>
      <c r="UN143" s="18"/>
      <c r="UO143" s="18"/>
      <c r="UP143" s="18"/>
      <c r="UQ143" s="18"/>
      <c r="UR143" s="18"/>
      <c r="US143" s="18"/>
      <c r="UT143" s="18"/>
      <c r="UU143" s="18"/>
      <c r="UV143" s="18"/>
      <c r="UW143" s="18"/>
      <c r="UX143" s="18"/>
      <c r="UY143" s="18"/>
      <c r="UZ143" s="18"/>
      <c r="VA143" s="18"/>
      <c r="VB143" s="18"/>
      <c r="VC143" s="18"/>
      <c r="VD143" s="18"/>
      <c r="VE143" s="18"/>
      <c r="VF143" s="18"/>
      <c r="VG143" s="18"/>
      <c r="VH143" s="18"/>
      <c r="VI143" s="18"/>
      <c r="VJ143" s="18"/>
      <c r="VK143" s="18"/>
      <c r="VL143" s="18"/>
      <c r="VM143" s="18"/>
      <c r="VN143" s="18"/>
      <c r="VO143" s="18"/>
      <c r="VP143" s="18"/>
      <c r="VQ143" s="18"/>
      <c r="VR143" s="18"/>
      <c r="VS143" s="18"/>
      <c r="VT143" s="18"/>
      <c r="VU143" s="18"/>
      <c r="VV143" s="18"/>
      <c r="VW143" s="18"/>
      <c r="VX143" s="18"/>
      <c r="VY143" s="18"/>
      <c r="VZ143" s="18"/>
      <c r="WA143" s="18"/>
      <c r="WB143" s="18"/>
      <c r="WC143" s="18"/>
      <c r="WD143" s="18"/>
      <c r="WE143" s="18"/>
      <c r="WF143" s="18"/>
      <c r="WG143" s="18"/>
      <c r="WH143" s="18"/>
      <c r="WI143" s="18"/>
      <c r="WJ143" s="18"/>
      <c r="WK143" s="18"/>
      <c r="WL143" s="18"/>
      <c r="WM143" s="18"/>
      <c r="WN143" s="18"/>
      <c r="WO143" s="18"/>
      <c r="WP143" s="18"/>
      <c r="WQ143" s="18"/>
      <c r="WR143" s="18"/>
      <c r="WS143" s="18"/>
      <c r="WT143" s="18"/>
      <c r="WU143" s="18"/>
      <c r="WV143" s="18"/>
      <c r="WW143" s="18"/>
      <c r="WX143" s="18"/>
      <c r="WY143" s="18"/>
      <c r="WZ143" s="18"/>
      <c r="XA143" s="18"/>
      <c r="XB143" s="18"/>
      <c r="XC143" s="18"/>
      <c r="XD143" s="18"/>
      <c r="XE143" s="18"/>
      <c r="XF143" s="18"/>
      <c r="XG143" s="18"/>
      <c r="XH143" s="18"/>
      <c r="XI143" s="18"/>
      <c r="XJ143" s="18"/>
      <c r="XK143" s="18"/>
      <c r="XL143" s="18"/>
      <c r="XM143" s="18"/>
      <c r="XN143" s="18"/>
      <c r="XO143" s="18"/>
      <c r="XP143" s="18"/>
      <c r="XQ143" s="18"/>
      <c r="XR143" s="18"/>
      <c r="XS143" s="18"/>
      <c r="XT143" s="18"/>
      <c r="XU143" s="18"/>
      <c r="XV143" s="18"/>
      <c r="XW143" s="18"/>
      <c r="XX143" s="18"/>
      <c r="XY143" s="18"/>
      <c r="XZ143" s="18"/>
      <c r="YA143" s="18"/>
      <c r="YB143" s="18"/>
      <c r="YC143" s="18"/>
      <c r="YD143" s="18"/>
      <c r="YE143" s="18"/>
      <c r="YF143" s="18"/>
      <c r="YG143" s="18"/>
      <c r="YH143" s="18"/>
      <c r="YI143" s="18"/>
      <c r="YJ143" s="18"/>
      <c r="YK143" s="18"/>
      <c r="YL143" s="18"/>
      <c r="YM143" s="18"/>
      <c r="YN143" s="18"/>
      <c r="YO143" s="18"/>
      <c r="YP143" s="18"/>
      <c r="YQ143" s="18"/>
      <c r="YR143" s="18"/>
      <c r="YS143" s="18"/>
      <c r="YT143" s="18"/>
      <c r="YU143" s="18"/>
      <c r="YV143" s="18"/>
      <c r="YW143" s="18"/>
      <c r="YX143" s="18"/>
      <c r="YY143" s="18"/>
      <c r="YZ143" s="18"/>
      <c r="ZA143" s="18"/>
      <c r="ZB143" s="18"/>
      <c r="ZC143" s="18"/>
      <c r="ZD143" s="18"/>
      <c r="ZE143" s="18"/>
      <c r="ZF143" s="18"/>
      <c r="ZG143" s="18"/>
      <c r="ZH143" s="18"/>
      <c r="ZI143" s="18"/>
      <c r="ZJ143" s="18"/>
      <c r="ZK143" s="18"/>
      <c r="ZL143" s="18"/>
      <c r="ZM143" s="18"/>
      <c r="ZN143" s="18"/>
      <c r="ZO143" s="18"/>
      <c r="ZP143" s="18"/>
      <c r="ZQ143" s="18"/>
      <c r="ZR143" s="18"/>
      <c r="ZS143" s="18"/>
      <c r="ZT143" s="18"/>
      <c r="ZU143" s="18"/>
      <c r="ZV143" s="18"/>
      <c r="ZW143" s="18"/>
      <c r="ZX143" s="18"/>
      <c r="ZY143" s="18"/>
      <c r="ZZ143" s="18"/>
      <c r="AAA143" s="18"/>
      <c r="AAB143" s="18"/>
      <c r="AAC143" s="18"/>
      <c r="AAD143" s="18"/>
      <c r="AAE143" s="18"/>
      <c r="AAF143" s="18"/>
      <c r="AAG143" s="18"/>
      <c r="AAH143" s="18"/>
      <c r="AAI143" s="18"/>
      <c r="AAJ143" s="18"/>
      <c r="AAK143" s="18"/>
      <c r="AAL143" s="18"/>
      <c r="AAM143" s="18"/>
      <c r="AAN143" s="18"/>
      <c r="AAO143" s="18"/>
      <c r="AAP143" s="18"/>
      <c r="AAQ143" s="18"/>
      <c r="AAR143" s="18"/>
      <c r="AAS143" s="18"/>
      <c r="AAT143" s="18"/>
      <c r="AAU143" s="18"/>
      <c r="AAV143" s="18"/>
      <c r="AAW143" s="18"/>
      <c r="AAX143" s="18"/>
      <c r="AAY143" s="18"/>
      <c r="AAZ143" s="18"/>
      <c r="ABA143" s="18"/>
      <c r="ABB143" s="18"/>
      <c r="ABC143" s="18"/>
      <c r="ABD143" s="18"/>
      <c r="ABE143" s="18"/>
      <c r="ABF143" s="18"/>
      <c r="ABG143" s="18"/>
      <c r="ABH143" s="18"/>
      <c r="ABI143" s="18"/>
      <c r="ABJ143" s="18"/>
      <c r="ABK143" s="18"/>
      <c r="ABL143" s="18"/>
      <c r="ABM143" s="18"/>
      <c r="ABN143" s="18"/>
      <c r="ABO143" s="18"/>
      <c r="ABP143" s="18"/>
      <c r="ABQ143" s="18"/>
      <c r="ABR143" s="18"/>
      <c r="ABS143" s="18"/>
      <c r="ABT143" s="18"/>
      <c r="ABU143" s="18"/>
      <c r="ABV143" s="18"/>
      <c r="ABW143" s="18"/>
      <c r="ABX143" s="18"/>
      <c r="ABY143" s="18"/>
      <c r="ABZ143" s="18"/>
      <c r="ACA143" s="18"/>
      <c r="ACB143" s="18"/>
      <c r="ACC143" s="18"/>
      <c r="ACD143" s="18"/>
      <c r="ACE143" s="18"/>
      <c r="ACF143" s="18"/>
      <c r="ACG143" s="18"/>
      <c r="ACH143" s="18"/>
      <c r="ACI143" s="18"/>
      <c r="ACJ143" s="18"/>
      <c r="ACK143" s="18"/>
      <c r="ACL143" s="18"/>
      <c r="ACM143" s="18"/>
      <c r="ACN143" s="18"/>
      <c r="ACO143" s="18"/>
      <c r="ACP143" s="18"/>
      <c r="ACQ143" s="18"/>
      <c r="ACR143" s="18"/>
      <c r="ACS143" s="18"/>
      <c r="ACT143" s="18"/>
      <c r="ACU143" s="18"/>
      <c r="ACV143" s="18"/>
      <c r="ACW143" s="18"/>
      <c r="ACX143" s="18"/>
      <c r="ACY143" s="18"/>
      <c r="ACZ143" s="18"/>
      <c r="ADA143" s="18"/>
      <c r="ADB143" s="18"/>
      <c r="ADC143" s="18"/>
      <c r="ADD143" s="18"/>
      <c r="ADE143" s="18"/>
      <c r="ADF143" s="18"/>
      <c r="ADG143" s="18"/>
      <c r="ADH143" s="18"/>
      <c r="ADI143" s="18"/>
      <c r="ADJ143" s="18"/>
      <c r="ADK143" s="18"/>
      <c r="ADL143" s="18"/>
      <c r="ADM143" s="18"/>
      <c r="ADN143" s="18"/>
      <c r="ADO143" s="18"/>
      <c r="ADP143" s="18"/>
      <c r="ADQ143" s="18"/>
      <c r="ADR143" s="18"/>
      <c r="ADS143" s="18"/>
      <c r="ADT143" s="18"/>
      <c r="ADU143" s="18"/>
      <c r="ADV143" s="18"/>
      <c r="ADW143" s="18"/>
      <c r="ADX143" s="18"/>
      <c r="ADY143" s="18"/>
      <c r="ADZ143" s="18"/>
      <c r="AEA143" s="18"/>
      <c r="AEB143" s="18"/>
      <c r="AEC143" s="18"/>
      <c r="AED143" s="18"/>
      <c r="AEE143" s="18"/>
      <c r="AEF143" s="18"/>
      <c r="AEG143" s="18"/>
      <c r="AEH143" s="18"/>
      <c r="AEI143" s="18"/>
      <c r="AEJ143" s="18"/>
      <c r="AEK143" s="18"/>
      <c r="AEL143" s="18"/>
      <c r="AEM143" s="18"/>
      <c r="AEN143" s="18"/>
      <c r="AEO143" s="18"/>
      <c r="AEP143" s="18"/>
      <c r="AEQ143" s="18"/>
      <c r="AER143" s="18"/>
      <c r="AES143" s="18"/>
      <c r="AET143" s="18"/>
      <c r="AEU143" s="18"/>
      <c r="AEV143" s="18"/>
      <c r="AEW143" s="18"/>
      <c r="AEX143" s="18"/>
      <c r="AEY143" s="18"/>
      <c r="AEZ143" s="18"/>
      <c r="AFA143" s="18"/>
      <c r="AFB143" s="18"/>
      <c r="AFC143" s="18"/>
      <c r="AFD143" s="18"/>
      <c r="AFE143" s="18"/>
      <c r="AFF143" s="18"/>
      <c r="AFG143" s="18"/>
      <c r="AFH143" s="18"/>
      <c r="AFI143" s="18"/>
      <c r="AFJ143" s="18"/>
      <c r="AFK143" s="18"/>
      <c r="AFL143" s="18"/>
      <c r="AFM143" s="18"/>
      <c r="AFN143" s="18"/>
      <c r="AFO143" s="18"/>
      <c r="AFP143" s="18"/>
      <c r="AFQ143" s="18"/>
      <c r="AFR143" s="18"/>
      <c r="AFS143" s="18"/>
      <c r="AFT143" s="18"/>
      <c r="AFU143" s="18"/>
      <c r="AFV143" s="18"/>
      <c r="AFW143" s="18"/>
      <c r="AFX143" s="18"/>
      <c r="AFY143" s="18"/>
      <c r="AFZ143" s="18"/>
      <c r="AGA143" s="18"/>
      <c r="AGB143" s="18"/>
      <c r="AGC143" s="18"/>
      <c r="AGD143" s="18"/>
      <c r="AGE143" s="18"/>
      <c r="AGF143" s="18"/>
      <c r="AGG143" s="18"/>
      <c r="AGH143" s="18"/>
      <c r="AGI143" s="18"/>
      <c r="AGJ143" s="18"/>
      <c r="AGK143" s="18"/>
      <c r="AGL143" s="18"/>
      <c r="AGM143" s="18"/>
      <c r="AGN143" s="18"/>
      <c r="AGO143" s="18"/>
      <c r="AGP143" s="18"/>
      <c r="AGQ143" s="18"/>
      <c r="AGR143" s="18"/>
      <c r="AGS143" s="18"/>
      <c r="AGT143" s="18"/>
      <c r="AGU143" s="18"/>
      <c r="AGV143" s="18"/>
      <c r="AGW143" s="18"/>
      <c r="AGX143" s="18"/>
      <c r="AGY143" s="18"/>
      <c r="AGZ143" s="18"/>
      <c r="AHA143" s="18"/>
      <c r="AHB143" s="18"/>
      <c r="AHC143" s="18"/>
      <c r="AHD143" s="18"/>
      <c r="AHE143" s="18"/>
      <c r="AHF143" s="18"/>
      <c r="AHG143" s="18"/>
      <c r="AHH143" s="18"/>
      <c r="AHI143" s="18"/>
      <c r="AHJ143" s="18"/>
      <c r="AHK143" s="18"/>
      <c r="AHL143" s="18"/>
      <c r="AHM143" s="18"/>
      <c r="AHN143" s="18"/>
      <c r="AHO143" s="18"/>
      <c r="AHP143" s="18"/>
      <c r="AHQ143" s="18"/>
      <c r="AHR143" s="18"/>
      <c r="AHS143" s="18"/>
      <c r="AHT143" s="18"/>
      <c r="AHU143" s="18"/>
      <c r="AHV143" s="18"/>
      <c r="AHW143" s="18"/>
      <c r="AHX143" s="18"/>
      <c r="AHY143" s="18"/>
      <c r="AHZ143" s="18"/>
      <c r="AIA143" s="18"/>
      <c r="AIB143" s="18"/>
      <c r="AIC143" s="18"/>
      <c r="AID143" s="18"/>
      <c r="AIE143" s="18"/>
      <c r="AIF143" s="18"/>
      <c r="AIG143" s="18"/>
      <c r="AIH143" s="18"/>
      <c r="AII143" s="18"/>
      <c r="AIJ143" s="18"/>
      <c r="AIK143" s="18"/>
      <c r="AIL143" s="18"/>
      <c r="AIM143" s="18"/>
      <c r="AIN143" s="18"/>
      <c r="AIO143" s="18"/>
      <c r="AIP143" s="18"/>
      <c r="AIQ143" s="18"/>
      <c r="AIR143" s="18"/>
      <c r="AIS143" s="18"/>
      <c r="AIT143" s="18"/>
      <c r="AIU143" s="18"/>
      <c r="AIV143" s="18"/>
      <c r="AIW143" s="18"/>
      <c r="AIX143" s="18"/>
      <c r="AIY143" s="18"/>
      <c r="AIZ143" s="18"/>
      <c r="AJA143" s="18"/>
      <c r="AJB143" s="18"/>
      <c r="AJC143" s="18"/>
      <c r="AJD143" s="18"/>
      <c r="AJE143" s="18"/>
      <c r="AJF143" s="18"/>
      <c r="AJG143" s="18"/>
      <c r="AJH143" s="18"/>
      <c r="AJI143" s="18"/>
      <c r="AJJ143" s="18"/>
      <c r="AJK143" s="18"/>
      <c r="AJL143" s="18"/>
      <c r="AJM143" s="18"/>
      <c r="AJN143" s="18"/>
      <c r="AJO143" s="18"/>
      <c r="AJP143" s="18"/>
      <c r="AJQ143" s="18"/>
      <c r="AJR143" s="18"/>
      <c r="AJS143" s="18"/>
      <c r="AJT143" s="18"/>
      <c r="AJU143" s="18"/>
      <c r="AJV143" s="18"/>
      <c r="AJW143" s="18"/>
      <c r="AJX143" s="18"/>
      <c r="AJY143" s="18"/>
      <c r="AJZ143" s="18"/>
      <c r="AKA143" s="18"/>
      <c r="AKB143" s="18"/>
      <c r="AKC143" s="18"/>
      <c r="AKD143" s="18"/>
      <c r="AKE143" s="18"/>
      <c r="AKF143" s="18"/>
      <c r="AKG143" s="18"/>
      <c r="AKH143" s="18"/>
      <c r="AKI143" s="18"/>
      <c r="AKJ143" s="18"/>
      <c r="AKK143" s="18"/>
      <c r="AKL143" s="18"/>
      <c r="AKM143" s="18"/>
      <c r="AKN143" s="18"/>
      <c r="AKO143" s="18"/>
      <c r="AKP143" s="18"/>
      <c r="AKQ143" s="18"/>
      <c r="AKR143" s="18"/>
      <c r="AKS143" s="18"/>
      <c r="AKT143" s="18"/>
      <c r="AKU143" s="18"/>
      <c r="AKV143" s="18"/>
      <c r="AKW143" s="18"/>
      <c r="AKX143" s="18"/>
      <c r="AKY143" s="18"/>
      <c r="AKZ143" s="18"/>
      <c r="ALA143" s="18"/>
      <c r="ALB143" s="18"/>
      <c r="ALC143" s="18"/>
      <c r="ALD143" s="18"/>
      <c r="ALE143" s="18"/>
      <c r="ALF143" s="18"/>
      <c r="ALG143" s="18"/>
      <c r="ALH143" s="18"/>
      <c r="ALI143" s="18"/>
      <c r="ALJ143" s="18"/>
      <c r="ALK143" s="18"/>
      <c r="ALL143" s="18"/>
      <c r="ALM143" s="18"/>
      <c r="ALN143" s="18"/>
      <c r="ALO143" s="18"/>
      <c r="ALP143" s="18"/>
      <c r="ALQ143" s="18"/>
      <c r="ALR143" s="18"/>
      <c r="ALS143" s="18"/>
      <c r="ALT143" s="18"/>
      <c r="ALU143" s="18"/>
      <c r="ALV143" s="18"/>
      <c r="ALW143" s="18"/>
      <c r="ALX143" s="18"/>
      <c r="ALY143" s="18"/>
      <c r="ALZ143" s="18"/>
      <c r="AMA143" s="18"/>
      <c r="AMB143" s="18"/>
      <c r="AMC143" s="18"/>
      <c r="AMD143" s="18"/>
      <c r="AME143" s="18"/>
      <c r="AMF143" s="18"/>
      <c r="AMG143" s="18"/>
      <c r="AMH143" s="18"/>
    </row>
    <row r="144" spans="1:1022" s="23" customFormat="1" x14ac:dyDescent="0.3">
      <c r="A144" s="33">
        <v>240</v>
      </c>
      <c r="B144" s="19"/>
      <c r="C144" s="19"/>
      <c r="D144" s="34"/>
      <c r="E144" s="34"/>
      <c r="F144" s="19"/>
      <c r="G144" s="19"/>
      <c r="H144" s="18"/>
      <c r="I144" s="31"/>
      <c r="J144" s="31"/>
      <c r="K144" s="31"/>
      <c r="L144" s="31"/>
      <c r="M144" s="32"/>
      <c r="N144" s="32"/>
      <c r="O144" s="18"/>
      <c r="P144" s="36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18"/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  <c r="AW144" s="18"/>
      <c r="AX144" s="18"/>
      <c r="AY144" s="18"/>
      <c r="AZ144" s="18"/>
      <c r="BA144" s="18"/>
      <c r="BB144" s="18"/>
      <c r="BC144" s="18"/>
      <c r="BD144" s="18"/>
      <c r="BE144" s="18"/>
      <c r="BF144" s="18"/>
      <c r="BG144" s="18"/>
      <c r="BH144" s="18"/>
      <c r="BI144" s="18"/>
      <c r="BJ144" s="18"/>
      <c r="BK144" s="18"/>
      <c r="BL144" s="18"/>
      <c r="BM144" s="18"/>
      <c r="BN144" s="18"/>
      <c r="BO144" s="18"/>
      <c r="BP144" s="18"/>
      <c r="BQ144" s="18"/>
      <c r="BR144" s="18"/>
      <c r="BS144" s="18"/>
      <c r="BT144" s="18"/>
      <c r="BU144" s="18"/>
      <c r="BV144" s="18"/>
      <c r="BW144" s="18"/>
      <c r="BX144" s="18"/>
      <c r="BY144" s="18"/>
      <c r="BZ144" s="18"/>
      <c r="CA144" s="18"/>
      <c r="CB144" s="18"/>
      <c r="CC144" s="18"/>
      <c r="CD144" s="18"/>
      <c r="CE144" s="18"/>
      <c r="CF144" s="18"/>
      <c r="CG144" s="18"/>
      <c r="CH144" s="18"/>
      <c r="CI144" s="18"/>
      <c r="CJ144" s="18"/>
      <c r="CK144" s="18"/>
      <c r="CL144" s="18"/>
      <c r="CM144" s="18"/>
      <c r="CN144" s="18"/>
      <c r="CO144" s="18"/>
      <c r="CP144" s="18"/>
      <c r="CQ144" s="18"/>
      <c r="CR144" s="18"/>
      <c r="CS144" s="18"/>
      <c r="CT144" s="18"/>
      <c r="CU144" s="18"/>
      <c r="CV144" s="18"/>
      <c r="CW144" s="18"/>
      <c r="CX144" s="18"/>
      <c r="CY144" s="18"/>
      <c r="CZ144" s="18"/>
      <c r="DA144" s="18"/>
      <c r="DB144" s="18"/>
      <c r="DC144" s="18"/>
      <c r="DD144" s="18"/>
      <c r="DE144" s="18"/>
      <c r="DF144" s="18"/>
      <c r="DG144" s="18"/>
      <c r="DH144" s="18"/>
      <c r="DI144" s="18"/>
      <c r="DJ144" s="18"/>
      <c r="DK144" s="18"/>
      <c r="DL144" s="18"/>
      <c r="DM144" s="18"/>
      <c r="DN144" s="18"/>
      <c r="DO144" s="18"/>
      <c r="DP144" s="18"/>
      <c r="DQ144" s="18"/>
      <c r="DR144" s="18"/>
      <c r="DS144" s="18"/>
      <c r="DT144" s="18"/>
      <c r="DU144" s="18"/>
      <c r="DV144" s="18"/>
      <c r="DW144" s="18"/>
      <c r="DX144" s="18"/>
      <c r="DY144" s="18"/>
      <c r="DZ144" s="18"/>
      <c r="EA144" s="18"/>
      <c r="EB144" s="18"/>
      <c r="EC144" s="18"/>
      <c r="ED144" s="18"/>
      <c r="EE144" s="18"/>
      <c r="EF144" s="18"/>
      <c r="EG144" s="18"/>
      <c r="EH144" s="18"/>
      <c r="EI144" s="18"/>
      <c r="EJ144" s="18"/>
      <c r="EK144" s="18"/>
      <c r="EL144" s="18"/>
      <c r="EM144" s="18"/>
      <c r="EN144" s="18"/>
      <c r="EO144" s="18"/>
      <c r="EP144" s="18"/>
      <c r="EQ144" s="18"/>
      <c r="ER144" s="18"/>
      <c r="ES144" s="18"/>
      <c r="ET144" s="18"/>
      <c r="EU144" s="18"/>
      <c r="EV144" s="18"/>
      <c r="EW144" s="18"/>
      <c r="EX144" s="18"/>
      <c r="EY144" s="18"/>
      <c r="EZ144" s="18"/>
      <c r="FA144" s="18"/>
      <c r="FB144" s="18"/>
      <c r="FC144" s="18"/>
      <c r="FD144" s="18"/>
      <c r="FE144" s="18"/>
      <c r="FF144" s="18"/>
      <c r="FG144" s="18"/>
      <c r="FH144" s="18"/>
      <c r="FI144" s="18"/>
      <c r="FJ144" s="18"/>
      <c r="FK144" s="18"/>
      <c r="FL144" s="18"/>
      <c r="FM144" s="18"/>
      <c r="FN144" s="18"/>
      <c r="FO144" s="18"/>
      <c r="FP144" s="18"/>
      <c r="FQ144" s="18"/>
      <c r="FR144" s="18"/>
      <c r="FS144" s="18"/>
      <c r="FT144" s="18"/>
      <c r="FU144" s="18"/>
      <c r="FV144" s="18"/>
      <c r="FW144" s="18"/>
      <c r="FX144" s="18"/>
      <c r="FY144" s="18"/>
      <c r="FZ144" s="18"/>
      <c r="GA144" s="18"/>
      <c r="GB144" s="18"/>
      <c r="GC144" s="18"/>
      <c r="GD144" s="18"/>
      <c r="GE144" s="18"/>
      <c r="GF144" s="18"/>
      <c r="GG144" s="18"/>
      <c r="GH144" s="18"/>
      <c r="GI144" s="18"/>
      <c r="GJ144" s="18"/>
      <c r="GK144" s="18"/>
      <c r="GL144" s="18"/>
      <c r="GM144" s="18"/>
      <c r="GN144" s="18"/>
      <c r="GO144" s="18"/>
      <c r="GP144" s="18"/>
      <c r="GQ144" s="18"/>
      <c r="GR144" s="18"/>
      <c r="GS144" s="18"/>
      <c r="GT144" s="18"/>
      <c r="GU144" s="18"/>
      <c r="GV144" s="18"/>
      <c r="GW144" s="18"/>
      <c r="GX144" s="18"/>
      <c r="GY144" s="18"/>
      <c r="GZ144" s="18"/>
      <c r="HA144" s="18"/>
      <c r="HB144" s="18"/>
      <c r="HC144" s="18"/>
      <c r="HD144" s="18"/>
      <c r="HE144" s="18"/>
      <c r="HF144" s="18"/>
      <c r="HG144" s="18"/>
      <c r="HH144" s="18"/>
      <c r="HI144" s="18"/>
      <c r="HJ144" s="18"/>
      <c r="HK144" s="18"/>
      <c r="HL144" s="18"/>
      <c r="HM144" s="18"/>
      <c r="HN144" s="18"/>
      <c r="HO144" s="18"/>
      <c r="HP144" s="18"/>
      <c r="HQ144" s="18"/>
      <c r="HR144" s="18"/>
      <c r="HS144" s="18"/>
      <c r="HT144" s="18"/>
      <c r="HU144" s="18"/>
      <c r="HV144" s="18"/>
      <c r="HW144" s="18"/>
      <c r="HX144" s="18"/>
      <c r="HY144" s="18"/>
      <c r="HZ144" s="18"/>
      <c r="IA144" s="18"/>
      <c r="IB144" s="18"/>
      <c r="IC144" s="18"/>
      <c r="ID144" s="18"/>
      <c r="IE144" s="18"/>
      <c r="IF144" s="18"/>
      <c r="IG144" s="18"/>
      <c r="IH144" s="18"/>
      <c r="II144" s="18"/>
      <c r="IJ144" s="18"/>
      <c r="IK144" s="18"/>
      <c r="IL144" s="18"/>
      <c r="IM144" s="18"/>
      <c r="IN144" s="18"/>
      <c r="IO144" s="18"/>
      <c r="IP144" s="18"/>
      <c r="IQ144" s="18"/>
      <c r="IR144" s="18"/>
      <c r="IS144" s="18"/>
      <c r="IT144" s="18"/>
      <c r="IU144" s="18"/>
      <c r="IV144" s="18"/>
      <c r="IW144" s="18"/>
      <c r="IX144" s="18"/>
      <c r="IY144" s="18"/>
      <c r="IZ144" s="18"/>
      <c r="JA144" s="18"/>
      <c r="JB144" s="18"/>
      <c r="JC144" s="18"/>
      <c r="JD144" s="18"/>
      <c r="JE144" s="18"/>
      <c r="JF144" s="18"/>
      <c r="JG144" s="18"/>
      <c r="JH144" s="18"/>
      <c r="JI144" s="18"/>
      <c r="JJ144" s="18"/>
      <c r="JK144" s="18"/>
      <c r="JL144" s="18"/>
      <c r="JM144" s="18"/>
      <c r="JN144" s="18"/>
      <c r="JO144" s="18"/>
      <c r="JP144" s="18"/>
      <c r="JQ144" s="18"/>
      <c r="JR144" s="18"/>
      <c r="JS144" s="18"/>
      <c r="JT144" s="18"/>
      <c r="JU144" s="18"/>
      <c r="JV144" s="18"/>
      <c r="JW144" s="18"/>
      <c r="JX144" s="18"/>
      <c r="JY144" s="18"/>
      <c r="JZ144" s="18"/>
      <c r="KA144" s="18"/>
      <c r="KB144" s="18"/>
      <c r="KC144" s="18"/>
      <c r="KD144" s="18"/>
      <c r="KE144" s="18"/>
      <c r="KF144" s="18"/>
      <c r="KG144" s="18"/>
      <c r="KH144" s="18"/>
      <c r="KI144" s="18"/>
      <c r="KJ144" s="18"/>
      <c r="KK144" s="18"/>
      <c r="KL144" s="18"/>
      <c r="KM144" s="18"/>
      <c r="KN144" s="18"/>
      <c r="KO144" s="18"/>
      <c r="KP144" s="18"/>
      <c r="KQ144" s="18"/>
      <c r="KR144" s="18"/>
      <c r="KS144" s="18"/>
      <c r="KT144" s="18"/>
      <c r="KU144" s="18"/>
      <c r="KV144" s="18"/>
      <c r="KW144" s="18"/>
      <c r="KX144" s="18"/>
      <c r="KY144" s="18"/>
      <c r="KZ144" s="18"/>
      <c r="LA144" s="18"/>
      <c r="LB144" s="18"/>
      <c r="LC144" s="18"/>
      <c r="LD144" s="18"/>
      <c r="LE144" s="18"/>
      <c r="LF144" s="18"/>
      <c r="LG144" s="18"/>
      <c r="LH144" s="18"/>
      <c r="LI144" s="18"/>
      <c r="LJ144" s="18"/>
      <c r="LK144" s="18"/>
      <c r="LL144" s="18"/>
      <c r="LM144" s="18"/>
      <c r="LN144" s="18"/>
      <c r="LO144" s="18"/>
      <c r="LP144" s="18"/>
      <c r="LQ144" s="18"/>
      <c r="LR144" s="18"/>
      <c r="LS144" s="18"/>
      <c r="LT144" s="18"/>
      <c r="LU144" s="18"/>
      <c r="LV144" s="18"/>
      <c r="LW144" s="18"/>
      <c r="LX144" s="18"/>
      <c r="LY144" s="18"/>
      <c r="LZ144" s="18"/>
      <c r="MA144" s="18"/>
      <c r="MB144" s="18"/>
      <c r="MC144" s="18"/>
      <c r="MD144" s="18"/>
      <c r="ME144" s="18"/>
      <c r="MF144" s="18"/>
      <c r="MG144" s="18"/>
      <c r="MH144" s="18"/>
      <c r="MI144" s="18"/>
      <c r="MJ144" s="18"/>
      <c r="MK144" s="18"/>
      <c r="ML144" s="18"/>
      <c r="MM144" s="18"/>
      <c r="MN144" s="18"/>
      <c r="MO144" s="18"/>
      <c r="MP144" s="18"/>
      <c r="MQ144" s="18"/>
      <c r="MR144" s="18"/>
      <c r="MS144" s="18"/>
      <c r="MT144" s="18"/>
      <c r="MU144" s="18"/>
      <c r="MV144" s="18"/>
      <c r="MW144" s="18"/>
      <c r="MX144" s="18"/>
      <c r="MY144" s="18"/>
      <c r="MZ144" s="18"/>
      <c r="NA144" s="18"/>
      <c r="NB144" s="18"/>
      <c r="NC144" s="18"/>
      <c r="ND144" s="18"/>
      <c r="NE144" s="18"/>
      <c r="NF144" s="18"/>
      <c r="NG144" s="18"/>
      <c r="NH144" s="18"/>
      <c r="NI144" s="18"/>
      <c r="NJ144" s="18"/>
      <c r="NK144" s="18"/>
      <c r="NL144" s="18"/>
      <c r="NM144" s="18"/>
      <c r="NN144" s="18"/>
      <c r="NO144" s="18"/>
      <c r="NP144" s="18"/>
      <c r="NQ144" s="18"/>
      <c r="NR144" s="18"/>
      <c r="NS144" s="18"/>
      <c r="NT144" s="18"/>
      <c r="NU144" s="18"/>
      <c r="NV144" s="18"/>
      <c r="NW144" s="18"/>
      <c r="NX144" s="18"/>
      <c r="NY144" s="18"/>
      <c r="NZ144" s="18"/>
      <c r="OA144" s="18"/>
      <c r="OB144" s="18"/>
      <c r="OC144" s="18"/>
      <c r="OD144" s="18"/>
      <c r="OE144" s="18"/>
      <c r="OF144" s="18"/>
      <c r="OG144" s="18"/>
      <c r="OH144" s="18"/>
      <c r="OI144" s="18"/>
      <c r="OJ144" s="18"/>
      <c r="OK144" s="18"/>
      <c r="OL144" s="18"/>
      <c r="OM144" s="18"/>
      <c r="ON144" s="18"/>
      <c r="OO144" s="18"/>
      <c r="OP144" s="18"/>
      <c r="OQ144" s="18"/>
      <c r="OR144" s="18"/>
      <c r="OS144" s="18"/>
      <c r="OT144" s="18"/>
      <c r="OU144" s="18"/>
      <c r="OV144" s="18"/>
      <c r="OW144" s="18"/>
      <c r="OX144" s="18"/>
      <c r="OY144" s="18"/>
      <c r="OZ144" s="18"/>
      <c r="PA144" s="18"/>
      <c r="PB144" s="18"/>
      <c r="PC144" s="18"/>
      <c r="PD144" s="18"/>
      <c r="PE144" s="18"/>
      <c r="PF144" s="18"/>
      <c r="PG144" s="18"/>
      <c r="PH144" s="18"/>
      <c r="PI144" s="18"/>
      <c r="PJ144" s="18"/>
      <c r="PK144" s="18"/>
      <c r="PL144" s="18"/>
      <c r="PM144" s="18"/>
      <c r="PN144" s="18"/>
      <c r="PO144" s="18"/>
      <c r="PP144" s="18"/>
      <c r="PQ144" s="18"/>
      <c r="PR144" s="18"/>
      <c r="PS144" s="18"/>
      <c r="PT144" s="18"/>
      <c r="PU144" s="18"/>
      <c r="PV144" s="18"/>
      <c r="PW144" s="18"/>
      <c r="PX144" s="18"/>
      <c r="PY144" s="18"/>
      <c r="PZ144" s="18"/>
      <c r="QA144" s="18"/>
      <c r="QB144" s="18"/>
      <c r="QC144" s="18"/>
      <c r="QD144" s="18"/>
      <c r="QE144" s="18"/>
      <c r="QF144" s="18"/>
      <c r="QG144" s="18"/>
      <c r="QH144" s="18"/>
      <c r="QI144" s="18"/>
      <c r="QJ144" s="18"/>
      <c r="QK144" s="18"/>
      <c r="QL144" s="18"/>
      <c r="QM144" s="18"/>
      <c r="QN144" s="18"/>
      <c r="QO144" s="18"/>
      <c r="QP144" s="18"/>
      <c r="QQ144" s="18"/>
      <c r="QR144" s="18"/>
      <c r="QS144" s="18"/>
      <c r="QT144" s="18"/>
      <c r="QU144" s="18"/>
      <c r="QV144" s="18"/>
      <c r="QW144" s="18"/>
      <c r="QX144" s="18"/>
      <c r="QY144" s="18"/>
      <c r="QZ144" s="18"/>
      <c r="RA144" s="18"/>
      <c r="RB144" s="18"/>
      <c r="RC144" s="18"/>
      <c r="RD144" s="18"/>
      <c r="RE144" s="18"/>
      <c r="RF144" s="18"/>
      <c r="RG144" s="18"/>
      <c r="RH144" s="18"/>
      <c r="RI144" s="18"/>
      <c r="RJ144" s="18"/>
      <c r="RK144" s="18"/>
      <c r="RL144" s="18"/>
      <c r="RM144" s="18"/>
      <c r="RN144" s="18"/>
      <c r="RO144" s="18"/>
      <c r="RP144" s="18"/>
      <c r="RQ144" s="18"/>
      <c r="RR144" s="18"/>
      <c r="RS144" s="18"/>
      <c r="RT144" s="18"/>
      <c r="RU144" s="18"/>
      <c r="RV144" s="18"/>
      <c r="RW144" s="18"/>
      <c r="RX144" s="18"/>
      <c r="RY144" s="18"/>
      <c r="RZ144" s="18"/>
      <c r="SA144" s="18"/>
      <c r="SB144" s="18"/>
      <c r="SC144" s="18"/>
      <c r="SD144" s="18"/>
      <c r="SE144" s="18"/>
      <c r="SF144" s="18"/>
      <c r="SG144" s="18"/>
      <c r="SH144" s="18"/>
      <c r="SI144" s="18"/>
      <c r="SJ144" s="18"/>
      <c r="SK144" s="18"/>
      <c r="SL144" s="18"/>
      <c r="SM144" s="18"/>
      <c r="SN144" s="18"/>
      <c r="SO144" s="18"/>
      <c r="SP144" s="18"/>
      <c r="SQ144" s="18"/>
      <c r="SR144" s="18"/>
      <c r="SS144" s="18"/>
      <c r="ST144" s="18"/>
      <c r="SU144" s="18"/>
      <c r="SV144" s="18"/>
      <c r="SW144" s="18"/>
      <c r="SX144" s="18"/>
      <c r="SY144" s="18"/>
      <c r="SZ144" s="18"/>
      <c r="TA144" s="18"/>
      <c r="TB144" s="18"/>
      <c r="TC144" s="18"/>
      <c r="TD144" s="18"/>
      <c r="TE144" s="18"/>
      <c r="TF144" s="18"/>
      <c r="TG144" s="18"/>
      <c r="TH144" s="18"/>
      <c r="TI144" s="18"/>
      <c r="TJ144" s="18"/>
      <c r="TK144" s="18"/>
      <c r="TL144" s="18"/>
      <c r="TM144" s="18"/>
      <c r="TN144" s="18"/>
      <c r="TO144" s="18"/>
      <c r="TP144" s="18"/>
      <c r="TQ144" s="18"/>
      <c r="TR144" s="18"/>
      <c r="TS144" s="18"/>
      <c r="TT144" s="18"/>
      <c r="TU144" s="18"/>
      <c r="TV144" s="18"/>
      <c r="TW144" s="18"/>
      <c r="TX144" s="18"/>
      <c r="TY144" s="18"/>
      <c r="TZ144" s="18"/>
      <c r="UA144" s="18"/>
      <c r="UB144" s="18"/>
      <c r="UC144" s="18"/>
      <c r="UD144" s="18"/>
      <c r="UE144" s="18"/>
      <c r="UF144" s="18"/>
      <c r="UG144" s="18"/>
      <c r="UH144" s="18"/>
      <c r="UI144" s="18"/>
      <c r="UJ144" s="18"/>
      <c r="UK144" s="18"/>
      <c r="UL144" s="18"/>
      <c r="UM144" s="18"/>
      <c r="UN144" s="18"/>
      <c r="UO144" s="18"/>
      <c r="UP144" s="18"/>
      <c r="UQ144" s="18"/>
      <c r="UR144" s="18"/>
      <c r="US144" s="18"/>
      <c r="UT144" s="18"/>
      <c r="UU144" s="18"/>
      <c r="UV144" s="18"/>
      <c r="UW144" s="18"/>
      <c r="UX144" s="18"/>
      <c r="UY144" s="18"/>
      <c r="UZ144" s="18"/>
      <c r="VA144" s="18"/>
      <c r="VB144" s="18"/>
      <c r="VC144" s="18"/>
      <c r="VD144" s="18"/>
      <c r="VE144" s="18"/>
      <c r="VF144" s="18"/>
      <c r="VG144" s="18"/>
      <c r="VH144" s="18"/>
      <c r="VI144" s="18"/>
      <c r="VJ144" s="18"/>
      <c r="VK144" s="18"/>
      <c r="VL144" s="18"/>
      <c r="VM144" s="18"/>
      <c r="VN144" s="18"/>
      <c r="VO144" s="18"/>
      <c r="VP144" s="18"/>
      <c r="VQ144" s="18"/>
      <c r="VR144" s="18"/>
      <c r="VS144" s="18"/>
      <c r="VT144" s="18"/>
      <c r="VU144" s="18"/>
      <c r="VV144" s="18"/>
      <c r="VW144" s="18"/>
      <c r="VX144" s="18"/>
      <c r="VY144" s="18"/>
      <c r="VZ144" s="18"/>
      <c r="WA144" s="18"/>
      <c r="WB144" s="18"/>
      <c r="WC144" s="18"/>
      <c r="WD144" s="18"/>
      <c r="WE144" s="18"/>
      <c r="WF144" s="18"/>
      <c r="WG144" s="18"/>
      <c r="WH144" s="18"/>
      <c r="WI144" s="18"/>
      <c r="WJ144" s="18"/>
      <c r="WK144" s="18"/>
      <c r="WL144" s="18"/>
      <c r="WM144" s="18"/>
      <c r="WN144" s="18"/>
      <c r="WO144" s="18"/>
      <c r="WP144" s="18"/>
      <c r="WQ144" s="18"/>
      <c r="WR144" s="18"/>
      <c r="WS144" s="18"/>
      <c r="WT144" s="18"/>
      <c r="WU144" s="18"/>
      <c r="WV144" s="18"/>
      <c r="WW144" s="18"/>
      <c r="WX144" s="18"/>
      <c r="WY144" s="18"/>
      <c r="WZ144" s="18"/>
      <c r="XA144" s="18"/>
      <c r="XB144" s="18"/>
      <c r="XC144" s="18"/>
      <c r="XD144" s="18"/>
      <c r="XE144" s="18"/>
      <c r="XF144" s="18"/>
      <c r="XG144" s="18"/>
      <c r="XH144" s="18"/>
      <c r="XI144" s="18"/>
      <c r="XJ144" s="18"/>
      <c r="XK144" s="18"/>
      <c r="XL144" s="18"/>
      <c r="XM144" s="18"/>
      <c r="XN144" s="18"/>
      <c r="XO144" s="18"/>
      <c r="XP144" s="18"/>
      <c r="XQ144" s="18"/>
      <c r="XR144" s="18"/>
      <c r="XS144" s="18"/>
      <c r="XT144" s="18"/>
      <c r="XU144" s="18"/>
      <c r="XV144" s="18"/>
      <c r="XW144" s="18"/>
      <c r="XX144" s="18"/>
      <c r="XY144" s="18"/>
      <c r="XZ144" s="18"/>
      <c r="YA144" s="18"/>
      <c r="YB144" s="18"/>
      <c r="YC144" s="18"/>
      <c r="YD144" s="18"/>
      <c r="YE144" s="18"/>
      <c r="YF144" s="18"/>
      <c r="YG144" s="18"/>
      <c r="YH144" s="18"/>
      <c r="YI144" s="18"/>
      <c r="YJ144" s="18"/>
      <c r="YK144" s="18"/>
      <c r="YL144" s="18"/>
      <c r="YM144" s="18"/>
      <c r="YN144" s="18"/>
      <c r="YO144" s="18"/>
      <c r="YP144" s="18"/>
      <c r="YQ144" s="18"/>
      <c r="YR144" s="18"/>
      <c r="YS144" s="18"/>
      <c r="YT144" s="18"/>
      <c r="YU144" s="18"/>
      <c r="YV144" s="18"/>
      <c r="YW144" s="18"/>
      <c r="YX144" s="18"/>
      <c r="YY144" s="18"/>
      <c r="YZ144" s="18"/>
      <c r="ZA144" s="18"/>
      <c r="ZB144" s="18"/>
      <c r="ZC144" s="18"/>
      <c r="ZD144" s="18"/>
      <c r="ZE144" s="18"/>
      <c r="ZF144" s="18"/>
      <c r="ZG144" s="18"/>
      <c r="ZH144" s="18"/>
      <c r="ZI144" s="18"/>
      <c r="ZJ144" s="18"/>
      <c r="ZK144" s="18"/>
      <c r="ZL144" s="18"/>
      <c r="ZM144" s="18"/>
      <c r="ZN144" s="18"/>
      <c r="ZO144" s="18"/>
      <c r="ZP144" s="18"/>
      <c r="ZQ144" s="18"/>
      <c r="ZR144" s="18"/>
      <c r="ZS144" s="18"/>
      <c r="ZT144" s="18"/>
      <c r="ZU144" s="18"/>
      <c r="ZV144" s="18"/>
      <c r="ZW144" s="18"/>
      <c r="ZX144" s="18"/>
      <c r="ZY144" s="18"/>
      <c r="ZZ144" s="18"/>
      <c r="AAA144" s="18"/>
      <c r="AAB144" s="18"/>
      <c r="AAC144" s="18"/>
      <c r="AAD144" s="18"/>
      <c r="AAE144" s="18"/>
      <c r="AAF144" s="18"/>
      <c r="AAG144" s="18"/>
      <c r="AAH144" s="18"/>
      <c r="AAI144" s="18"/>
      <c r="AAJ144" s="18"/>
      <c r="AAK144" s="18"/>
      <c r="AAL144" s="18"/>
      <c r="AAM144" s="18"/>
      <c r="AAN144" s="18"/>
      <c r="AAO144" s="18"/>
      <c r="AAP144" s="18"/>
      <c r="AAQ144" s="18"/>
      <c r="AAR144" s="18"/>
      <c r="AAS144" s="18"/>
      <c r="AAT144" s="18"/>
      <c r="AAU144" s="18"/>
      <c r="AAV144" s="18"/>
      <c r="AAW144" s="18"/>
      <c r="AAX144" s="18"/>
      <c r="AAY144" s="18"/>
      <c r="AAZ144" s="18"/>
      <c r="ABA144" s="18"/>
      <c r="ABB144" s="18"/>
      <c r="ABC144" s="18"/>
      <c r="ABD144" s="18"/>
      <c r="ABE144" s="18"/>
      <c r="ABF144" s="18"/>
      <c r="ABG144" s="18"/>
      <c r="ABH144" s="18"/>
      <c r="ABI144" s="18"/>
      <c r="ABJ144" s="18"/>
      <c r="ABK144" s="18"/>
      <c r="ABL144" s="18"/>
      <c r="ABM144" s="18"/>
      <c r="ABN144" s="18"/>
      <c r="ABO144" s="18"/>
      <c r="ABP144" s="18"/>
      <c r="ABQ144" s="18"/>
      <c r="ABR144" s="18"/>
      <c r="ABS144" s="18"/>
      <c r="ABT144" s="18"/>
      <c r="ABU144" s="18"/>
      <c r="ABV144" s="18"/>
      <c r="ABW144" s="18"/>
      <c r="ABX144" s="18"/>
      <c r="ABY144" s="18"/>
      <c r="ABZ144" s="18"/>
      <c r="ACA144" s="18"/>
      <c r="ACB144" s="18"/>
      <c r="ACC144" s="18"/>
      <c r="ACD144" s="18"/>
      <c r="ACE144" s="18"/>
      <c r="ACF144" s="18"/>
      <c r="ACG144" s="18"/>
      <c r="ACH144" s="18"/>
      <c r="ACI144" s="18"/>
      <c r="ACJ144" s="18"/>
      <c r="ACK144" s="18"/>
      <c r="ACL144" s="18"/>
      <c r="ACM144" s="18"/>
      <c r="ACN144" s="18"/>
      <c r="ACO144" s="18"/>
      <c r="ACP144" s="18"/>
      <c r="ACQ144" s="18"/>
      <c r="ACR144" s="18"/>
      <c r="ACS144" s="18"/>
      <c r="ACT144" s="18"/>
      <c r="ACU144" s="18"/>
      <c r="ACV144" s="18"/>
      <c r="ACW144" s="18"/>
      <c r="ACX144" s="18"/>
      <c r="ACY144" s="18"/>
      <c r="ACZ144" s="18"/>
      <c r="ADA144" s="18"/>
      <c r="ADB144" s="18"/>
      <c r="ADC144" s="18"/>
      <c r="ADD144" s="18"/>
      <c r="ADE144" s="18"/>
      <c r="ADF144" s="18"/>
      <c r="ADG144" s="18"/>
      <c r="ADH144" s="18"/>
      <c r="ADI144" s="18"/>
      <c r="ADJ144" s="18"/>
      <c r="ADK144" s="18"/>
      <c r="ADL144" s="18"/>
      <c r="ADM144" s="18"/>
      <c r="ADN144" s="18"/>
      <c r="ADO144" s="18"/>
      <c r="ADP144" s="18"/>
      <c r="ADQ144" s="18"/>
      <c r="ADR144" s="18"/>
      <c r="ADS144" s="18"/>
      <c r="ADT144" s="18"/>
      <c r="ADU144" s="18"/>
      <c r="ADV144" s="18"/>
      <c r="ADW144" s="18"/>
      <c r="ADX144" s="18"/>
      <c r="ADY144" s="18"/>
      <c r="ADZ144" s="18"/>
      <c r="AEA144" s="18"/>
      <c r="AEB144" s="18"/>
      <c r="AEC144" s="18"/>
      <c r="AED144" s="18"/>
      <c r="AEE144" s="18"/>
      <c r="AEF144" s="18"/>
      <c r="AEG144" s="18"/>
      <c r="AEH144" s="18"/>
      <c r="AEI144" s="18"/>
      <c r="AEJ144" s="18"/>
      <c r="AEK144" s="18"/>
      <c r="AEL144" s="18"/>
      <c r="AEM144" s="18"/>
      <c r="AEN144" s="18"/>
      <c r="AEO144" s="18"/>
      <c r="AEP144" s="18"/>
      <c r="AEQ144" s="18"/>
      <c r="AER144" s="18"/>
      <c r="AES144" s="18"/>
      <c r="AET144" s="18"/>
      <c r="AEU144" s="18"/>
      <c r="AEV144" s="18"/>
      <c r="AEW144" s="18"/>
      <c r="AEX144" s="18"/>
      <c r="AEY144" s="18"/>
      <c r="AEZ144" s="18"/>
      <c r="AFA144" s="18"/>
      <c r="AFB144" s="18"/>
      <c r="AFC144" s="18"/>
      <c r="AFD144" s="18"/>
      <c r="AFE144" s="18"/>
      <c r="AFF144" s="18"/>
      <c r="AFG144" s="18"/>
      <c r="AFH144" s="18"/>
      <c r="AFI144" s="18"/>
      <c r="AFJ144" s="18"/>
      <c r="AFK144" s="18"/>
      <c r="AFL144" s="18"/>
      <c r="AFM144" s="18"/>
      <c r="AFN144" s="18"/>
      <c r="AFO144" s="18"/>
      <c r="AFP144" s="18"/>
      <c r="AFQ144" s="18"/>
      <c r="AFR144" s="18"/>
      <c r="AFS144" s="18"/>
      <c r="AFT144" s="18"/>
      <c r="AFU144" s="18"/>
      <c r="AFV144" s="18"/>
      <c r="AFW144" s="18"/>
      <c r="AFX144" s="18"/>
      <c r="AFY144" s="18"/>
      <c r="AFZ144" s="18"/>
      <c r="AGA144" s="18"/>
      <c r="AGB144" s="18"/>
      <c r="AGC144" s="18"/>
      <c r="AGD144" s="18"/>
      <c r="AGE144" s="18"/>
      <c r="AGF144" s="18"/>
      <c r="AGG144" s="18"/>
      <c r="AGH144" s="18"/>
      <c r="AGI144" s="18"/>
      <c r="AGJ144" s="18"/>
      <c r="AGK144" s="18"/>
      <c r="AGL144" s="18"/>
      <c r="AGM144" s="18"/>
      <c r="AGN144" s="18"/>
      <c r="AGO144" s="18"/>
      <c r="AGP144" s="18"/>
      <c r="AGQ144" s="18"/>
      <c r="AGR144" s="18"/>
      <c r="AGS144" s="18"/>
      <c r="AGT144" s="18"/>
      <c r="AGU144" s="18"/>
      <c r="AGV144" s="18"/>
      <c r="AGW144" s="18"/>
      <c r="AGX144" s="18"/>
      <c r="AGY144" s="18"/>
      <c r="AGZ144" s="18"/>
      <c r="AHA144" s="18"/>
      <c r="AHB144" s="18"/>
      <c r="AHC144" s="18"/>
      <c r="AHD144" s="18"/>
      <c r="AHE144" s="18"/>
      <c r="AHF144" s="18"/>
      <c r="AHG144" s="18"/>
      <c r="AHH144" s="18"/>
      <c r="AHI144" s="18"/>
      <c r="AHJ144" s="18"/>
      <c r="AHK144" s="18"/>
      <c r="AHL144" s="18"/>
      <c r="AHM144" s="18"/>
      <c r="AHN144" s="18"/>
      <c r="AHO144" s="18"/>
      <c r="AHP144" s="18"/>
      <c r="AHQ144" s="18"/>
      <c r="AHR144" s="18"/>
      <c r="AHS144" s="18"/>
      <c r="AHT144" s="18"/>
      <c r="AHU144" s="18"/>
      <c r="AHV144" s="18"/>
      <c r="AHW144" s="18"/>
      <c r="AHX144" s="18"/>
      <c r="AHY144" s="18"/>
      <c r="AHZ144" s="18"/>
      <c r="AIA144" s="18"/>
      <c r="AIB144" s="18"/>
      <c r="AIC144" s="18"/>
      <c r="AID144" s="18"/>
      <c r="AIE144" s="18"/>
      <c r="AIF144" s="18"/>
      <c r="AIG144" s="18"/>
      <c r="AIH144" s="18"/>
      <c r="AII144" s="18"/>
      <c r="AIJ144" s="18"/>
      <c r="AIK144" s="18"/>
      <c r="AIL144" s="18"/>
      <c r="AIM144" s="18"/>
      <c r="AIN144" s="18"/>
      <c r="AIO144" s="18"/>
      <c r="AIP144" s="18"/>
      <c r="AIQ144" s="18"/>
      <c r="AIR144" s="18"/>
      <c r="AIS144" s="18"/>
      <c r="AIT144" s="18"/>
      <c r="AIU144" s="18"/>
      <c r="AIV144" s="18"/>
      <c r="AIW144" s="18"/>
      <c r="AIX144" s="18"/>
      <c r="AIY144" s="18"/>
      <c r="AIZ144" s="18"/>
      <c r="AJA144" s="18"/>
      <c r="AJB144" s="18"/>
      <c r="AJC144" s="18"/>
      <c r="AJD144" s="18"/>
      <c r="AJE144" s="18"/>
      <c r="AJF144" s="18"/>
      <c r="AJG144" s="18"/>
      <c r="AJH144" s="18"/>
      <c r="AJI144" s="18"/>
      <c r="AJJ144" s="18"/>
      <c r="AJK144" s="18"/>
      <c r="AJL144" s="18"/>
      <c r="AJM144" s="18"/>
      <c r="AJN144" s="18"/>
      <c r="AJO144" s="18"/>
      <c r="AJP144" s="18"/>
      <c r="AJQ144" s="18"/>
      <c r="AJR144" s="18"/>
      <c r="AJS144" s="18"/>
      <c r="AJT144" s="18"/>
      <c r="AJU144" s="18"/>
      <c r="AJV144" s="18"/>
      <c r="AJW144" s="18"/>
      <c r="AJX144" s="18"/>
      <c r="AJY144" s="18"/>
      <c r="AJZ144" s="18"/>
      <c r="AKA144" s="18"/>
      <c r="AKB144" s="18"/>
      <c r="AKC144" s="18"/>
      <c r="AKD144" s="18"/>
      <c r="AKE144" s="18"/>
      <c r="AKF144" s="18"/>
      <c r="AKG144" s="18"/>
      <c r="AKH144" s="18"/>
      <c r="AKI144" s="18"/>
      <c r="AKJ144" s="18"/>
      <c r="AKK144" s="18"/>
      <c r="AKL144" s="18"/>
      <c r="AKM144" s="18"/>
      <c r="AKN144" s="18"/>
      <c r="AKO144" s="18"/>
      <c r="AKP144" s="18"/>
      <c r="AKQ144" s="18"/>
      <c r="AKR144" s="18"/>
      <c r="AKS144" s="18"/>
      <c r="AKT144" s="18"/>
      <c r="AKU144" s="18"/>
      <c r="AKV144" s="18"/>
      <c r="AKW144" s="18"/>
      <c r="AKX144" s="18"/>
      <c r="AKY144" s="18"/>
      <c r="AKZ144" s="18"/>
      <c r="ALA144" s="18"/>
      <c r="ALB144" s="18"/>
      <c r="ALC144" s="18"/>
      <c r="ALD144" s="18"/>
      <c r="ALE144" s="18"/>
      <c r="ALF144" s="18"/>
      <c r="ALG144" s="18"/>
      <c r="ALH144" s="18"/>
      <c r="ALI144" s="18"/>
      <c r="ALJ144" s="18"/>
      <c r="ALK144" s="18"/>
      <c r="ALL144" s="18"/>
      <c r="ALM144" s="18"/>
      <c r="ALN144" s="18"/>
      <c r="ALO144" s="18"/>
      <c r="ALP144" s="18"/>
      <c r="ALQ144" s="18"/>
      <c r="ALR144" s="18"/>
      <c r="ALS144" s="18"/>
      <c r="ALT144" s="18"/>
      <c r="ALU144" s="18"/>
      <c r="ALV144" s="18"/>
      <c r="ALW144" s="18"/>
      <c r="ALX144" s="18"/>
      <c r="ALY144" s="18"/>
      <c r="ALZ144" s="18"/>
      <c r="AMA144" s="18"/>
      <c r="AMB144" s="18"/>
      <c r="AMC144" s="18"/>
      <c r="AMD144" s="18"/>
      <c r="AME144" s="18"/>
      <c r="AMF144" s="18"/>
      <c r="AMG144" s="18"/>
      <c r="AMH144" s="18"/>
    </row>
    <row r="145" spans="1:1025" x14ac:dyDescent="0.3">
      <c r="A145" s="33">
        <v>241</v>
      </c>
      <c r="B145" s="19"/>
      <c r="C145" s="19"/>
      <c r="D145" s="34"/>
      <c r="E145" s="34"/>
      <c r="F145" s="19"/>
      <c r="G145" s="19"/>
      <c r="I145" s="31"/>
      <c r="J145" s="31"/>
      <c r="K145" s="31"/>
      <c r="L145" s="31"/>
      <c r="M145" s="32"/>
      <c r="N145" s="32"/>
      <c r="P145" s="36"/>
      <c r="AMI145" s="23"/>
      <c r="AMJ145" s="23"/>
      <c r="AMK145" s="23"/>
    </row>
    <row r="146" spans="1:1025" x14ac:dyDescent="0.3">
      <c r="A146" s="33">
        <v>242</v>
      </c>
      <c r="B146" s="19"/>
      <c r="C146" s="19"/>
      <c r="D146" s="34"/>
      <c r="E146" s="34"/>
      <c r="F146" s="19"/>
      <c r="G146" s="19"/>
      <c r="I146" s="31"/>
      <c r="J146" s="31"/>
      <c r="K146" s="31"/>
      <c r="L146" s="31"/>
      <c r="M146" s="32"/>
      <c r="N146" s="32"/>
      <c r="P146" s="36"/>
      <c r="AMI146" s="23"/>
      <c r="AMJ146" s="23"/>
      <c r="AMK146" s="23"/>
    </row>
    <row r="147" spans="1:1025" x14ac:dyDescent="0.3">
      <c r="A147" s="33">
        <v>243</v>
      </c>
      <c r="B147" s="19"/>
      <c r="C147" s="19"/>
      <c r="D147" s="34"/>
      <c r="E147" s="34"/>
      <c r="F147" s="19"/>
      <c r="G147" s="19"/>
      <c r="I147" s="31"/>
      <c r="J147" s="31"/>
      <c r="K147" s="31"/>
      <c r="L147" s="31"/>
      <c r="M147" s="32"/>
      <c r="N147" s="32"/>
      <c r="P147" s="36"/>
      <c r="AMI147" s="23"/>
      <c r="AMJ147" s="23"/>
      <c r="AMK147" s="23"/>
    </row>
    <row r="148" spans="1:1025" ht="15" thickBot="1" x14ac:dyDescent="0.35">
      <c r="A148" s="33">
        <v>244</v>
      </c>
      <c r="B148" s="50"/>
      <c r="C148" s="50"/>
      <c r="D148" s="51"/>
      <c r="E148" s="51"/>
      <c r="F148" s="50"/>
      <c r="G148" s="50"/>
      <c r="I148" s="49"/>
      <c r="J148" s="49"/>
      <c r="K148" s="49"/>
      <c r="L148" s="49"/>
      <c r="M148" s="52"/>
      <c r="N148" s="52"/>
      <c r="O148" s="53"/>
      <c r="P148" s="54"/>
      <c r="AMI148" s="23"/>
      <c r="AMJ148" s="23"/>
      <c r="AMK148" s="23"/>
    </row>
    <row r="149" spans="1:1025" ht="15" thickTop="1" x14ac:dyDescent="0.3"/>
  </sheetData>
  <autoFilter ref="H4:P72" xr:uid="{00000000-0009-0000-0000-000001000000}">
    <filterColumn colId="6" showButton="0"/>
    <filterColumn colId="7" showButton="0"/>
  </autoFilter>
  <mergeCells count="3">
    <mergeCell ref="A1:S1"/>
    <mergeCell ref="H3:R3"/>
    <mergeCell ref="N4:P4"/>
  </mergeCells>
  <pageMargins left="0.70000000000000007" right="0.70000000000000007" top="1.1437007874015752" bottom="1.1437007874015752" header="0.75000000000000011" footer="0.75000000000000011"/>
  <pageSetup paperSize="9" fitToWidth="0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G52"/>
  <sheetViews>
    <sheetView zoomScale="120" zoomScaleNormal="120" workbookViewId="0">
      <pane xSplit="3" ySplit="2" topLeftCell="D6" activePane="bottomRight" state="frozen"/>
      <selection pane="topRight" activeCell="D1" sqref="D1"/>
      <selection pane="bottomLeft" activeCell="A3" sqref="A3"/>
      <selection pane="bottomRight" activeCell="C28" sqref="C28"/>
    </sheetView>
  </sheetViews>
  <sheetFormatPr baseColWidth="10" defaultColWidth="9" defaultRowHeight="14.4" x14ac:dyDescent="0.3"/>
  <cols>
    <col min="1" max="1" width="9.5546875" style="65" customWidth="1"/>
    <col min="2" max="2" width="12.6640625" style="65" customWidth="1"/>
    <col min="3" max="3" width="54.44140625" style="74" customWidth="1"/>
    <col min="4" max="4" width="54.44140625" style="65" customWidth="1"/>
    <col min="5" max="5" width="9" style="65"/>
    <col min="6" max="6" width="41.5546875" style="65" bestFit="1" customWidth="1"/>
    <col min="7" max="7" width="3.6640625" style="65" customWidth="1"/>
    <col min="8" max="16384" width="9" style="65"/>
  </cols>
  <sheetData>
    <row r="1" spans="1:7" ht="15" customHeight="1" x14ac:dyDescent="0.3">
      <c r="A1" s="299" t="s">
        <v>187</v>
      </c>
      <c r="B1" s="299"/>
      <c r="C1" s="299"/>
      <c r="D1" s="68"/>
      <c r="E1" s="75">
        <f>SUM(E3:E52)</f>
        <v>814</v>
      </c>
    </row>
    <row r="2" spans="1:7" ht="28.8" x14ac:dyDescent="0.3">
      <c r="A2" s="69"/>
      <c r="B2" s="69" t="s">
        <v>188</v>
      </c>
      <c r="C2" s="70" t="s">
        <v>189</v>
      </c>
      <c r="D2" s="69"/>
      <c r="E2" s="67" t="s">
        <v>563</v>
      </c>
      <c r="F2" s="63"/>
      <c r="G2" s="63"/>
    </row>
    <row r="3" spans="1:7" x14ac:dyDescent="0.3">
      <c r="A3" s="63"/>
      <c r="B3" s="61">
        <v>1</v>
      </c>
      <c r="C3" s="64" t="s">
        <v>190</v>
      </c>
      <c r="D3" s="63" t="s">
        <v>520</v>
      </c>
      <c r="E3" s="63">
        <f>COUNTIF('Machine park -  BTB 24.04.26'!$C$3:$C$816,B3)</f>
        <v>272</v>
      </c>
      <c r="F3" s="63" t="s">
        <v>1163</v>
      </c>
      <c r="G3" s="63" t="s">
        <v>1160</v>
      </c>
    </row>
    <row r="4" spans="1:7" x14ac:dyDescent="0.3">
      <c r="A4" s="63"/>
      <c r="B4" s="61">
        <v>2</v>
      </c>
      <c r="C4" s="64" t="s">
        <v>191</v>
      </c>
      <c r="D4" s="63" t="s">
        <v>521</v>
      </c>
      <c r="E4" s="63">
        <f>COUNTIF('Machine park -  BTB 24.04.26'!$C$3:$C$816,B4)</f>
        <v>94</v>
      </c>
      <c r="F4" s="63" t="s">
        <v>1163</v>
      </c>
      <c r="G4" s="63" t="s">
        <v>1160</v>
      </c>
    </row>
    <row r="5" spans="1:7" x14ac:dyDescent="0.3">
      <c r="A5" s="63"/>
      <c r="B5" s="61">
        <v>3</v>
      </c>
      <c r="C5" s="64" t="s">
        <v>192</v>
      </c>
      <c r="D5" s="63" t="s">
        <v>522</v>
      </c>
      <c r="E5" s="63">
        <f>COUNTIF('Machine park -  BTB 24.04.26'!$C$3:$C$816,B5)</f>
        <v>7</v>
      </c>
      <c r="F5" s="63" t="s">
        <v>1058</v>
      </c>
      <c r="G5" s="63" t="s">
        <v>1161</v>
      </c>
    </row>
    <row r="6" spans="1:7" x14ac:dyDescent="0.3">
      <c r="A6" s="63"/>
      <c r="B6" s="61">
        <v>4</v>
      </c>
      <c r="C6" s="64" t="s">
        <v>213</v>
      </c>
      <c r="D6" s="63" t="s">
        <v>523</v>
      </c>
      <c r="E6" s="63">
        <f>COUNTIF('Machine park -  BTB 24.04.26'!$C$3:$C$816,B6)</f>
        <v>7</v>
      </c>
      <c r="F6" s="63" t="s">
        <v>1058</v>
      </c>
      <c r="G6" s="63" t="s">
        <v>1161</v>
      </c>
    </row>
    <row r="7" spans="1:7" x14ac:dyDescent="0.3">
      <c r="A7" s="63"/>
      <c r="B7" s="61">
        <v>5</v>
      </c>
      <c r="C7" s="64" t="s">
        <v>212</v>
      </c>
      <c r="D7" s="63" t="s">
        <v>403</v>
      </c>
      <c r="E7" s="63">
        <f>COUNTIF('Machine park -  BTB 24.04.26'!$C$3:$C$816,B7)</f>
        <v>19</v>
      </c>
      <c r="F7" s="63" t="s">
        <v>1151</v>
      </c>
      <c r="G7" s="63" t="s">
        <v>1162</v>
      </c>
    </row>
    <row r="8" spans="1:7" x14ac:dyDescent="0.3">
      <c r="A8" s="63"/>
      <c r="B8" s="61">
        <v>6</v>
      </c>
      <c r="C8" s="64" t="s">
        <v>115</v>
      </c>
      <c r="D8" s="63" t="s">
        <v>404</v>
      </c>
      <c r="E8" s="63">
        <f>COUNTIF('Machine park -  BTB 24.04.26'!$C$3:$C$816,B8)</f>
        <v>13</v>
      </c>
      <c r="F8" s="63" t="s">
        <v>1151</v>
      </c>
      <c r="G8" s="63" t="s">
        <v>1162</v>
      </c>
    </row>
    <row r="9" spans="1:7" x14ac:dyDescent="0.3">
      <c r="A9" s="63"/>
      <c r="B9" s="61">
        <v>7</v>
      </c>
      <c r="C9" s="64" t="s">
        <v>193</v>
      </c>
      <c r="D9" s="63" t="s">
        <v>524</v>
      </c>
      <c r="E9" s="63">
        <f>COUNTIF('Machine park -  BTB 24.04.26'!$C$3:$C$816,B9)</f>
        <v>13</v>
      </c>
      <c r="F9" s="63" t="s">
        <v>1058</v>
      </c>
      <c r="G9" s="63" t="s">
        <v>1161</v>
      </c>
    </row>
    <row r="10" spans="1:7" x14ac:dyDescent="0.3">
      <c r="A10" s="63"/>
      <c r="B10" s="61">
        <v>8</v>
      </c>
      <c r="C10" s="64" t="s">
        <v>194</v>
      </c>
      <c r="D10" s="63" t="s">
        <v>525</v>
      </c>
      <c r="E10" s="63">
        <f>COUNTIF('Machine park -  BTB 24.04.26'!$C$3:$C$816,B10)</f>
        <v>36</v>
      </c>
      <c r="F10" s="63" t="s">
        <v>1151</v>
      </c>
      <c r="G10" s="63" t="s">
        <v>1162</v>
      </c>
    </row>
    <row r="11" spans="1:7" x14ac:dyDescent="0.3">
      <c r="A11" s="63"/>
      <c r="B11" s="61">
        <v>9</v>
      </c>
      <c r="C11" s="64" t="s">
        <v>195</v>
      </c>
      <c r="D11" s="63" t="s">
        <v>526</v>
      </c>
      <c r="E11" s="63">
        <f>COUNTIF('Machine park -  BTB 24.04.26'!$C$3:$C$816,B11)</f>
        <v>27</v>
      </c>
      <c r="F11" s="63" t="s">
        <v>1151</v>
      </c>
      <c r="G11" s="63" t="s">
        <v>1162</v>
      </c>
    </row>
    <row r="12" spans="1:7" x14ac:dyDescent="0.3">
      <c r="A12" s="63"/>
      <c r="B12" s="61">
        <v>10</v>
      </c>
      <c r="C12" s="64" t="s">
        <v>43</v>
      </c>
      <c r="D12" s="63" t="s">
        <v>527</v>
      </c>
      <c r="E12" s="63">
        <f>COUNTIF('Machine park -  BTB 24.04.26'!$C$3:$C$816,B12)</f>
        <v>12</v>
      </c>
      <c r="F12" s="63" t="s">
        <v>1151</v>
      </c>
      <c r="G12" s="63" t="s">
        <v>1162</v>
      </c>
    </row>
    <row r="13" spans="1:7" x14ac:dyDescent="0.3">
      <c r="A13" s="63"/>
      <c r="B13" s="61">
        <v>11</v>
      </c>
      <c r="C13" s="64" t="s">
        <v>196</v>
      </c>
      <c r="D13" s="63" t="s">
        <v>528</v>
      </c>
      <c r="E13" s="63">
        <f>COUNTIF('Machine park -  BTB 24.04.26'!$C$3:$C$816,B13)</f>
        <v>16</v>
      </c>
      <c r="F13" s="63" t="s">
        <v>1058</v>
      </c>
      <c r="G13" s="63" t="s">
        <v>1161</v>
      </c>
    </row>
    <row r="14" spans="1:7" x14ac:dyDescent="0.3">
      <c r="A14" s="63"/>
      <c r="B14" s="61">
        <v>12</v>
      </c>
      <c r="C14" s="64" t="s">
        <v>197</v>
      </c>
      <c r="D14" s="63" t="s">
        <v>529</v>
      </c>
      <c r="E14" s="63">
        <f>COUNTIF('Machine park -  BTB 24.04.26'!$C$3:$C$816,B14)</f>
        <v>6</v>
      </c>
      <c r="F14" s="63" t="s">
        <v>1151</v>
      </c>
      <c r="G14" s="63" t="s">
        <v>1162</v>
      </c>
    </row>
    <row r="15" spans="1:7" x14ac:dyDescent="0.3">
      <c r="A15" s="63"/>
      <c r="B15" s="61">
        <v>13</v>
      </c>
      <c r="C15" s="64" t="s">
        <v>198</v>
      </c>
      <c r="D15" s="63" t="s">
        <v>530</v>
      </c>
      <c r="E15" s="63">
        <f>COUNTIF('Machine park -  BTB 24.04.26'!$C$3:$C$816,B15)</f>
        <v>1</v>
      </c>
      <c r="F15" s="63" t="s">
        <v>1058</v>
      </c>
      <c r="G15" s="63" t="s">
        <v>1161</v>
      </c>
    </row>
    <row r="16" spans="1:7" x14ac:dyDescent="0.3">
      <c r="A16" s="63"/>
      <c r="B16" s="61">
        <v>14</v>
      </c>
      <c r="C16" s="64" t="s">
        <v>199</v>
      </c>
      <c r="D16" s="63" t="s">
        <v>531</v>
      </c>
      <c r="E16" s="63">
        <f>COUNTIF('Machine park -  BTB 24.04.26'!$C$3:$C$816,B16)</f>
        <v>1</v>
      </c>
      <c r="F16" s="63" t="s">
        <v>1151</v>
      </c>
      <c r="G16" s="63" t="s">
        <v>1162</v>
      </c>
    </row>
    <row r="17" spans="1:7" x14ac:dyDescent="0.3">
      <c r="A17" s="63"/>
      <c r="B17" s="61">
        <v>15</v>
      </c>
      <c r="C17" s="64" t="s">
        <v>200</v>
      </c>
      <c r="D17" s="63" t="s">
        <v>532</v>
      </c>
      <c r="E17" s="63">
        <f>COUNTIF('Machine park -  BTB 24.04.26'!$C$3:$C$816,B17)</f>
        <v>3</v>
      </c>
      <c r="F17" s="63" t="s">
        <v>1151</v>
      </c>
      <c r="G17" s="63" t="s">
        <v>1162</v>
      </c>
    </row>
    <row r="18" spans="1:7" x14ac:dyDescent="0.3">
      <c r="A18" s="63"/>
      <c r="B18" s="61">
        <v>16</v>
      </c>
      <c r="C18" s="64" t="s">
        <v>201</v>
      </c>
      <c r="D18" s="63" t="s">
        <v>533</v>
      </c>
      <c r="E18" s="63">
        <f>COUNTIF('Machine park -  BTB 24.04.26'!$C$3:$C$816,B18)</f>
        <v>118</v>
      </c>
      <c r="F18" s="63" t="s">
        <v>1353</v>
      </c>
      <c r="G18" s="62" t="s">
        <v>1160</v>
      </c>
    </row>
    <row r="19" spans="1:7" x14ac:dyDescent="0.3">
      <c r="A19" s="63"/>
      <c r="B19" s="61">
        <v>17</v>
      </c>
      <c r="C19" s="64" t="s">
        <v>202</v>
      </c>
      <c r="D19" s="63" t="s">
        <v>534</v>
      </c>
      <c r="E19" s="63">
        <f>COUNTIF('Machine park -  BTB 24.04.26'!$C$3:$C$816,B19)</f>
        <v>24</v>
      </c>
      <c r="F19" s="63" t="s">
        <v>1353</v>
      </c>
      <c r="G19" s="62" t="s">
        <v>1162</v>
      </c>
    </row>
    <row r="20" spans="1:7" x14ac:dyDescent="0.3">
      <c r="A20" s="63"/>
      <c r="B20" s="61">
        <v>18</v>
      </c>
      <c r="C20" s="64" t="s">
        <v>1157</v>
      </c>
      <c r="D20" s="63" t="s">
        <v>535</v>
      </c>
      <c r="E20" s="63">
        <f>COUNTIF('Machine park -  BTB 24.04.26'!$C$3:$C$816,B20)</f>
        <v>21</v>
      </c>
      <c r="F20" s="63" t="s">
        <v>1353</v>
      </c>
      <c r="G20" s="62" t="s">
        <v>1160</v>
      </c>
    </row>
    <row r="21" spans="1:7" x14ac:dyDescent="0.3">
      <c r="A21" s="63"/>
      <c r="B21" s="61">
        <v>19</v>
      </c>
      <c r="C21" s="71" t="s">
        <v>69</v>
      </c>
      <c r="D21" s="72" t="s">
        <v>536</v>
      </c>
      <c r="E21" s="63">
        <f>COUNTIF('Machine park -  BTB 24.04.26'!$C$3:$C$816,B21)</f>
        <v>6</v>
      </c>
      <c r="F21" s="63" t="s">
        <v>1163</v>
      </c>
      <c r="G21" s="63" t="s">
        <v>1160</v>
      </c>
    </row>
    <row r="22" spans="1:7" x14ac:dyDescent="0.3">
      <c r="A22" s="63"/>
      <c r="B22" s="61">
        <v>20</v>
      </c>
      <c r="C22" s="64" t="s">
        <v>44</v>
      </c>
      <c r="D22" s="63" t="s">
        <v>537</v>
      </c>
      <c r="E22" s="63">
        <f>COUNTIF('Machine park -  BTB 24.04.26'!$C$3:$C$816,B22)</f>
        <v>5</v>
      </c>
      <c r="F22" s="63" t="s">
        <v>1163</v>
      </c>
      <c r="G22" s="63" t="s">
        <v>1160</v>
      </c>
    </row>
    <row r="23" spans="1:7" x14ac:dyDescent="0.3">
      <c r="A23" s="63"/>
      <c r="B23" s="61">
        <v>21</v>
      </c>
      <c r="C23" s="64" t="s">
        <v>203</v>
      </c>
      <c r="D23" s="63" t="s">
        <v>538</v>
      </c>
      <c r="E23" s="63">
        <f>COUNTIF('Machine park -  BTB 24.04.26'!$C$3:$C$816,B23)</f>
        <v>3</v>
      </c>
      <c r="F23" s="63" t="s">
        <v>1151</v>
      </c>
      <c r="G23" s="63" t="s">
        <v>1162</v>
      </c>
    </row>
    <row r="24" spans="1:7" x14ac:dyDescent="0.3">
      <c r="A24" s="63"/>
      <c r="B24" s="61">
        <v>22</v>
      </c>
      <c r="C24" s="64" t="s">
        <v>7</v>
      </c>
      <c r="D24" s="63" t="s">
        <v>539</v>
      </c>
      <c r="E24" s="63">
        <f>COUNTIF('Machine park -  BTB 24.04.26'!$C$3:$C$816,B24)</f>
        <v>1</v>
      </c>
      <c r="F24" s="63" t="s">
        <v>1151</v>
      </c>
      <c r="G24" s="63" t="s">
        <v>1162</v>
      </c>
    </row>
    <row r="25" spans="1:7" x14ac:dyDescent="0.3">
      <c r="A25" s="63"/>
      <c r="B25" s="61">
        <v>23</v>
      </c>
      <c r="C25" s="64" t="s">
        <v>114</v>
      </c>
      <c r="D25" s="63" t="s">
        <v>540</v>
      </c>
      <c r="E25" s="63">
        <f>COUNTIF('Machine park -  BTB 24.04.26'!$C$3:$C$816,B25)</f>
        <v>4</v>
      </c>
      <c r="F25" s="63" t="s">
        <v>1163</v>
      </c>
      <c r="G25" s="63" t="s">
        <v>1160</v>
      </c>
    </row>
    <row r="26" spans="1:7" x14ac:dyDescent="0.3">
      <c r="A26" s="63"/>
      <c r="B26" s="61">
        <v>24</v>
      </c>
      <c r="C26" s="64" t="s">
        <v>225</v>
      </c>
      <c r="D26" s="63" t="s">
        <v>541</v>
      </c>
      <c r="E26" s="63">
        <f>COUNTIF('Machine park -  BTB 24.04.26'!$C$3:$C$816,B26)</f>
        <v>9</v>
      </c>
      <c r="F26" s="63" t="s">
        <v>1163</v>
      </c>
      <c r="G26" s="63" t="s">
        <v>1160</v>
      </c>
    </row>
    <row r="27" spans="1:7" x14ac:dyDescent="0.3">
      <c r="A27" s="63"/>
      <c r="B27" s="61">
        <v>25</v>
      </c>
      <c r="C27" s="64" t="s">
        <v>214</v>
      </c>
      <c r="D27" s="63" t="s">
        <v>542</v>
      </c>
      <c r="E27" s="63">
        <f>COUNTIF('Machine park -  BTB 24.04.26'!$C$3:$C$816,B27)</f>
        <v>2</v>
      </c>
      <c r="F27" s="63" t="s">
        <v>1058</v>
      </c>
      <c r="G27" s="63" t="s">
        <v>1161</v>
      </c>
    </row>
    <row r="28" spans="1:7" x14ac:dyDescent="0.3">
      <c r="A28" s="63"/>
      <c r="B28" s="61">
        <v>26</v>
      </c>
      <c r="C28" s="64" t="s">
        <v>1354</v>
      </c>
      <c r="D28" s="63" t="s">
        <v>543</v>
      </c>
      <c r="E28" s="63">
        <f>COUNTIF('Machine park -  BTB 24.04.26'!$C$3:$C$816,B28)</f>
        <v>12</v>
      </c>
      <c r="F28" s="63" t="s">
        <v>1152</v>
      </c>
      <c r="G28" s="63"/>
    </row>
    <row r="29" spans="1:7" x14ac:dyDescent="0.3">
      <c r="A29" s="63"/>
      <c r="B29" s="61">
        <v>27</v>
      </c>
      <c r="C29" s="64" t="s">
        <v>204</v>
      </c>
      <c r="D29" s="63" t="s">
        <v>544</v>
      </c>
      <c r="E29" s="63">
        <f>COUNTIF('Machine park -  BTB 24.04.26'!$C$3:$C$816,B29)</f>
        <v>6</v>
      </c>
      <c r="F29" s="63" t="s">
        <v>1151</v>
      </c>
      <c r="G29" s="63" t="s">
        <v>1162</v>
      </c>
    </row>
    <row r="30" spans="1:7" x14ac:dyDescent="0.3">
      <c r="A30" s="63"/>
      <c r="B30" s="61">
        <v>28</v>
      </c>
      <c r="C30" s="64" t="s">
        <v>205</v>
      </c>
      <c r="D30" s="63" t="s">
        <v>545</v>
      </c>
      <c r="E30" s="63">
        <f>COUNTIF('Machine park -  BTB 24.04.26'!$C$3:$C$816,B30)</f>
        <v>9</v>
      </c>
      <c r="F30" s="63" t="s">
        <v>1058</v>
      </c>
      <c r="G30" s="63" t="s">
        <v>1161</v>
      </c>
    </row>
    <row r="31" spans="1:7" x14ac:dyDescent="0.3">
      <c r="A31" s="63"/>
      <c r="B31" s="61">
        <v>29</v>
      </c>
      <c r="C31" s="64" t="s">
        <v>206</v>
      </c>
      <c r="D31" s="63" t="s">
        <v>546</v>
      </c>
      <c r="E31" s="63">
        <f>COUNTIF('Machine park -  BTB 24.04.26'!$C$3:$C$816,B31)</f>
        <v>2</v>
      </c>
      <c r="F31" s="63" t="s">
        <v>1058</v>
      </c>
      <c r="G31" s="63" t="s">
        <v>1161</v>
      </c>
    </row>
    <row r="32" spans="1:7" x14ac:dyDescent="0.3">
      <c r="A32" s="63"/>
      <c r="B32" s="61">
        <v>30</v>
      </c>
      <c r="C32" s="64" t="s">
        <v>207</v>
      </c>
      <c r="D32" s="63" t="s">
        <v>547</v>
      </c>
      <c r="E32" s="63">
        <f>COUNTIF('Machine park -  BTB 24.04.26'!$C$3:$C$816,B32)</f>
        <v>4</v>
      </c>
      <c r="F32" s="63" t="s">
        <v>1058</v>
      </c>
      <c r="G32" s="63" t="s">
        <v>1161</v>
      </c>
    </row>
    <row r="33" spans="1:7" x14ac:dyDescent="0.3">
      <c r="A33" s="63"/>
      <c r="B33" s="61">
        <v>31</v>
      </c>
      <c r="C33" s="64" t="s">
        <v>208</v>
      </c>
      <c r="D33" s="63" t="s">
        <v>548</v>
      </c>
      <c r="E33" s="63">
        <f>COUNTIF('Machine park -  BTB 24.04.26'!$C$3:$C$816,B33)</f>
        <v>1</v>
      </c>
      <c r="F33" s="63" t="s">
        <v>1058</v>
      </c>
      <c r="G33" s="63" t="s">
        <v>1161</v>
      </c>
    </row>
    <row r="34" spans="1:7" x14ac:dyDescent="0.3">
      <c r="A34" s="63"/>
      <c r="B34" s="61">
        <v>32</v>
      </c>
      <c r="C34" s="64" t="s">
        <v>209</v>
      </c>
      <c r="D34" s="63" t="s">
        <v>549</v>
      </c>
      <c r="E34" s="63">
        <f>COUNTIF('Machine park -  BTB 24.04.26'!$C$3:$C$816,B34)</f>
        <v>1</v>
      </c>
      <c r="F34" s="63" t="s">
        <v>1151</v>
      </c>
      <c r="G34" s="63" t="s">
        <v>1162</v>
      </c>
    </row>
    <row r="35" spans="1:7" x14ac:dyDescent="0.3">
      <c r="A35" s="63"/>
      <c r="B35" s="61">
        <v>33</v>
      </c>
      <c r="C35" s="64" t="s">
        <v>1053</v>
      </c>
      <c r="D35" s="63" t="s">
        <v>898</v>
      </c>
      <c r="E35" s="63">
        <f>COUNTIF('Machine park -  BTB 24.04.26'!$C$3:$C$816,B35)</f>
        <v>12</v>
      </c>
      <c r="F35" s="63" t="s">
        <v>1158</v>
      </c>
      <c r="G35" s="63"/>
    </row>
    <row r="36" spans="1:7" x14ac:dyDescent="0.3">
      <c r="A36" s="63"/>
      <c r="B36" s="61">
        <v>34</v>
      </c>
      <c r="C36" s="64" t="s">
        <v>210</v>
      </c>
      <c r="D36" s="63" t="s">
        <v>550</v>
      </c>
      <c r="E36" s="63">
        <f>COUNTIF('Machine park -  BTB 24.04.26'!$C$3:$C$816,B36)</f>
        <v>3</v>
      </c>
      <c r="F36" s="63" t="s">
        <v>1158</v>
      </c>
      <c r="G36" s="63"/>
    </row>
    <row r="37" spans="1:7" x14ac:dyDescent="0.3">
      <c r="A37" s="63"/>
      <c r="B37" s="61">
        <v>36</v>
      </c>
      <c r="C37" s="64" t="s">
        <v>211</v>
      </c>
      <c r="D37" s="63" t="s">
        <v>551</v>
      </c>
      <c r="E37" s="63">
        <f>COUNTIF('Machine park -  BTB 24.04.26'!$C$3:$C$816,B37)</f>
        <v>2</v>
      </c>
      <c r="F37" s="63" t="s">
        <v>1152</v>
      </c>
      <c r="G37" s="63"/>
    </row>
    <row r="38" spans="1:7" x14ac:dyDescent="0.3">
      <c r="A38" s="63"/>
      <c r="B38" s="61">
        <v>37</v>
      </c>
      <c r="C38" s="64" t="s">
        <v>221</v>
      </c>
      <c r="D38" s="63" t="s">
        <v>552</v>
      </c>
      <c r="E38" s="63">
        <f>COUNTIF('Machine park -  BTB 24.04.26'!$C$3:$C$816,B38)</f>
        <v>7</v>
      </c>
      <c r="F38" s="63" t="s">
        <v>1163</v>
      </c>
      <c r="G38" s="63" t="s">
        <v>1160</v>
      </c>
    </row>
    <row r="39" spans="1:7" x14ac:dyDescent="0.3">
      <c r="A39" s="63"/>
      <c r="B39" s="61">
        <v>38</v>
      </c>
      <c r="C39" s="64" t="s">
        <v>264</v>
      </c>
      <c r="D39" s="63" t="s">
        <v>553</v>
      </c>
      <c r="E39" s="63">
        <f>COUNTIF('Machine park -  BTB 24.04.26'!$C$3:$C$816,B39)</f>
        <v>2</v>
      </c>
      <c r="F39" s="63" t="s">
        <v>1163</v>
      </c>
      <c r="G39" s="63" t="s">
        <v>1160</v>
      </c>
    </row>
    <row r="40" spans="1:7" ht="15.75" customHeight="1" x14ac:dyDescent="0.3">
      <c r="A40" s="73"/>
      <c r="B40" s="61">
        <v>40</v>
      </c>
      <c r="C40" s="64" t="s">
        <v>229</v>
      </c>
      <c r="D40" s="63" t="s">
        <v>554</v>
      </c>
      <c r="E40" s="63">
        <f>COUNTIF('Machine park -  BTB 24.04.26'!$C$3:$C$816,B40)</f>
        <v>0</v>
      </c>
      <c r="F40" s="63" t="s">
        <v>1152</v>
      </c>
      <c r="G40" s="63"/>
    </row>
    <row r="41" spans="1:7" ht="15.75" customHeight="1" x14ac:dyDescent="0.3">
      <c r="A41" s="73"/>
      <c r="B41" s="61">
        <v>42</v>
      </c>
      <c r="C41" s="64" t="s">
        <v>233</v>
      </c>
      <c r="D41" s="63" t="s">
        <v>555</v>
      </c>
      <c r="E41" s="63">
        <f>COUNTIF('Machine park -  BTB 24.04.26'!$C$3:$C$816,B41)</f>
        <v>13</v>
      </c>
      <c r="F41" s="63" t="s">
        <v>1151</v>
      </c>
      <c r="G41" s="63" t="s">
        <v>1162</v>
      </c>
    </row>
    <row r="42" spans="1:7" ht="15.75" customHeight="1" x14ac:dyDescent="0.3">
      <c r="A42" s="73"/>
      <c r="B42" s="61">
        <v>43</v>
      </c>
      <c r="C42" s="64" t="s">
        <v>243</v>
      </c>
      <c r="D42" s="63" t="s">
        <v>556</v>
      </c>
      <c r="E42" s="63">
        <f>COUNTIF('Machine park -  BTB 24.04.26'!$C$3:$C$816,B42)</f>
        <v>2</v>
      </c>
      <c r="F42" s="63" t="s">
        <v>1058</v>
      </c>
      <c r="G42" s="63" t="s">
        <v>1161</v>
      </c>
    </row>
    <row r="43" spans="1:7" ht="15.75" customHeight="1" x14ac:dyDescent="0.3">
      <c r="A43" s="73"/>
      <c r="B43" s="61">
        <v>45</v>
      </c>
      <c r="C43" s="64" t="s">
        <v>258</v>
      </c>
      <c r="D43" s="63" t="s">
        <v>557</v>
      </c>
      <c r="E43" s="63">
        <f>COUNTIF('Machine park -  BTB 24.04.26'!$C$3:$C$816,B43)</f>
        <v>2</v>
      </c>
      <c r="F43" s="63" t="s">
        <v>1058</v>
      </c>
      <c r="G43" s="63" t="s">
        <v>1161</v>
      </c>
    </row>
    <row r="44" spans="1:7" ht="15.75" customHeight="1" x14ac:dyDescent="0.3">
      <c r="A44" s="73"/>
      <c r="B44" s="61">
        <v>46</v>
      </c>
      <c r="C44" s="64" t="s">
        <v>230</v>
      </c>
      <c r="D44" s="63" t="s">
        <v>558</v>
      </c>
      <c r="E44" s="63">
        <f>COUNTIF('Machine park -  BTB 24.04.26'!$C$3:$C$816,B44)</f>
        <v>2</v>
      </c>
      <c r="F44" s="63" t="s">
        <v>1058</v>
      </c>
      <c r="G44" s="63" t="s">
        <v>1161</v>
      </c>
    </row>
    <row r="45" spans="1:7" ht="15.75" customHeight="1" x14ac:dyDescent="0.3">
      <c r="A45" s="73"/>
      <c r="B45" s="61">
        <v>48</v>
      </c>
      <c r="C45" s="64" t="s">
        <v>396</v>
      </c>
      <c r="D45" s="63" t="s">
        <v>559</v>
      </c>
      <c r="E45" s="63">
        <f>COUNTIF('Machine park -  BTB 24.04.26'!$C$3:$C$816,B45)</f>
        <v>1</v>
      </c>
      <c r="F45" s="63" t="s">
        <v>1058</v>
      </c>
      <c r="G45" s="63" t="s">
        <v>1161</v>
      </c>
    </row>
    <row r="46" spans="1:7" ht="15.75" customHeight="1" x14ac:dyDescent="0.3">
      <c r="A46" s="73"/>
      <c r="B46" s="61">
        <v>49</v>
      </c>
      <c r="C46" s="64" t="s">
        <v>587</v>
      </c>
      <c r="D46" s="63" t="s">
        <v>899</v>
      </c>
      <c r="E46" s="63">
        <f>COUNTIF('Machine park -  BTB 24.04.26'!$C$3:$C$816,B46)</f>
        <v>2</v>
      </c>
      <c r="F46" s="63" t="s">
        <v>1152</v>
      </c>
      <c r="G46" s="63"/>
    </row>
    <row r="47" spans="1:7" ht="15.75" customHeight="1" x14ac:dyDescent="0.3">
      <c r="A47" s="73"/>
      <c r="B47" s="61">
        <v>50</v>
      </c>
      <c r="C47" s="64" t="s">
        <v>588</v>
      </c>
      <c r="D47" s="63" t="s">
        <v>900</v>
      </c>
      <c r="E47" s="63">
        <f>COUNTIF('Machine park -  BTB 24.04.26'!$C$3:$C$816,B47)</f>
        <v>1</v>
      </c>
      <c r="F47" s="63" t="s">
        <v>1151</v>
      </c>
      <c r="G47" s="63" t="s">
        <v>1162</v>
      </c>
    </row>
    <row r="48" spans="1:7" ht="15.75" customHeight="1" x14ac:dyDescent="0.3">
      <c r="A48" s="73"/>
      <c r="B48" s="61">
        <v>51</v>
      </c>
      <c r="C48" s="64" t="s">
        <v>595</v>
      </c>
      <c r="D48" s="63" t="s">
        <v>901</v>
      </c>
      <c r="E48" s="63">
        <f>COUNTIF('Machine park -  BTB 24.04.26'!$C$3:$C$816,B48)</f>
        <v>2</v>
      </c>
      <c r="F48" s="63" t="s">
        <v>1163</v>
      </c>
      <c r="G48" s="63" t="s">
        <v>1160</v>
      </c>
    </row>
    <row r="49" spans="1:7" ht="15.75" customHeight="1" x14ac:dyDescent="0.3">
      <c r="A49" s="73"/>
      <c r="B49" s="61">
        <v>52</v>
      </c>
      <c r="C49" s="64" t="s">
        <v>617</v>
      </c>
      <c r="D49" s="63" t="s">
        <v>902</v>
      </c>
      <c r="E49" s="63">
        <f>COUNTIF('Machine park -  BTB 24.04.26'!$C$3:$C$816,B49)</f>
        <v>1</v>
      </c>
      <c r="F49" s="63" t="s">
        <v>1058</v>
      </c>
      <c r="G49" s="63" t="s">
        <v>1161</v>
      </c>
    </row>
    <row r="50" spans="1:7" ht="15.75" customHeight="1" x14ac:dyDescent="0.3">
      <c r="A50" s="73"/>
      <c r="B50" s="61">
        <v>53</v>
      </c>
      <c r="C50" s="64" t="s">
        <v>618</v>
      </c>
      <c r="D50" s="63" t="s">
        <v>903</v>
      </c>
      <c r="E50" s="63">
        <f>COUNTIF('Machine park -  BTB 24.04.26'!$C$3:$C$816,B50)</f>
        <v>1</v>
      </c>
      <c r="F50" s="63" t="s">
        <v>1152</v>
      </c>
      <c r="G50" s="63"/>
    </row>
    <row r="51" spans="1:7" ht="15.75" customHeight="1" x14ac:dyDescent="0.3">
      <c r="A51" s="73"/>
      <c r="B51" s="61">
        <v>54</v>
      </c>
      <c r="C51" s="64" t="s">
        <v>621</v>
      </c>
      <c r="D51" s="63" t="s">
        <v>904</v>
      </c>
      <c r="E51" s="63">
        <f>COUNTIF('Machine park -  BTB 24.04.26'!$C$3:$C$816,B51)</f>
        <v>3</v>
      </c>
      <c r="F51" s="63" t="s">
        <v>1058</v>
      </c>
      <c r="G51" s="63" t="s">
        <v>1161</v>
      </c>
    </row>
    <row r="52" spans="1:7" ht="15.75" customHeight="1" x14ac:dyDescent="0.3">
      <c r="A52" s="73"/>
      <c r="B52" s="61">
        <v>55</v>
      </c>
      <c r="C52" s="62" t="s">
        <v>1156</v>
      </c>
      <c r="D52" s="63"/>
      <c r="E52" s="63">
        <f>COUNTIF('Machine park -  BTB 24.04.26'!$C$3:$C$816,B52)</f>
        <v>3</v>
      </c>
      <c r="F52" s="63" t="s">
        <v>1158</v>
      </c>
      <c r="G52" s="63"/>
    </row>
  </sheetData>
  <sheetProtection selectLockedCells="1" selectUnlockedCells="1"/>
  <autoFilter ref="A2:G52" xr:uid="{00000000-0009-0000-0000-000002000000}"/>
  <mergeCells count="1">
    <mergeCell ref="A1:C1"/>
  </mergeCells>
  <pageMargins left="0.7" right="0.7" top="0.75" bottom="0.75" header="0.51180555555555551" footer="0.51180555555555551"/>
  <pageSetup paperSize="9" scale="85" firstPageNumber="0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59999389629810485"/>
    <pageSetUpPr fitToPage="1"/>
  </sheetPr>
  <dimension ref="A1:V1715"/>
  <sheetViews>
    <sheetView tabSelected="1" zoomScale="85" zoomScaleNormal="85" zoomScaleSheetLayoutView="110" workbookViewId="0">
      <pane xSplit="5" ySplit="2" topLeftCell="F3" activePane="bottomRight" state="frozen"/>
      <selection activeCell="G13" sqref="G13"/>
      <selection pane="topRight" activeCell="G13" sqref="G13"/>
      <selection pane="bottomLeft" activeCell="G13" sqref="G13"/>
      <selection pane="bottomRight" activeCell="E1" sqref="E1"/>
    </sheetView>
  </sheetViews>
  <sheetFormatPr baseColWidth="10" defaultColWidth="9.109375" defaultRowHeight="14.4" x14ac:dyDescent="0.3"/>
  <cols>
    <col min="1" max="1" width="4.88671875" style="113" customWidth="1"/>
    <col min="2" max="2" width="10" style="112" bestFit="1" customWidth="1"/>
    <col min="3" max="3" width="6.5546875" style="103" customWidth="1"/>
    <col min="4" max="4" width="3" style="103" customWidth="1"/>
    <col min="5" max="5" width="23.33203125" style="243" customWidth="1"/>
    <col min="6" max="6" width="23.44140625" style="249" customWidth="1"/>
    <col min="7" max="7" width="35.88671875" style="84" customWidth="1"/>
    <col min="8" max="8" width="53.109375" style="249" customWidth="1"/>
    <col min="9" max="9" width="20.6640625" style="249" customWidth="1"/>
    <col min="10" max="10" width="14.6640625" style="103" customWidth="1"/>
    <col min="11" max="16384" width="9.109375" style="114"/>
  </cols>
  <sheetData>
    <row r="1" spans="1:10" ht="60" customHeight="1" x14ac:dyDescent="0.3">
      <c r="A1" s="338"/>
      <c r="B1" s="338"/>
      <c r="C1" s="338"/>
      <c r="D1" s="338"/>
      <c r="E1" s="338"/>
      <c r="F1" s="338"/>
      <c r="G1" s="338"/>
      <c r="H1" s="338"/>
      <c r="I1" s="338"/>
      <c r="J1" s="338"/>
    </row>
    <row r="2" spans="1:10" s="116" customFormat="1" ht="68.400000000000006" customHeight="1" x14ac:dyDescent="0.3">
      <c r="A2" s="110" t="s">
        <v>2144</v>
      </c>
      <c r="B2" s="110" t="s">
        <v>2145</v>
      </c>
      <c r="C2" s="110" t="s">
        <v>2146</v>
      </c>
      <c r="D2" s="115" t="s">
        <v>2147</v>
      </c>
      <c r="E2" s="239" t="s">
        <v>2063</v>
      </c>
      <c r="F2" s="239" t="s">
        <v>2148</v>
      </c>
      <c r="G2" s="110" t="s">
        <v>1013</v>
      </c>
      <c r="H2" s="239" t="s">
        <v>2064</v>
      </c>
      <c r="I2" s="239" t="s">
        <v>2065</v>
      </c>
      <c r="J2" s="110" t="s">
        <v>2149</v>
      </c>
    </row>
    <row r="3" spans="1:10" ht="45" customHeight="1" x14ac:dyDescent="0.3">
      <c r="A3" s="117">
        <v>1</v>
      </c>
      <c r="B3" s="131">
        <v>87</v>
      </c>
      <c r="C3" s="111">
        <v>18</v>
      </c>
      <c r="D3" s="111">
        <v>4</v>
      </c>
      <c r="E3" s="240" t="s">
        <v>1611</v>
      </c>
      <c r="F3" s="243" t="s">
        <v>1637</v>
      </c>
      <c r="G3" s="117" t="s">
        <v>2070</v>
      </c>
      <c r="H3" s="245" t="s">
        <v>1808</v>
      </c>
      <c r="I3" s="245" t="s">
        <v>1813</v>
      </c>
      <c r="J3" s="120">
        <v>39357</v>
      </c>
    </row>
    <row r="4" spans="1:10" ht="30" customHeight="1" x14ac:dyDescent="0.3">
      <c r="A4" s="117">
        <v>2</v>
      </c>
      <c r="B4" s="131">
        <v>88</v>
      </c>
      <c r="C4" s="111">
        <v>16</v>
      </c>
      <c r="D4" s="111">
        <v>4</v>
      </c>
      <c r="E4" s="240" t="s">
        <v>1611</v>
      </c>
      <c r="F4" s="243" t="s">
        <v>533</v>
      </c>
      <c r="G4" s="117" t="s">
        <v>989</v>
      </c>
      <c r="H4" s="245" t="s">
        <v>989</v>
      </c>
      <c r="I4" s="245" t="s">
        <v>1943</v>
      </c>
      <c r="J4" s="120">
        <v>39357</v>
      </c>
    </row>
    <row r="5" spans="1:10" ht="45" customHeight="1" x14ac:dyDescent="0.3">
      <c r="A5" s="117">
        <v>3</v>
      </c>
      <c r="B5" s="131">
        <v>90</v>
      </c>
      <c r="C5" s="111">
        <v>16</v>
      </c>
      <c r="D5" s="111">
        <v>4</v>
      </c>
      <c r="E5" s="240" t="s">
        <v>1611</v>
      </c>
      <c r="F5" s="243" t="s">
        <v>533</v>
      </c>
      <c r="G5" s="117" t="s">
        <v>990</v>
      </c>
      <c r="H5" s="245" t="s">
        <v>1685</v>
      </c>
      <c r="I5" s="245" t="s">
        <v>2071</v>
      </c>
      <c r="J5" s="120">
        <v>39357</v>
      </c>
    </row>
    <row r="6" spans="1:10" ht="60" customHeight="1" x14ac:dyDescent="0.3">
      <c r="A6" s="117">
        <v>4</v>
      </c>
      <c r="B6" s="131">
        <v>103</v>
      </c>
      <c r="C6" s="111">
        <v>9</v>
      </c>
      <c r="D6" s="111">
        <v>2</v>
      </c>
      <c r="E6" s="241" t="s">
        <v>1613</v>
      </c>
      <c r="F6" s="243" t="s">
        <v>526</v>
      </c>
      <c r="G6" s="117" t="s">
        <v>991</v>
      </c>
      <c r="H6" s="245" t="s">
        <v>1821</v>
      </c>
      <c r="I6" s="245" t="s">
        <v>2072</v>
      </c>
      <c r="J6" s="111"/>
    </row>
    <row r="7" spans="1:10" ht="45" customHeight="1" x14ac:dyDescent="0.3">
      <c r="A7" s="117">
        <v>5</v>
      </c>
      <c r="B7" s="131">
        <v>108</v>
      </c>
      <c r="C7" s="111">
        <v>1</v>
      </c>
      <c r="D7" s="111">
        <v>1</v>
      </c>
      <c r="E7" s="242" t="s">
        <v>1614</v>
      </c>
      <c r="F7" s="243" t="s">
        <v>1627</v>
      </c>
      <c r="G7" s="117" t="s">
        <v>992</v>
      </c>
      <c r="H7" s="245" t="s">
        <v>1760</v>
      </c>
      <c r="I7" s="245"/>
      <c r="J7" s="120">
        <v>39476</v>
      </c>
    </row>
    <row r="8" spans="1:10" ht="45" customHeight="1" x14ac:dyDescent="0.3">
      <c r="A8" s="117">
        <v>6</v>
      </c>
      <c r="B8" s="131">
        <v>110</v>
      </c>
      <c r="C8" s="111">
        <v>1</v>
      </c>
      <c r="D8" s="111">
        <v>1</v>
      </c>
      <c r="E8" s="242" t="s">
        <v>1614</v>
      </c>
      <c r="F8" s="243" t="s">
        <v>1627</v>
      </c>
      <c r="G8" s="117" t="s">
        <v>992</v>
      </c>
      <c r="H8" s="245" t="s">
        <v>1760</v>
      </c>
      <c r="I8" s="245"/>
      <c r="J8" s="120">
        <v>39476</v>
      </c>
    </row>
    <row r="9" spans="1:10" ht="45" customHeight="1" x14ac:dyDescent="0.3">
      <c r="A9" s="117">
        <v>7</v>
      </c>
      <c r="B9" s="131">
        <v>114</v>
      </c>
      <c r="C9" s="111">
        <v>1</v>
      </c>
      <c r="D9" s="111">
        <v>1</v>
      </c>
      <c r="E9" s="242" t="s">
        <v>1614</v>
      </c>
      <c r="F9" s="243" t="s">
        <v>1627</v>
      </c>
      <c r="G9" s="117" t="s">
        <v>992</v>
      </c>
      <c r="H9" s="245" t="s">
        <v>1760</v>
      </c>
      <c r="I9" s="245"/>
      <c r="J9" s="120">
        <v>39476</v>
      </c>
    </row>
    <row r="10" spans="1:10" ht="45" customHeight="1" x14ac:dyDescent="0.3">
      <c r="A10" s="117">
        <v>8</v>
      </c>
      <c r="B10" s="131">
        <v>115</v>
      </c>
      <c r="C10" s="111">
        <v>1</v>
      </c>
      <c r="D10" s="111">
        <v>1</v>
      </c>
      <c r="E10" s="242" t="s">
        <v>1614</v>
      </c>
      <c r="F10" s="243" t="s">
        <v>1627</v>
      </c>
      <c r="G10" s="117" t="s">
        <v>992</v>
      </c>
      <c r="H10" s="245" t="s">
        <v>1760</v>
      </c>
      <c r="I10" s="245"/>
      <c r="J10" s="120">
        <v>39476</v>
      </c>
    </row>
    <row r="11" spans="1:10" ht="45" customHeight="1" x14ac:dyDescent="0.3">
      <c r="A11" s="117">
        <v>9</v>
      </c>
      <c r="B11" s="131">
        <v>118</v>
      </c>
      <c r="C11" s="111">
        <v>1</v>
      </c>
      <c r="D11" s="111">
        <v>1</v>
      </c>
      <c r="E11" s="242" t="s">
        <v>1614</v>
      </c>
      <c r="F11" s="243" t="s">
        <v>1627</v>
      </c>
      <c r="G11" s="117" t="s">
        <v>992</v>
      </c>
      <c r="H11" s="245" t="s">
        <v>1760</v>
      </c>
      <c r="I11" s="245"/>
      <c r="J11" s="120">
        <v>39476</v>
      </c>
    </row>
    <row r="12" spans="1:10" ht="45" customHeight="1" x14ac:dyDescent="0.3">
      <c r="A12" s="117">
        <v>10</v>
      </c>
      <c r="B12" s="131">
        <v>119</v>
      </c>
      <c r="C12" s="111">
        <v>1</v>
      </c>
      <c r="D12" s="111">
        <v>1</v>
      </c>
      <c r="E12" s="242" t="s">
        <v>1614</v>
      </c>
      <c r="F12" s="243" t="s">
        <v>1627</v>
      </c>
      <c r="G12" s="117" t="s">
        <v>992</v>
      </c>
      <c r="H12" s="245" t="s">
        <v>1760</v>
      </c>
      <c r="I12" s="245"/>
      <c r="J12" s="120">
        <v>39476</v>
      </c>
    </row>
    <row r="13" spans="1:10" ht="45" customHeight="1" x14ac:dyDescent="0.3">
      <c r="A13" s="117">
        <v>11</v>
      </c>
      <c r="B13" s="131">
        <v>120</v>
      </c>
      <c r="C13" s="111">
        <v>1</v>
      </c>
      <c r="D13" s="111">
        <v>1</v>
      </c>
      <c r="E13" s="242" t="s">
        <v>1614</v>
      </c>
      <c r="F13" s="243" t="s">
        <v>1627</v>
      </c>
      <c r="G13" s="117" t="s">
        <v>992</v>
      </c>
      <c r="H13" s="245" t="s">
        <v>1760</v>
      </c>
      <c r="I13" s="245"/>
      <c r="J13" s="120">
        <v>39476</v>
      </c>
    </row>
    <row r="14" spans="1:10" ht="30" customHeight="1" x14ac:dyDescent="0.3">
      <c r="A14" s="117">
        <v>12</v>
      </c>
      <c r="B14" s="131">
        <v>144</v>
      </c>
      <c r="C14" s="111">
        <v>11</v>
      </c>
      <c r="D14" s="111">
        <v>3</v>
      </c>
      <c r="E14" s="243" t="s">
        <v>1610</v>
      </c>
      <c r="F14" s="243" t="s">
        <v>1646</v>
      </c>
      <c r="G14" s="119" t="s">
        <v>993</v>
      </c>
      <c r="H14" s="246" t="s">
        <v>993</v>
      </c>
      <c r="I14" s="245"/>
      <c r="J14" s="120">
        <v>39496</v>
      </c>
    </row>
    <row r="15" spans="1:10" ht="30" customHeight="1" x14ac:dyDescent="0.3">
      <c r="A15" s="117">
        <v>13</v>
      </c>
      <c r="B15" s="131">
        <v>170</v>
      </c>
      <c r="C15" s="111">
        <v>16</v>
      </c>
      <c r="D15" s="111">
        <v>4</v>
      </c>
      <c r="E15" s="240" t="s">
        <v>1611</v>
      </c>
      <c r="F15" s="243" t="s">
        <v>533</v>
      </c>
      <c r="G15" s="117" t="s">
        <v>994</v>
      </c>
      <c r="H15" s="245" t="s">
        <v>2073</v>
      </c>
      <c r="I15" s="245" t="s">
        <v>1945</v>
      </c>
      <c r="J15" s="111"/>
    </row>
    <row r="16" spans="1:10" ht="30" customHeight="1" x14ac:dyDescent="0.3">
      <c r="A16" s="117">
        <v>14</v>
      </c>
      <c r="B16" s="131">
        <v>171</v>
      </c>
      <c r="C16" s="111">
        <v>16</v>
      </c>
      <c r="D16" s="111">
        <v>4</v>
      </c>
      <c r="E16" s="240" t="s">
        <v>1611</v>
      </c>
      <c r="F16" s="243" t="s">
        <v>533</v>
      </c>
      <c r="G16" s="119" t="s">
        <v>994</v>
      </c>
      <c r="H16" s="245" t="s">
        <v>2073</v>
      </c>
      <c r="I16" s="245" t="s">
        <v>1945</v>
      </c>
      <c r="J16" s="120">
        <v>39476</v>
      </c>
    </row>
    <row r="17" spans="1:10" ht="30" customHeight="1" x14ac:dyDescent="0.3">
      <c r="A17" s="117">
        <v>15</v>
      </c>
      <c r="B17" s="131">
        <v>172</v>
      </c>
      <c r="C17" s="111">
        <v>16</v>
      </c>
      <c r="D17" s="111">
        <v>4</v>
      </c>
      <c r="E17" s="240" t="s">
        <v>1611</v>
      </c>
      <c r="F17" s="243" t="s">
        <v>533</v>
      </c>
      <c r="G17" s="119" t="s">
        <v>994</v>
      </c>
      <c r="H17" s="245" t="s">
        <v>2073</v>
      </c>
      <c r="I17" s="245" t="s">
        <v>1945</v>
      </c>
      <c r="J17" s="120">
        <v>39476</v>
      </c>
    </row>
    <row r="18" spans="1:10" ht="30" customHeight="1" x14ac:dyDescent="0.3">
      <c r="A18" s="117">
        <v>16</v>
      </c>
      <c r="B18" s="131">
        <v>173</v>
      </c>
      <c r="C18" s="111">
        <v>16</v>
      </c>
      <c r="D18" s="111">
        <v>4</v>
      </c>
      <c r="E18" s="240" t="s">
        <v>1611</v>
      </c>
      <c r="F18" s="243" t="s">
        <v>533</v>
      </c>
      <c r="G18" s="119" t="s">
        <v>994</v>
      </c>
      <c r="H18" s="245" t="s">
        <v>2073</v>
      </c>
      <c r="I18" s="245" t="s">
        <v>1945</v>
      </c>
      <c r="J18" s="120">
        <v>39476</v>
      </c>
    </row>
    <row r="19" spans="1:10" ht="30" customHeight="1" x14ac:dyDescent="0.3">
      <c r="A19" s="117">
        <v>17</v>
      </c>
      <c r="B19" s="131">
        <v>176</v>
      </c>
      <c r="C19" s="111">
        <v>16</v>
      </c>
      <c r="D19" s="111">
        <v>4</v>
      </c>
      <c r="E19" s="240" t="s">
        <v>1611</v>
      </c>
      <c r="F19" s="243" t="s">
        <v>533</v>
      </c>
      <c r="G19" s="119" t="s">
        <v>994</v>
      </c>
      <c r="H19" s="245" t="s">
        <v>2073</v>
      </c>
      <c r="I19" s="245" t="s">
        <v>1945</v>
      </c>
      <c r="J19" s="120">
        <v>39476</v>
      </c>
    </row>
    <row r="20" spans="1:10" ht="30" customHeight="1" x14ac:dyDescent="0.3">
      <c r="A20" s="117">
        <v>18</v>
      </c>
      <c r="B20" s="131">
        <v>177</v>
      </c>
      <c r="C20" s="111">
        <v>16</v>
      </c>
      <c r="D20" s="111">
        <v>4</v>
      </c>
      <c r="E20" s="240" t="s">
        <v>1611</v>
      </c>
      <c r="F20" s="243" t="s">
        <v>533</v>
      </c>
      <c r="G20" s="119" t="s">
        <v>994</v>
      </c>
      <c r="H20" s="245" t="s">
        <v>2073</v>
      </c>
      <c r="I20" s="245" t="s">
        <v>1945</v>
      </c>
      <c r="J20" s="120">
        <v>39476</v>
      </c>
    </row>
    <row r="21" spans="1:10" ht="30" customHeight="1" x14ac:dyDescent="0.3">
      <c r="A21" s="117">
        <v>19</v>
      </c>
      <c r="B21" s="131">
        <v>178</v>
      </c>
      <c r="C21" s="111">
        <v>16</v>
      </c>
      <c r="D21" s="111">
        <v>4</v>
      </c>
      <c r="E21" s="240" t="s">
        <v>1611</v>
      </c>
      <c r="F21" s="243" t="s">
        <v>533</v>
      </c>
      <c r="G21" s="119" t="s">
        <v>994</v>
      </c>
      <c r="H21" s="245" t="s">
        <v>2073</v>
      </c>
      <c r="I21" s="245" t="s">
        <v>1945</v>
      </c>
      <c r="J21" s="120">
        <v>39476</v>
      </c>
    </row>
    <row r="22" spans="1:10" ht="30" customHeight="1" x14ac:dyDescent="0.3">
      <c r="A22" s="117">
        <v>20</v>
      </c>
      <c r="B22" s="131">
        <v>179</v>
      </c>
      <c r="C22" s="111">
        <v>16</v>
      </c>
      <c r="D22" s="111">
        <v>4</v>
      </c>
      <c r="E22" s="240" t="s">
        <v>1611</v>
      </c>
      <c r="F22" s="243" t="s">
        <v>533</v>
      </c>
      <c r="G22" s="119" t="s">
        <v>994</v>
      </c>
      <c r="H22" s="245" t="s">
        <v>2073</v>
      </c>
      <c r="I22" s="245" t="s">
        <v>1945</v>
      </c>
      <c r="J22" s="120">
        <v>39476</v>
      </c>
    </row>
    <row r="23" spans="1:10" ht="30" customHeight="1" x14ac:dyDescent="0.3">
      <c r="A23" s="117">
        <v>21</v>
      </c>
      <c r="B23" s="131">
        <v>180</v>
      </c>
      <c r="C23" s="111">
        <v>16</v>
      </c>
      <c r="D23" s="111">
        <v>4</v>
      </c>
      <c r="E23" s="240" t="s">
        <v>1611</v>
      </c>
      <c r="F23" s="243" t="s">
        <v>533</v>
      </c>
      <c r="G23" s="119" t="s">
        <v>994</v>
      </c>
      <c r="H23" s="245" t="s">
        <v>2073</v>
      </c>
      <c r="I23" s="245" t="s">
        <v>1945</v>
      </c>
      <c r="J23" s="120">
        <v>39476</v>
      </c>
    </row>
    <row r="24" spans="1:10" ht="45" customHeight="1" x14ac:dyDescent="0.3">
      <c r="A24" s="117">
        <v>22</v>
      </c>
      <c r="B24" s="131">
        <v>183</v>
      </c>
      <c r="C24" s="111">
        <v>5</v>
      </c>
      <c r="D24" s="111">
        <v>2</v>
      </c>
      <c r="E24" s="241" t="s">
        <v>1613</v>
      </c>
      <c r="F24" s="243" t="s">
        <v>403</v>
      </c>
      <c r="G24" s="119" t="s">
        <v>995</v>
      </c>
      <c r="H24" s="246" t="s">
        <v>1777</v>
      </c>
      <c r="I24" s="245" t="s">
        <v>1946</v>
      </c>
      <c r="J24" s="120">
        <v>39545</v>
      </c>
    </row>
    <row r="25" spans="1:10" ht="60" customHeight="1" x14ac:dyDescent="0.3">
      <c r="A25" s="117">
        <v>23</v>
      </c>
      <c r="B25" s="131">
        <v>184</v>
      </c>
      <c r="C25" s="111">
        <v>3</v>
      </c>
      <c r="D25" s="111">
        <v>3</v>
      </c>
      <c r="E25" s="243" t="s">
        <v>1610</v>
      </c>
      <c r="F25" s="243" t="s">
        <v>1626</v>
      </c>
      <c r="G25" s="117" t="s">
        <v>996</v>
      </c>
      <c r="H25" s="245" t="s">
        <v>1726</v>
      </c>
      <c r="I25" s="245"/>
      <c r="J25" s="120">
        <v>39545</v>
      </c>
    </row>
    <row r="26" spans="1:10" ht="28.8" x14ac:dyDescent="0.3">
      <c r="A26" s="117">
        <v>24</v>
      </c>
      <c r="B26" s="131">
        <v>186</v>
      </c>
      <c r="C26" s="111">
        <v>6</v>
      </c>
      <c r="D26" s="111">
        <v>2</v>
      </c>
      <c r="E26" s="241" t="s">
        <v>1613</v>
      </c>
      <c r="F26" s="243" t="s">
        <v>404</v>
      </c>
      <c r="G26" s="117" t="s">
        <v>997</v>
      </c>
      <c r="H26" s="245" t="s">
        <v>1860</v>
      </c>
      <c r="I26" s="245" t="s">
        <v>1590</v>
      </c>
      <c r="J26" s="120">
        <v>39539</v>
      </c>
    </row>
    <row r="27" spans="1:10" ht="45" customHeight="1" x14ac:dyDescent="0.3">
      <c r="A27" s="117">
        <v>25</v>
      </c>
      <c r="B27" s="131">
        <v>191</v>
      </c>
      <c r="C27" s="111">
        <v>22</v>
      </c>
      <c r="D27" s="111">
        <v>2</v>
      </c>
      <c r="E27" s="241" t="s">
        <v>1613</v>
      </c>
      <c r="F27" s="243" t="s">
        <v>539</v>
      </c>
      <c r="G27" s="117" t="s">
        <v>998</v>
      </c>
      <c r="H27" s="245" t="s">
        <v>1781</v>
      </c>
      <c r="I27" s="245" t="s">
        <v>1938</v>
      </c>
      <c r="J27" s="120">
        <v>39814</v>
      </c>
    </row>
    <row r="28" spans="1:10" ht="121.5" customHeight="1" x14ac:dyDescent="0.3">
      <c r="A28" s="117">
        <v>26</v>
      </c>
      <c r="B28" s="131">
        <v>192</v>
      </c>
      <c r="C28" s="111">
        <v>1</v>
      </c>
      <c r="D28" s="111">
        <v>1</v>
      </c>
      <c r="E28" s="242" t="s">
        <v>1614</v>
      </c>
      <c r="F28" s="243" t="s">
        <v>1627</v>
      </c>
      <c r="G28" s="117" t="s">
        <v>915</v>
      </c>
      <c r="H28" s="245" t="s">
        <v>1742</v>
      </c>
      <c r="I28" s="245" t="s">
        <v>1579</v>
      </c>
      <c r="J28" s="120">
        <v>39660</v>
      </c>
    </row>
    <row r="29" spans="1:10" ht="30" customHeight="1" x14ac:dyDescent="0.3">
      <c r="A29" s="117">
        <v>27</v>
      </c>
      <c r="B29" s="131">
        <v>193</v>
      </c>
      <c r="C29" s="111">
        <v>2</v>
      </c>
      <c r="D29" s="111">
        <v>1</v>
      </c>
      <c r="E29" s="242" t="s">
        <v>1614</v>
      </c>
      <c r="F29" s="243" t="s">
        <v>1584</v>
      </c>
      <c r="G29" s="117" t="s">
        <v>921</v>
      </c>
      <c r="H29" s="245" t="s">
        <v>1716</v>
      </c>
      <c r="I29" s="245" t="s">
        <v>1908</v>
      </c>
      <c r="J29" s="120">
        <v>39738</v>
      </c>
    </row>
    <row r="30" spans="1:10" ht="30" customHeight="1" x14ac:dyDescent="0.3">
      <c r="A30" s="117">
        <v>28</v>
      </c>
      <c r="B30" s="131">
        <v>194</v>
      </c>
      <c r="C30" s="111">
        <v>2</v>
      </c>
      <c r="D30" s="111">
        <v>1</v>
      </c>
      <c r="E30" s="242" t="s">
        <v>1614</v>
      </c>
      <c r="F30" s="243" t="s">
        <v>1584</v>
      </c>
      <c r="G30" s="117" t="s">
        <v>921</v>
      </c>
      <c r="H30" s="245" t="s">
        <v>1716</v>
      </c>
      <c r="I30" s="245" t="s">
        <v>1908</v>
      </c>
      <c r="J30" s="120">
        <v>39738</v>
      </c>
    </row>
    <row r="31" spans="1:10" ht="27.75" customHeight="1" x14ac:dyDescent="0.3">
      <c r="A31" s="117">
        <v>29</v>
      </c>
      <c r="B31" s="131">
        <v>195</v>
      </c>
      <c r="C31" s="111">
        <v>2</v>
      </c>
      <c r="D31" s="111">
        <v>1</v>
      </c>
      <c r="E31" s="242" t="s">
        <v>1614</v>
      </c>
      <c r="F31" s="243" t="s">
        <v>1584</v>
      </c>
      <c r="G31" s="117" t="s">
        <v>921</v>
      </c>
      <c r="H31" s="245" t="s">
        <v>1716</v>
      </c>
      <c r="I31" s="245" t="s">
        <v>1908</v>
      </c>
      <c r="J31" s="120">
        <v>39738</v>
      </c>
    </row>
    <row r="32" spans="1:10" ht="45" customHeight="1" x14ac:dyDescent="0.3">
      <c r="A32" s="117">
        <v>30</v>
      </c>
      <c r="B32" s="131">
        <v>197</v>
      </c>
      <c r="C32" s="111">
        <v>24</v>
      </c>
      <c r="D32" s="111">
        <v>1</v>
      </c>
      <c r="E32" s="242" t="s">
        <v>1614</v>
      </c>
      <c r="F32" s="243" t="s">
        <v>1630</v>
      </c>
      <c r="G32" s="117" t="s">
        <v>999</v>
      </c>
      <c r="H32" s="245" t="s">
        <v>1763</v>
      </c>
      <c r="I32" s="245" t="s">
        <v>1925</v>
      </c>
      <c r="J32" s="120">
        <v>39814</v>
      </c>
    </row>
    <row r="33" spans="1:10" ht="45" customHeight="1" x14ac:dyDescent="0.3">
      <c r="A33" s="117">
        <v>31</v>
      </c>
      <c r="B33" s="131">
        <v>198</v>
      </c>
      <c r="C33" s="111">
        <v>5</v>
      </c>
      <c r="D33" s="111">
        <v>2</v>
      </c>
      <c r="E33" s="241" t="s">
        <v>1613</v>
      </c>
      <c r="F33" s="243" t="s">
        <v>403</v>
      </c>
      <c r="G33" s="117" t="s">
        <v>920</v>
      </c>
      <c r="H33" s="245" t="s">
        <v>1775</v>
      </c>
      <c r="I33" s="247" t="s">
        <v>1776</v>
      </c>
      <c r="J33" s="120">
        <v>39883</v>
      </c>
    </row>
    <row r="34" spans="1:10" ht="45" customHeight="1" x14ac:dyDescent="0.3">
      <c r="A34" s="117">
        <v>32</v>
      </c>
      <c r="B34" s="131">
        <v>209</v>
      </c>
      <c r="C34" s="111">
        <v>25</v>
      </c>
      <c r="D34" s="111">
        <v>3</v>
      </c>
      <c r="E34" s="243" t="s">
        <v>1610</v>
      </c>
      <c r="F34" s="243" t="s">
        <v>1597</v>
      </c>
      <c r="G34" s="119" t="s">
        <v>1000</v>
      </c>
      <c r="H34" s="246" t="s">
        <v>1770</v>
      </c>
      <c r="I34" s="245"/>
      <c r="J34" s="120">
        <v>38110</v>
      </c>
    </row>
    <row r="35" spans="1:10" ht="45" customHeight="1" x14ac:dyDescent="0.3">
      <c r="A35" s="117">
        <v>33</v>
      </c>
      <c r="B35" s="131">
        <v>213</v>
      </c>
      <c r="C35" s="111">
        <v>16</v>
      </c>
      <c r="D35" s="111">
        <v>4</v>
      </c>
      <c r="E35" s="240" t="s">
        <v>1611</v>
      </c>
      <c r="F35" s="243" t="s">
        <v>533</v>
      </c>
      <c r="G35" s="119" t="s">
        <v>1001</v>
      </c>
      <c r="H35" s="246" t="s">
        <v>1672</v>
      </c>
      <c r="I35" s="245" t="s">
        <v>1947</v>
      </c>
      <c r="J35" s="120">
        <v>37956</v>
      </c>
    </row>
    <row r="36" spans="1:10" ht="45" customHeight="1" x14ac:dyDescent="0.3">
      <c r="A36" s="117">
        <v>34</v>
      </c>
      <c r="B36" s="131">
        <v>214</v>
      </c>
      <c r="C36" s="111">
        <v>16</v>
      </c>
      <c r="D36" s="111">
        <v>4</v>
      </c>
      <c r="E36" s="240" t="s">
        <v>1611</v>
      </c>
      <c r="F36" s="243" t="s">
        <v>533</v>
      </c>
      <c r="G36" s="119" t="s">
        <v>1001</v>
      </c>
      <c r="H36" s="246" t="s">
        <v>1672</v>
      </c>
      <c r="I36" s="245" t="s">
        <v>1947</v>
      </c>
      <c r="J36" s="120">
        <v>37956</v>
      </c>
    </row>
    <row r="37" spans="1:10" ht="30" customHeight="1" x14ac:dyDescent="0.3">
      <c r="A37" s="117">
        <v>35</v>
      </c>
      <c r="B37" s="131">
        <v>215</v>
      </c>
      <c r="C37" s="111">
        <v>16</v>
      </c>
      <c r="D37" s="111">
        <v>4</v>
      </c>
      <c r="E37" s="240" t="s">
        <v>1611</v>
      </c>
      <c r="F37" s="243" t="s">
        <v>533</v>
      </c>
      <c r="G37" s="119" t="s">
        <v>1002</v>
      </c>
      <c r="H37" s="246" t="s">
        <v>1675</v>
      </c>
      <c r="I37" s="245" t="s">
        <v>1948</v>
      </c>
      <c r="J37" s="120">
        <v>38093</v>
      </c>
    </row>
    <row r="38" spans="1:10" ht="30" customHeight="1" x14ac:dyDescent="0.3">
      <c r="A38" s="117">
        <v>36</v>
      </c>
      <c r="B38" s="131">
        <v>216</v>
      </c>
      <c r="C38" s="111">
        <v>16</v>
      </c>
      <c r="D38" s="111">
        <v>4</v>
      </c>
      <c r="E38" s="240" t="s">
        <v>1611</v>
      </c>
      <c r="F38" s="243" t="s">
        <v>533</v>
      </c>
      <c r="G38" s="119" t="s">
        <v>1003</v>
      </c>
      <c r="H38" s="246" t="s">
        <v>1675</v>
      </c>
      <c r="I38" s="245" t="s">
        <v>1948</v>
      </c>
      <c r="J38" s="120">
        <v>38094</v>
      </c>
    </row>
    <row r="39" spans="1:10" ht="30" customHeight="1" x14ac:dyDescent="0.3">
      <c r="A39" s="117">
        <v>37</v>
      </c>
      <c r="B39" s="131">
        <v>217</v>
      </c>
      <c r="C39" s="111">
        <v>16</v>
      </c>
      <c r="D39" s="111">
        <v>4</v>
      </c>
      <c r="E39" s="240" t="s">
        <v>1611</v>
      </c>
      <c r="F39" s="243" t="s">
        <v>533</v>
      </c>
      <c r="G39" s="119" t="s">
        <v>1003</v>
      </c>
      <c r="H39" s="246" t="s">
        <v>1675</v>
      </c>
      <c r="I39" s="245" t="s">
        <v>1948</v>
      </c>
      <c r="J39" s="120">
        <v>38095</v>
      </c>
    </row>
    <row r="40" spans="1:10" ht="60" customHeight="1" x14ac:dyDescent="0.3">
      <c r="A40" s="117">
        <v>38</v>
      </c>
      <c r="B40" s="131">
        <v>272</v>
      </c>
      <c r="C40" s="111">
        <v>26</v>
      </c>
      <c r="D40" s="111">
        <v>5</v>
      </c>
      <c r="E40" s="243" t="s">
        <v>1612</v>
      </c>
      <c r="F40" s="244" t="s">
        <v>1635</v>
      </c>
      <c r="G40" s="119" t="s">
        <v>1004</v>
      </c>
      <c r="H40" s="246" t="s">
        <v>1874</v>
      </c>
      <c r="I40" s="245" t="s">
        <v>1875</v>
      </c>
      <c r="J40" s="120">
        <v>38015</v>
      </c>
    </row>
    <row r="41" spans="1:10" ht="54" customHeight="1" x14ac:dyDescent="0.3">
      <c r="A41" s="117">
        <v>39</v>
      </c>
      <c r="B41" s="131">
        <v>273</v>
      </c>
      <c r="C41" s="111">
        <v>16</v>
      </c>
      <c r="D41" s="111">
        <v>4</v>
      </c>
      <c r="E41" s="240" t="s">
        <v>1611</v>
      </c>
      <c r="F41" s="243" t="s">
        <v>533</v>
      </c>
      <c r="G41" s="117" t="s">
        <v>1005</v>
      </c>
      <c r="H41" s="245" t="s">
        <v>1691</v>
      </c>
      <c r="I41" s="245" t="s">
        <v>1949</v>
      </c>
      <c r="J41" s="120">
        <v>39133</v>
      </c>
    </row>
    <row r="42" spans="1:10" ht="45" customHeight="1" x14ac:dyDescent="0.3">
      <c r="A42" s="117">
        <v>40</v>
      </c>
      <c r="B42" s="131">
        <v>274</v>
      </c>
      <c r="C42" s="111">
        <v>18</v>
      </c>
      <c r="D42" s="111">
        <v>4</v>
      </c>
      <c r="E42" s="240" t="s">
        <v>1611</v>
      </c>
      <c r="F42" s="243" t="s">
        <v>1637</v>
      </c>
      <c r="G42" s="119" t="s">
        <v>1006</v>
      </c>
      <c r="H42" s="245" t="s">
        <v>1808</v>
      </c>
      <c r="I42" s="245" t="s">
        <v>1813</v>
      </c>
      <c r="J42" s="120">
        <v>39133</v>
      </c>
    </row>
    <row r="43" spans="1:10" ht="45" customHeight="1" x14ac:dyDescent="0.3">
      <c r="A43" s="117">
        <v>41</v>
      </c>
      <c r="B43" s="131">
        <v>276</v>
      </c>
      <c r="C43" s="111">
        <v>16</v>
      </c>
      <c r="D43" s="111">
        <v>4</v>
      </c>
      <c r="E43" s="240" t="s">
        <v>1611</v>
      </c>
      <c r="F43" s="243" t="s">
        <v>533</v>
      </c>
      <c r="G43" s="119" t="s">
        <v>1007</v>
      </c>
      <c r="H43" s="246" t="s">
        <v>1679</v>
      </c>
      <c r="I43" s="245" t="s">
        <v>1944</v>
      </c>
      <c r="J43" s="120">
        <v>39133</v>
      </c>
    </row>
    <row r="44" spans="1:10" ht="45" customHeight="1" x14ac:dyDescent="0.3">
      <c r="A44" s="117">
        <v>42</v>
      </c>
      <c r="B44" s="131">
        <v>279</v>
      </c>
      <c r="C44" s="111">
        <v>18</v>
      </c>
      <c r="D44" s="111">
        <v>4</v>
      </c>
      <c r="E44" s="240" t="s">
        <v>1611</v>
      </c>
      <c r="F44" s="243" t="s">
        <v>1637</v>
      </c>
      <c r="G44" s="119" t="s">
        <v>1006</v>
      </c>
      <c r="H44" s="245" t="s">
        <v>1808</v>
      </c>
      <c r="I44" s="245" t="s">
        <v>1813</v>
      </c>
      <c r="J44" s="120">
        <v>39133</v>
      </c>
    </row>
    <row r="45" spans="1:10" ht="60" customHeight="1" x14ac:dyDescent="0.3">
      <c r="A45" s="117">
        <v>43</v>
      </c>
      <c r="B45" s="131">
        <v>282</v>
      </c>
      <c r="C45" s="111">
        <v>9</v>
      </c>
      <c r="D45" s="111">
        <v>2</v>
      </c>
      <c r="E45" s="241" t="s">
        <v>1613</v>
      </c>
      <c r="F45" s="243" t="s">
        <v>526</v>
      </c>
      <c r="G45" s="119" t="s">
        <v>1008</v>
      </c>
      <c r="H45" s="246" t="s">
        <v>1826</v>
      </c>
      <c r="I45" s="245" t="s">
        <v>1951</v>
      </c>
      <c r="J45" s="120">
        <v>39631</v>
      </c>
    </row>
    <row r="46" spans="1:10" ht="30" customHeight="1" x14ac:dyDescent="0.3">
      <c r="A46" s="117">
        <v>44</v>
      </c>
      <c r="B46" s="131">
        <v>283</v>
      </c>
      <c r="C46" s="111">
        <v>6</v>
      </c>
      <c r="D46" s="111">
        <v>2</v>
      </c>
      <c r="E46" s="241" t="s">
        <v>1613</v>
      </c>
      <c r="F46" s="243" t="s">
        <v>404</v>
      </c>
      <c r="G46" s="119" t="s">
        <v>1009</v>
      </c>
      <c r="H46" s="246" t="s">
        <v>854</v>
      </c>
      <c r="I46" s="245"/>
      <c r="J46" s="120">
        <v>39631</v>
      </c>
    </row>
    <row r="47" spans="1:10" ht="30" customHeight="1" x14ac:dyDescent="0.3">
      <c r="A47" s="117">
        <v>45</v>
      </c>
      <c r="B47" s="131">
        <v>339</v>
      </c>
      <c r="C47" s="111">
        <v>11</v>
      </c>
      <c r="D47" s="111">
        <v>3</v>
      </c>
      <c r="E47" s="243" t="s">
        <v>1610</v>
      </c>
      <c r="F47" s="243" t="s">
        <v>1646</v>
      </c>
      <c r="G47" s="119" t="s">
        <v>959</v>
      </c>
      <c r="H47" s="246" t="s">
        <v>1888</v>
      </c>
      <c r="I47" s="245"/>
      <c r="J47" s="120">
        <v>39496</v>
      </c>
    </row>
    <row r="48" spans="1:10" ht="30" customHeight="1" x14ac:dyDescent="0.3">
      <c r="A48" s="117">
        <v>46</v>
      </c>
      <c r="B48" s="131">
        <v>340</v>
      </c>
      <c r="C48" s="111">
        <v>11</v>
      </c>
      <c r="D48" s="111">
        <v>3</v>
      </c>
      <c r="E48" s="243" t="s">
        <v>1610</v>
      </c>
      <c r="F48" s="243" t="s">
        <v>1646</v>
      </c>
      <c r="G48" s="119" t="s">
        <v>959</v>
      </c>
      <c r="H48" s="246" t="s">
        <v>1888</v>
      </c>
      <c r="I48" s="245"/>
      <c r="J48" s="120">
        <v>39496</v>
      </c>
    </row>
    <row r="49" spans="1:10" ht="60" customHeight="1" x14ac:dyDescent="0.3">
      <c r="A49" s="117">
        <v>47</v>
      </c>
      <c r="B49" s="131">
        <v>400</v>
      </c>
      <c r="C49" s="111">
        <v>21</v>
      </c>
      <c r="D49" s="111">
        <v>2</v>
      </c>
      <c r="E49" s="241" t="s">
        <v>1613</v>
      </c>
      <c r="F49" s="243" t="s">
        <v>1593</v>
      </c>
      <c r="G49" s="119" t="s">
        <v>1010</v>
      </c>
      <c r="H49" s="246" t="s">
        <v>1593</v>
      </c>
      <c r="I49" s="245" t="s">
        <v>1914</v>
      </c>
      <c r="J49" s="120">
        <v>40338</v>
      </c>
    </row>
    <row r="50" spans="1:10" ht="33.75" customHeight="1" x14ac:dyDescent="0.3">
      <c r="A50" s="117">
        <v>48</v>
      </c>
      <c r="B50" s="131">
        <v>401</v>
      </c>
      <c r="C50" s="111">
        <v>24</v>
      </c>
      <c r="D50" s="111">
        <v>1</v>
      </c>
      <c r="E50" s="242" t="s">
        <v>1614</v>
      </c>
      <c r="F50" s="243" t="s">
        <v>1630</v>
      </c>
      <c r="G50" s="117" t="s">
        <v>1011</v>
      </c>
      <c r="H50" s="245" t="s">
        <v>1806</v>
      </c>
      <c r="I50" s="245" t="s">
        <v>1939</v>
      </c>
      <c r="J50" s="120">
        <v>40338</v>
      </c>
    </row>
    <row r="51" spans="1:10" ht="30" customHeight="1" x14ac:dyDescent="0.3">
      <c r="A51" s="117">
        <v>49</v>
      </c>
      <c r="B51" s="131">
        <v>402</v>
      </c>
      <c r="C51" s="111">
        <v>20</v>
      </c>
      <c r="D51" s="111">
        <v>1</v>
      </c>
      <c r="E51" s="242" t="s">
        <v>1614</v>
      </c>
      <c r="F51" s="243" t="s">
        <v>537</v>
      </c>
      <c r="G51" s="119" t="s">
        <v>1012</v>
      </c>
      <c r="H51" s="246" t="s">
        <v>1844</v>
      </c>
      <c r="I51" s="245" t="s">
        <v>1581</v>
      </c>
      <c r="J51" s="120">
        <v>40338</v>
      </c>
    </row>
    <row r="52" spans="1:10" ht="30" customHeight="1" x14ac:dyDescent="0.3">
      <c r="A52" s="117">
        <v>50</v>
      </c>
      <c r="B52" s="131">
        <v>403</v>
      </c>
      <c r="C52" s="111">
        <v>20</v>
      </c>
      <c r="D52" s="111">
        <v>1</v>
      </c>
      <c r="E52" s="242" t="s">
        <v>1614</v>
      </c>
      <c r="F52" s="243" t="s">
        <v>537</v>
      </c>
      <c r="G52" s="119" t="s">
        <v>1012</v>
      </c>
      <c r="H52" s="246" t="s">
        <v>1845</v>
      </c>
      <c r="I52" s="245" t="s">
        <v>1582</v>
      </c>
      <c r="J52" s="120">
        <v>40338</v>
      </c>
    </row>
    <row r="53" spans="1:10" ht="30" customHeight="1" x14ac:dyDescent="0.3">
      <c r="A53" s="117">
        <v>51</v>
      </c>
      <c r="B53" s="131">
        <v>404</v>
      </c>
      <c r="C53" s="111">
        <v>17</v>
      </c>
      <c r="D53" s="111">
        <v>4</v>
      </c>
      <c r="E53" s="240" t="s">
        <v>1611</v>
      </c>
      <c r="F53" s="243" t="s">
        <v>534</v>
      </c>
      <c r="G53" s="119" t="s">
        <v>905</v>
      </c>
      <c r="H53" s="246" t="s">
        <v>1703</v>
      </c>
      <c r="I53" s="245" t="s">
        <v>1929</v>
      </c>
      <c r="J53" s="120">
        <v>40338</v>
      </c>
    </row>
    <row r="54" spans="1:10" ht="30" customHeight="1" x14ac:dyDescent="0.3">
      <c r="A54" s="117">
        <v>52</v>
      </c>
      <c r="B54" s="131">
        <v>405</v>
      </c>
      <c r="C54" s="111">
        <v>17</v>
      </c>
      <c r="D54" s="111">
        <v>4</v>
      </c>
      <c r="E54" s="240" t="s">
        <v>1611</v>
      </c>
      <c r="F54" s="243" t="s">
        <v>534</v>
      </c>
      <c r="G54" s="119" t="s">
        <v>906</v>
      </c>
      <c r="H54" s="246" t="s">
        <v>1710</v>
      </c>
      <c r="I54" s="245" t="s">
        <v>1955</v>
      </c>
      <c r="J54" s="120">
        <v>40338</v>
      </c>
    </row>
    <row r="55" spans="1:10" ht="45" customHeight="1" x14ac:dyDescent="0.3">
      <c r="A55" s="117">
        <v>53</v>
      </c>
      <c r="B55" s="131">
        <v>406</v>
      </c>
      <c r="C55" s="111">
        <v>16</v>
      </c>
      <c r="D55" s="111">
        <v>4</v>
      </c>
      <c r="E55" s="240" t="s">
        <v>1611</v>
      </c>
      <c r="F55" s="243" t="s">
        <v>533</v>
      </c>
      <c r="G55" s="119" t="s">
        <v>907</v>
      </c>
      <c r="H55" s="246" t="s">
        <v>1671</v>
      </c>
      <c r="I55" s="245" t="s">
        <v>1952</v>
      </c>
      <c r="J55" s="120">
        <v>40338</v>
      </c>
    </row>
    <row r="56" spans="1:10" ht="30" customHeight="1" x14ac:dyDescent="0.3">
      <c r="A56" s="117">
        <v>54</v>
      </c>
      <c r="B56" s="131">
        <v>407</v>
      </c>
      <c r="C56" s="111">
        <v>17</v>
      </c>
      <c r="D56" s="111">
        <v>4</v>
      </c>
      <c r="E56" s="240" t="s">
        <v>1611</v>
      </c>
      <c r="F56" s="243" t="s">
        <v>534</v>
      </c>
      <c r="G56" s="119" t="s">
        <v>908</v>
      </c>
      <c r="H56" s="246" t="s">
        <v>1705</v>
      </c>
      <c r="I56" s="245" t="s">
        <v>1606</v>
      </c>
      <c r="J56" s="120">
        <v>40338</v>
      </c>
    </row>
    <row r="57" spans="1:10" ht="30" customHeight="1" x14ac:dyDescent="0.3">
      <c r="A57" s="117">
        <v>55</v>
      </c>
      <c r="B57" s="131">
        <v>408</v>
      </c>
      <c r="C57" s="111">
        <v>17</v>
      </c>
      <c r="D57" s="111">
        <v>4</v>
      </c>
      <c r="E57" s="240" t="s">
        <v>1611</v>
      </c>
      <c r="F57" s="243" t="s">
        <v>534</v>
      </c>
      <c r="G57" s="119" t="s">
        <v>909</v>
      </c>
      <c r="H57" s="246" t="s">
        <v>1707</v>
      </c>
      <c r="I57" s="245" t="s">
        <v>1954</v>
      </c>
      <c r="J57" s="120">
        <v>40338</v>
      </c>
    </row>
    <row r="58" spans="1:10" ht="45" customHeight="1" x14ac:dyDescent="0.3">
      <c r="A58" s="117">
        <v>56</v>
      </c>
      <c r="B58" s="131">
        <v>411</v>
      </c>
      <c r="C58" s="111">
        <v>17</v>
      </c>
      <c r="D58" s="111">
        <v>4</v>
      </c>
      <c r="E58" s="240" t="s">
        <v>1611</v>
      </c>
      <c r="F58" s="243" t="s">
        <v>534</v>
      </c>
      <c r="G58" s="117" t="s">
        <v>910</v>
      </c>
      <c r="H58" s="245" t="s">
        <v>1706</v>
      </c>
      <c r="I58" s="245" t="s">
        <v>1603</v>
      </c>
      <c r="J58" s="120">
        <v>40338</v>
      </c>
    </row>
    <row r="59" spans="1:10" ht="30" customHeight="1" x14ac:dyDescent="0.3">
      <c r="A59" s="117">
        <v>57</v>
      </c>
      <c r="B59" s="131">
        <v>412</v>
      </c>
      <c r="C59" s="111">
        <v>17</v>
      </c>
      <c r="D59" s="111">
        <v>4</v>
      </c>
      <c r="E59" s="240" t="s">
        <v>1611</v>
      </c>
      <c r="F59" s="243" t="s">
        <v>534</v>
      </c>
      <c r="G59" s="119" t="s">
        <v>911</v>
      </c>
      <c r="H59" s="246" t="s">
        <v>1708</v>
      </c>
      <c r="I59" s="245" t="s">
        <v>1604</v>
      </c>
      <c r="J59" s="120">
        <v>40338</v>
      </c>
    </row>
    <row r="60" spans="1:10" ht="30" customHeight="1" x14ac:dyDescent="0.3">
      <c r="A60" s="117">
        <v>58</v>
      </c>
      <c r="B60" s="131">
        <v>413</v>
      </c>
      <c r="C60" s="111">
        <v>17</v>
      </c>
      <c r="D60" s="111">
        <v>4</v>
      </c>
      <c r="E60" s="240" t="s">
        <v>1611</v>
      </c>
      <c r="F60" s="243" t="s">
        <v>534</v>
      </c>
      <c r="G60" s="119" t="s">
        <v>912</v>
      </c>
      <c r="H60" s="246" t="s">
        <v>1710</v>
      </c>
      <c r="I60" s="245" t="s">
        <v>1955</v>
      </c>
      <c r="J60" s="120">
        <v>40338</v>
      </c>
    </row>
    <row r="61" spans="1:10" ht="30" customHeight="1" x14ac:dyDescent="0.3">
      <c r="A61" s="117">
        <v>59</v>
      </c>
      <c r="B61" s="131">
        <v>414</v>
      </c>
      <c r="C61" s="111">
        <v>36</v>
      </c>
      <c r="D61" s="111">
        <v>5</v>
      </c>
      <c r="E61" s="243" t="s">
        <v>1612</v>
      </c>
      <c r="F61" s="243" t="s">
        <v>1636</v>
      </c>
      <c r="G61" s="119" t="s">
        <v>913</v>
      </c>
      <c r="H61" s="246" t="s">
        <v>1798</v>
      </c>
      <c r="I61" s="245"/>
      <c r="J61" s="120">
        <v>40338</v>
      </c>
    </row>
    <row r="62" spans="1:10" ht="28.5" customHeight="1" x14ac:dyDescent="0.3">
      <c r="A62" s="117">
        <v>60</v>
      </c>
      <c r="B62" s="131">
        <v>415</v>
      </c>
      <c r="C62" s="111">
        <v>27</v>
      </c>
      <c r="D62" s="111">
        <v>2</v>
      </c>
      <c r="E62" s="241" t="s">
        <v>1613</v>
      </c>
      <c r="F62" s="243" t="s">
        <v>1594</v>
      </c>
      <c r="G62" s="118" t="s">
        <v>914</v>
      </c>
      <c r="H62" s="243" t="s">
        <v>1870</v>
      </c>
      <c r="I62" s="245"/>
      <c r="J62" s="120">
        <v>40338</v>
      </c>
    </row>
    <row r="63" spans="1:10" ht="60" customHeight="1" x14ac:dyDescent="0.3">
      <c r="A63" s="117">
        <v>61</v>
      </c>
      <c r="B63" s="131">
        <v>416</v>
      </c>
      <c r="C63" s="111">
        <v>1</v>
      </c>
      <c r="D63" s="111">
        <v>1</v>
      </c>
      <c r="E63" s="242" t="s">
        <v>1614</v>
      </c>
      <c r="F63" s="243" t="s">
        <v>1627</v>
      </c>
      <c r="G63" s="119" t="s">
        <v>915</v>
      </c>
      <c r="H63" s="245" t="s">
        <v>1742</v>
      </c>
      <c r="I63" s="245" t="s">
        <v>1940</v>
      </c>
      <c r="J63" s="120">
        <v>40338</v>
      </c>
    </row>
    <row r="64" spans="1:10" ht="87.75" customHeight="1" x14ac:dyDescent="0.3">
      <c r="A64" s="117">
        <v>62</v>
      </c>
      <c r="B64" s="131">
        <v>417</v>
      </c>
      <c r="C64" s="111">
        <v>1</v>
      </c>
      <c r="D64" s="111">
        <v>1</v>
      </c>
      <c r="E64" s="242" t="s">
        <v>1614</v>
      </c>
      <c r="F64" s="243" t="s">
        <v>1627</v>
      </c>
      <c r="G64" s="119" t="s">
        <v>915</v>
      </c>
      <c r="H64" s="245" t="s">
        <v>1742</v>
      </c>
      <c r="I64" s="245" t="s">
        <v>1940</v>
      </c>
      <c r="J64" s="120">
        <v>40338</v>
      </c>
    </row>
    <row r="65" spans="1:10" ht="75" customHeight="1" x14ac:dyDescent="0.3">
      <c r="A65" s="117">
        <v>63</v>
      </c>
      <c r="B65" s="131">
        <v>418</v>
      </c>
      <c r="C65" s="111">
        <v>1</v>
      </c>
      <c r="D65" s="111">
        <v>1</v>
      </c>
      <c r="E65" s="242" t="s">
        <v>1614</v>
      </c>
      <c r="F65" s="243" t="s">
        <v>1627</v>
      </c>
      <c r="G65" s="119" t="s">
        <v>915</v>
      </c>
      <c r="H65" s="245" t="s">
        <v>1742</v>
      </c>
      <c r="I65" s="245" t="s">
        <v>1579</v>
      </c>
      <c r="J65" s="120">
        <v>40338</v>
      </c>
    </row>
    <row r="66" spans="1:10" ht="30" customHeight="1" x14ac:dyDescent="0.3">
      <c r="A66" s="117">
        <v>64</v>
      </c>
      <c r="B66" s="131">
        <v>419</v>
      </c>
      <c r="C66" s="111">
        <v>10</v>
      </c>
      <c r="D66" s="111">
        <v>2</v>
      </c>
      <c r="E66" s="241" t="s">
        <v>1613</v>
      </c>
      <c r="F66" s="243" t="s">
        <v>527</v>
      </c>
      <c r="G66" s="117" t="s">
        <v>916</v>
      </c>
      <c r="H66" s="245" t="s">
        <v>1765</v>
      </c>
      <c r="I66" s="245" t="s">
        <v>2067</v>
      </c>
      <c r="J66" s="120">
        <v>40338</v>
      </c>
    </row>
    <row r="67" spans="1:10" ht="28.8" x14ac:dyDescent="0.3">
      <c r="A67" s="117">
        <v>65</v>
      </c>
      <c r="B67" s="131">
        <v>420</v>
      </c>
      <c r="C67" s="111">
        <v>6</v>
      </c>
      <c r="D67" s="111">
        <v>2</v>
      </c>
      <c r="E67" s="241" t="s">
        <v>1613</v>
      </c>
      <c r="F67" s="243" t="s">
        <v>404</v>
      </c>
      <c r="G67" s="117" t="s">
        <v>917</v>
      </c>
      <c r="H67" s="245" t="s">
        <v>1860</v>
      </c>
      <c r="I67" s="245"/>
      <c r="J67" s="120">
        <v>40338</v>
      </c>
    </row>
    <row r="68" spans="1:10" ht="45" customHeight="1" x14ac:dyDescent="0.3">
      <c r="A68" s="117">
        <v>66</v>
      </c>
      <c r="B68" s="131">
        <v>421</v>
      </c>
      <c r="C68" s="111">
        <v>12</v>
      </c>
      <c r="D68" s="111">
        <v>2</v>
      </c>
      <c r="E68" s="241" t="s">
        <v>1613</v>
      </c>
      <c r="F68" s="243" t="s">
        <v>1645</v>
      </c>
      <c r="G68" s="119" t="s">
        <v>646</v>
      </c>
      <c r="H68" s="246" t="s">
        <v>1956</v>
      </c>
      <c r="I68" s="245" t="s">
        <v>2068</v>
      </c>
      <c r="J68" s="120">
        <v>40338</v>
      </c>
    </row>
    <row r="69" spans="1:10" ht="45" customHeight="1" x14ac:dyDescent="0.3">
      <c r="A69" s="117">
        <v>69</v>
      </c>
      <c r="B69" s="131">
        <v>424</v>
      </c>
      <c r="C69" s="111">
        <v>1</v>
      </c>
      <c r="D69" s="111">
        <v>1</v>
      </c>
      <c r="E69" s="242" t="s">
        <v>1614</v>
      </c>
      <c r="F69" s="243" t="s">
        <v>1627</v>
      </c>
      <c r="G69" s="119" t="s">
        <v>919</v>
      </c>
      <c r="H69" s="246" t="s">
        <v>1759</v>
      </c>
      <c r="I69" s="245" t="s">
        <v>1580</v>
      </c>
      <c r="J69" s="120">
        <v>40339</v>
      </c>
    </row>
    <row r="70" spans="1:10" ht="45" customHeight="1" x14ac:dyDescent="0.3">
      <c r="A70" s="117">
        <v>70</v>
      </c>
      <c r="B70" s="131">
        <v>425</v>
      </c>
      <c r="C70" s="111">
        <v>1</v>
      </c>
      <c r="D70" s="111">
        <v>1</v>
      </c>
      <c r="E70" s="242" t="s">
        <v>1614</v>
      </c>
      <c r="F70" s="243" t="s">
        <v>1627</v>
      </c>
      <c r="G70" s="119" t="s">
        <v>919</v>
      </c>
      <c r="H70" s="246" t="s">
        <v>1759</v>
      </c>
      <c r="I70" s="245" t="s">
        <v>1580</v>
      </c>
      <c r="J70" s="120">
        <v>40339</v>
      </c>
    </row>
    <row r="71" spans="1:10" ht="45" customHeight="1" x14ac:dyDescent="0.3">
      <c r="A71" s="117">
        <v>71</v>
      </c>
      <c r="B71" s="131">
        <v>426</v>
      </c>
      <c r="C71" s="111">
        <v>5</v>
      </c>
      <c r="D71" s="111">
        <v>2</v>
      </c>
      <c r="E71" s="241" t="s">
        <v>1613</v>
      </c>
      <c r="F71" s="243" t="s">
        <v>403</v>
      </c>
      <c r="G71" s="119" t="s">
        <v>920</v>
      </c>
      <c r="H71" s="245" t="s">
        <v>1775</v>
      </c>
      <c r="I71" s="247" t="s">
        <v>1776</v>
      </c>
      <c r="J71" s="120">
        <v>40339</v>
      </c>
    </row>
    <row r="72" spans="1:10" ht="45" customHeight="1" x14ac:dyDescent="0.3">
      <c r="A72" s="117">
        <v>72</v>
      </c>
      <c r="B72" s="131">
        <v>427</v>
      </c>
      <c r="C72" s="111">
        <v>5</v>
      </c>
      <c r="D72" s="111">
        <v>2</v>
      </c>
      <c r="E72" s="241" t="s">
        <v>1613</v>
      </c>
      <c r="F72" s="243" t="s">
        <v>403</v>
      </c>
      <c r="G72" s="119" t="s">
        <v>920</v>
      </c>
      <c r="H72" s="245" t="s">
        <v>1775</v>
      </c>
      <c r="I72" s="247" t="s">
        <v>1776</v>
      </c>
      <c r="J72" s="120">
        <v>40339</v>
      </c>
    </row>
    <row r="73" spans="1:10" ht="39" customHeight="1" x14ac:dyDescent="0.3">
      <c r="A73" s="117">
        <v>73</v>
      </c>
      <c r="B73" s="131">
        <v>429</v>
      </c>
      <c r="C73" s="111">
        <v>2</v>
      </c>
      <c r="D73" s="111">
        <v>1</v>
      </c>
      <c r="E73" s="242" t="s">
        <v>1614</v>
      </c>
      <c r="F73" s="243" t="s">
        <v>1584</v>
      </c>
      <c r="G73" s="117" t="s">
        <v>921</v>
      </c>
      <c r="H73" s="245" t="s">
        <v>1716</v>
      </c>
      <c r="I73" s="245" t="s">
        <v>1909</v>
      </c>
      <c r="J73" s="120">
        <v>40339</v>
      </c>
    </row>
    <row r="74" spans="1:10" ht="30" customHeight="1" x14ac:dyDescent="0.3">
      <c r="A74" s="117">
        <v>74</v>
      </c>
      <c r="B74" s="131">
        <v>430</v>
      </c>
      <c r="C74" s="111">
        <v>2</v>
      </c>
      <c r="D74" s="111">
        <v>1</v>
      </c>
      <c r="E74" s="242" t="s">
        <v>1614</v>
      </c>
      <c r="F74" s="243" t="s">
        <v>1584</v>
      </c>
      <c r="G74" s="117" t="s">
        <v>921</v>
      </c>
      <c r="H74" s="245" t="s">
        <v>1716</v>
      </c>
      <c r="I74" s="245" t="s">
        <v>1909</v>
      </c>
      <c r="J74" s="120">
        <v>40339</v>
      </c>
    </row>
    <row r="75" spans="1:10" ht="30" customHeight="1" x14ac:dyDescent="0.3">
      <c r="A75" s="117">
        <v>75</v>
      </c>
      <c r="B75" s="131">
        <v>431</v>
      </c>
      <c r="C75" s="111">
        <v>2</v>
      </c>
      <c r="D75" s="111">
        <v>1</v>
      </c>
      <c r="E75" s="242" t="s">
        <v>1614</v>
      </c>
      <c r="F75" s="243" t="s">
        <v>1584</v>
      </c>
      <c r="G75" s="117" t="s">
        <v>921</v>
      </c>
      <c r="H75" s="245" t="s">
        <v>1716</v>
      </c>
      <c r="I75" s="245" t="s">
        <v>1909</v>
      </c>
      <c r="J75" s="120">
        <v>40339</v>
      </c>
    </row>
    <row r="76" spans="1:10" ht="65.25" customHeight="1" x14ac:dyDescent="0.3">
      <c r="A76" s="117">
        <v>76</v>
      </c>
      <c r="B76" s="131">
        <v>432</v>
      </c>
      <c r="C76" s="111">
        <v>1</v>
      </c>
      <c r="D76" s="111">
        <v>1</v>
      </c>
      <c r="E76" s="242" t="s">
        <v>1614</v>
      </c>
      <c r="F76" s="243" t="s">
        <v>1627</v>
      </c>
      <c r="G76" s="119" t="s">
        <v>922</v>
      </c>
      <c r="H76" s="246" t="s">
        <v>1745</v>
      </c>
      <c r="I76" s="245" t="s">
        <v>1942</v>
      </c>
      <c r="J76" s="120">
        <v>40339</v>
      </c>
    </row>
    <row r="77" spans="1:10" ht="30" customHeight="1" x14ac:dyDescent="0.3">
      <c r="A77" s="117">
        <v>77</v>
      </c>
      <c r="B77" s="131">
        <v>435</v>
      </c>
      <c r="C77" s="111">
        <v>37</v>
      </c>
      <c r="D77" s="111">
        <v>1</v>
      </c>
      <c r="E77" s="242" t="s">
        <v>1614</v>
      </c>
      <c r="F77" s="243" t="s">
        <v>1587</v>
      </c>
      <c r="G77" s="117" t="s">
        <v>923</v>
      </c>
      <c r="H77" s="245" t="s">
        <v>1732</v>
      </c>
      <c r="I77" s="245" t="s">
        <v>1926</v>
      </c>
      <c r="J77" s="120">
        <v>40497</v>
      </c>
    </row>
    <row r="78" spans="1:10" ht="45" customHeight="1" x14ac:dyDescent="0.3">
      <c r="A78" s="117">
        <v>78</v>
      </c>
      <c r="B78" s="131">
        <v>436</v>
      </c>
      <c r="C78" s="111">
        <v>28</v>
      </c>
      <c r="D78" s="111">
        <v>3</v>
      </c>
      <c r="E78" s="243" t="s">
        <v>1610</v>
      </c>
      <c r="F78" s="243" t="s">
        <v>1642</v>
      </c>
      <c r="G78" s="119" t="s">
        <v>763</v>
      </c>
      <c r="H78" s="246" t="s">
        <v>1836</v>
      </c>
      <c r="I78" s="245" t="s">
        <v>1837</v>
      </c>
      <c r="J78" s="120">
        <v>40571</v>
      </c>
    </row>
    <row r="79" spans="1:10" ht="30" customHeight="1" x14ac:dyDescent="0.3">
      <c r="A79" s="117">
        <v>79</v>
      </c>
      <c r="B79" s="131">
        <v>437</v>
      </c>
      <c r="C79" s="111">
        <v>37</v>
      </c>
      <c r="D79" s="111">
        <v>1</v>
      </c>
      <c r="E79" s="242" t="s">
        <v>1614</v>
      </c>
      <c r="F79" s="243" t="s">
        <v>1587</v>
      </c>
      <c r="G79" s="117" t="s">
        <v>923</v>
      </c>
      <c r="H79" s="245" t="s">
        <v>1731</v>
      </c>
      <c r="I79" s="245" t="s">
        <v>1926</v>
      </c>
      <c r="J79" s="120">
        <v>40548</v>
      </c>
    </row>
    <row r="80" spans="1:10" ht="45" customHeight="1" x14ac:dyDescent="0.3">
      <c r="A80" s="117">
        <v>80</v>
      </c>
      <c r="B80" s="131">
        <v>438</v>
      </c>
      <c r="C80" s="111">
        <v>24</v>
      </c>
      <c r="D80" s="111">
        <v>1</v>
      </c>
      <c r="E80" s="242" t="s">
        <v>1614</v>
      </c>
      <c r="F80" s="243" t="s">
        <v>1630</v>
      </c>
      <c r="G80" s="119" t="s">
        <v>924</v>
      </c>
      <c r="H80" s="246" t="s">
        <v>1876</v>
      </c>
      <c r="I80" s="245" t="s">
        <v>1879</v>
      </c>
      <c r="J80" s="120">
        <v>40574</v>
      </c>
    </row>
    <row r="81" spans="1:10" ht="30" customHeight="1" x14ac:dyDescent="0.3">
      <c r="A81" s="117">
        <v>81</v>
      </c>
      <c r="B81" s="131">
        <v>439</v>
      </c>
      <c r="C81" s="111">
        <v>16</v>
      </c>
      <c r="D81" s="111">
        <v>4</v>
      </c>
      <c r="E81" s="240" t="s">
        <v>1611</v>
      </c>
      <c r="F81" s="243" t="s">
        <v>533</v>
      </c>
      <c r="G81" s="119" t="s">
        <v>925</v>
      </c>
      <c r="H81" s="245" t="s">
        <v>1685</v>
      </c>
      <c r="I81" s="245" t="s">
        <v>1949</v>
      </c>
      <c r="J81" s="120">
        <v>40668</v>
      </c>
    </row>
    <row r="82" spans="1:10" ht="30" customHeight="1" x14ac:dyDescent="0.3">
      <c r="A82" s="117">
        <v>82</v>
      </c>
      <c r="B82" s="131">
        <v>440</v>
      </c>
      <c r="C82" s="111">
        <v>16</v>
      </c>
      <c r="D82" s="111">
        <v>4</v>
      </c>
      <c r="E82" s="240" t="s">
        <v>1611</v>
      </c>
      <c r="F82" s="243" t="s">
        <v>533</v>
      </c>
      <c r="G82" s="119" t="s">
        <v>925</v>
      </c>
      <c r="H82" s="245" t="s">
        <v>1685</v>
      </c>
      <c r="I82" s="245" t="s">
        <v>1949</v>
      </c>
      <c r="J82" s="120">
        <v>40668</v>
      </c>
    </row>
    <row r="83" spans="1:10" ht="45" customHeight="1" x14ac:dyDescent="0.3">
      <c r="A83" s="117">
        <v>83</v>
      </c>
      <c r="B83" s="131">
        <v>441</v>
      </c>
      <c r="C83" s="111">
        <v>1</v>
      </c>
      <c r="D83" s="111">
        <v>1</v>
      </c>
      <c r="E83" s="242" t="s">
        <v>1614</v>
      </c>
      <c r="F83" s="243" t="s">
        <v>1627</v>
      </c>
      <c r="G83" s="119" t="s">
        <v>927</v>
      </c>
      <c r="H83" s="246" t="s">
        <v>1755</v>
      </c>
      <c r="I83" s="245"/>
      <c r="J83" s="120">
        <v>41240</v>
      </c>
    </row>
    <row r="84" spans="1:10" ht="45" customHeight="1" x14ac:dyDescent="0.3">
      <c r="A84" s="117">
        <v>84</v>
      </c>
      <c r="B84" s="131">
        <v>442</v>
      </c>
      <c r="C84" s="111">
        <v>1</v>
      </c>
      <c r="D84" s="111">
        <v>1</v>
      </c>
      <c r="E84" s="242" t="s">
        <v>1614</v>
      </c>
      <c r="F84" s="243" t="s">
        <v>1627</v>
      </c>
      <c r="G84" s="119" t="s">
        <v>927</v>
      </c>
      <c r="H84" s="246" t="s">
        <v>1755</v>
      </c>
      <c r="I84" s="245"/>
      <c r="J84" s="120">
        <v>41240</v>
      </c>
    </row>
    <row r="85" spans="1:10" ht="45" customHeight="1" x14ac:dyDescent="0.3">
      <c r="A85" s="117">
        <v>88</v>
      </c>
      <c r="B85" s="131">
        <v>446</v>
      </c>
      <c r="C85" s="111">
        <v>1</v>
      </c>
      <c r="D85" s="111">
        <v>1</v>
      </c>
      <c r="E85" s="242" t="s">
        <v>1614</v>
      </c>
      <c r="F85" s="243" t="s">
        <v>1627</v>
      </c>
      <c r="G85" s="119" t="s">
        <v>927</v>
      </c>
      <c r="H85" s="246" t="s">
        <v>1755</v>
      </c>
      <c r="I85" s="245"/>
      <c r="J85" s="120">
        <v>41240</v>
      </c>
    </row>
    <row r="86" spans="1:10" ht="45" customHeight="1" x14ac:dyDescent="0.3">
      <c r="A86" s="117">
        <v>89</v>
      </c>
      <c r="B86" s="131">
        <v>447</v>
      </c>
      <c r="C86" s="111">
        <v>1</v>
      </c>
      <c r="D86" s="111">
        <v>1</v>
      </c>
      <c r="E86" s="242" t="s">
        <v>1614</v>
      </c>
      <c r="F86" s="243" t="s">
        <v>1627</v>
      </c>
      <c r="G86" s="119" t="s">
        <v>927</v>
      </c>
      <c r="H86" s="246" t="s">
        <v>1755</v>
      </c>
      <c r="I86" s="245"/>
      <c r="J86" s="120">
        <v>41240</v>
      </c>
    </row>
    <row r="87" spans="1:10" ht="45" customHeight="1" x14ac:dyDescent="0.3">
      <c r="A87" s="117">
        <v>90</v>
      </c>
      <c r="B87" s="131">
        <v>448</v>
      </c>
      <c r="C87" s="111">
        <v>1</v>
      </c>
      <c r="D87" s="111">
        <v>1</v>
      </c>
      <c r="E87" s="242" t="s">
        <v>1614</v>
      </c>
      <c r="F87" s="243" t="s">
        <v>1627</v>
      </c>
      <c r="G87" s="119" t="s">
        <v>927</v>
      </c>
      <c r="H87" s="246" t="s">
        <v>1755</v>
      </c>
      <c r="I87" s="245"/>
      <c r="J87" s="120">
        <v>41240</v>
      </c>
    </row>
    <row r="88" spans="1:10" ht="45" customHeight="1" x14ac:dyDescent="0.3">
      <c r="A88" s="117">
        <v>91</v>
      </c>
      <c r="B88" s="131">
        <v>449</v>
      </c>
      <c r="C88" s="111">
        <v>1</v>
      </c>
      <c r="D88" s="111">
        <v>1</v>
      </c>
      <c r="E88" s="242" t="s">
        <v>1614</v>
      </c>
      <c r="F88" s="243" t="s">
        <v>1627</v>
      </c>
      <c r="G88" s="119" t="s">
        <v>927</v>
      </c>
      <c r="H88" s="246" t="s">
        <v>1755</v>
      </c>
      <c r="I88" s="245"/>
      <c r="J88" s="120">
        <v>41240</v>
      </c>
    </row>
    <row r="89" spans="1:10" ht="45" customHeight="1" x14ac:dyDescent="0.3">
      <c r="A89" s="117">
        <v>92</v>
      </c>
      <c r="B89" s="131">
        <v>450</v>
      </c>
      <c r="C89" s="111">
        <v>1</v>
      </c>
      <c r="D89" s="111">
        <v>1</v>
      </c>
      <c r="E89" s="242" t="s">
        <v>1614</v>
      </c>
      <c r="F89" s="243" t="s">
        <v>1627</v>
      </c>
      <c r="G89" s="119" t="s">
        <v>927</v>
      </c>
      <c r="H89" s="246" t="s">
        <v>1755</v>
      </c>
      <c r="I89" s="245"/>
      <c r="J89" s="120">
        <v>41240</v>
      </c>
    </row>
    <row r="90" spans="1:10" x14ac:dyDescent="0.3">
      <c r="A90" s="117">
        <v>93</v>
      </c>
      <c r="B90" s="131">
        <v>451</v>
      </c>
      <c r="C90" s="111">
        <v>6</v>
      </c>
      <c r="D90" s="111">
        <v>2</v>
      </c>
      <c r="E90" s="241" t="s">
        <v>1613</v>
      </c>
      <c r="F90" s="243" t="s">
        <v>404</v>
      </c>
      <c r="G90" s="119" t="s">
        <v>928</v>
      </c>
      <c r="H90" s="245" t="s">
        <v>1860</v>
      </c>
      <c r="I90" s="245"/>
      <c r="J90" s="120">
        <v>41250</v>
      </c>
    </row>
    <row r="91" spans="1:10" ht="45" customHeight="1" x14ac:dyDescent="0.3">
      <c r="A91" s="117">
        <v>94</v>
      </c>
      <c r="B91" s="131">
        <v>452</v>
      </c>
      <c r="C91" s="111">
        <v>16</v>
      </c>
      <c r="D91" s="111">
        <v>4</v>
      </c>
      <c r="E91" s="240" t="s">
        <v>1611</v>
      </c>
      <c r="F91" s="243" t="s">
        <v>533</v>
      </c>
      <c r="G91" s="117" t="s">
        <v>1696</v>
      </c>
      <c r="H91" s="245" t="s">
        <v>1696</v>
      </c>
      <c r="I91" s="245" t="s">
        <v>1957</v>
      </c>
      <c r="J91" s="120">
        <v>41365</v>
      </c>
    </row>
    <row r="92" spans="1:10" ht="45" customHeight="1" x14ac:dyDescent="0.3">
      <c r="A92" s="117">
        <v>95</v>
      </c>
      <c r="B92" s="131">
        <v>453</v>
      </c>
      <c r="C92" s="111">
        <v>18</v>
      </c>
      <c r="D92" s="111">
        <v>4</v>
      </c>
      <c r="E92" s="240" t="s">
        <v>1611</v>
      </c>
      <c r="F92" s="243" t="s">
        <v>1637</v>
      </c>
      <c r="G92" s="119" t="s">
        <v>1808</v>
      </c>
      <c r="H92" s="245" t="s">
        <v>1808</v>
      </c>
      <c r="I92" s="245" t="s">
        <v>1813</v>
      </c>
      <c r="J92" s="120">
        <v>41337</v>
      </c>
    </row>
    <row r="93" spans="1:10" ht="45" customHeight="1" x14ac:dyDescent="0.3">
      <c r="A93" s="117">
        <v>96</v>
      </c>
      <c r="B93" s="131">
        <v>455</v>
      </c>
      <c r="C93" s="111">
        <v>5</v>
      </c>
      <c r="D93" s="111">
        <v>2</v>
      </c>
      <c r="E93" s="241" t="s">
        <v>1613</v>
      </c>
      <c r="F93" s="243" t="s">
        <v>403</v>
      </c>
      <c r="G93" s="119" t="s">
        <v>931</v>
      </c>
      <c r="H93" s="246" t="s">
        <v>1773</v>
      </c>
      <c r="I93" s="245" t="s">
        <v>1899</v>
      </c>
      <c r="J93" s="120">
        <v>41250</v>
      </c>
    </row>
    <row r="94" spans="1:10" ht="30" customHeight="1" x14ac:dyDescent="0.3">
      <c r="A94" s="117">
        <v>97</v>
      </c>
      <c r="B94" s="131">
        <v>460</v>
      </c>
      <c r="C94" s="111">
        <v>16</v>
      </c>
      <c r="D94" s="111">
        <v>4</v>
      </c>
      <c r="E94" s="240" t="s">
        <v>1611</v>
      </c>
      <c r="F94" s="243" t="s">
        <v>533</v>
      </c>
      <c r="G94" s="119" t="s">
        <v>2069</v>
      </c>
      <c r="H94" s="246" t="s">
        <v>2069</v>
      </c>
      <c r="I94" s="245"/>
      <c r="J94" s="120">
        <v>41250</v>
      </c>
    </row>
    <row r="95" spans="1:10" ht="45" customHeight="1" x14ac:dyDescent="0.3">
      <c r="A95" s="117">
        <v>98</v>
      </c>
      <c r="B95" s="131">
        <v>461</v>
      </c>
      <c r="C95" s="111">
        <v>16</v>
      </c>
      <c r="D95" s="111">
        <v>4</v>
      </c>
      <c r="E95" s="240" t="s">
        <v>1611</v>
      </c>
      <c r="F95" s="243" t="s">
        <v>533</v>
      </c>
      <c r="G95" s="119" t="s">
        <v>932</v>
      </c>
      <c r="H95" s="246" t="s">
        <v>932</v>
      </c>
      <c r="I95" s="245"/>
      <c r="J95" s="120">
        <v>41250</v>
      </c>
    </row>
    <row r="96" spans="1:10" ht="30" customHeight="1" x14ac:dyDescent="0.3">
      <c r="A96" s="117">
        <v>99</v>
      </c>
      <c r="B96" s="131">
        <v>462</v>
      </c>
      <c r="C96" s="111">
        <v>16</v>
      </c>
      <c r="D96" s="111">
        <v>4</v>
      </c>
      <c r="E96" s="240" t="s">
        <v>1611</v>
      </c>
      <c r="F96" s="243" t="s">
        <v>533</v>
      </c>
      <c r="G96" s="118" t="s">
        <v>933</v>
      </c>
      <c r="H96" s="248" t="s">
        <v>1693</v>
      </c>
      <c r="I96" s="245"/>
      <c r="J96" s="120">
        <v>41250</v>
      </c>
    </row>
    <row r="97" spans="1:10" ht="45" customHeight="1" x14ac:dyDescent="0.3">
      <c r="A97" s="117">
        <v>100</v>
      </c>
      <c r="B97" s="131">
        <v>463</v>
      </c>
      <c r="C97" s="111">
        <v>24</v>
      </c>
      <c r="D97" s="111">
        <v>1</v>
      </c>
      <c r="E97" s="242" t="s">
        <v>1614</v>
      </c>
      <c r="F97" s="243" t="s">
        <v>1630</v>
      </c>
      <c r="G97" s="117" t="s">
        <v>934</v>
      </c>
      <c r="H97" s="245" t="s">
        <v>934</v>
      </c>
      <c r="I97" s="245" t="s">
        <v>1939</v>
      </c>
      <c r="J97" s="120">
        <v>41250</v>
      </c>
    </row>
    <row r="98" spans="1:10" ht="45" customHeight="1" x14ac:dyDescent="0.3">
      <c r="A98" s="117">
        <v>101</v>
      </c>
      <c r="B98" s="131">
        <v>464</v>
      </c>
      <c r="C98" s="111">
        <v>1</v>
      </c>
      <c r="D98" s="111">
        <v>1</v>
      </c>
      <c r="E98" s="242" t="s">
        <v>1614</v>
      </c>
      <c r="F98" s="243" t="s">
        <v>1627</v>
      </c>
      <c r="G98" s="119" t="s">
        <v>831</v>
      </c>
      <c r="H98" s="246" t="s">
        <v>1749</v>
      </c>
      <c r="I98" s="245"/>
      <c r="J98" s="120">
        <v>41271</v>
      </c>
    </row>
    <row r="99" spans="1:10" ht="45" customHeight="1" x14ac:dyDescent="0.3">
      <c r="A99" s="117">
        <v>102</v>
      </c>
      <c r="B99" s="131">
        <v>465</v>
      </c>
      <c r="C99" s="111">
        <v>1</v>
      </c>
      <c r="D99" s="111">
        <v>1</v>
      </c>
      <c r="E99" s="242" t="s">
        <v>1614</v>
      </c>
      <c r="F99" s="243" t="s">
        <v>1627</v>
      </c>
      <c r="G99" s="119" t="s">
        <v>831</v>
      </c>
      <c r="H99" s="246" t="s">
        <v>1749</v>
      </c>
      <c r="I99" s="245"/>
      <c r="J99" s="120">
        <v>41271</v>
      </c>
    </row>
    <row r="100" spans="1:10" ht="45" customHeight="1" x14ac:dyDescent="0.3">
      <c r="A100" s="117">
        <v>103</v>
      </c>
      <c r="B100" s="131">
        <v>466</v>
      </c>
      <c r="C100" s="111">
        <v>1</v>
      </c>
      <c r="D100" s="111">
        <v>1</v>
      </c>
      <c r="E100" s="242" t="s">
        <v>1614</v>
      </c>
      <c r="F100" s="243" t="s">
        <v>1627</v>
      </c>
      <c r="G100" s="119" t="s">
        <v>831</v>
      </c>
      <c r="H100" s="246" t="s">
        <v>1749</v>
      </c>
      <c r="I100" s="245"/>
      <c r="J100" s="120">
        <v>41271</v>
      </c>
    </row>
    <row r="101" spans="1:10" ht="45" customHeight="1" x14ac:dyDescent="0.3">
      <c r="A101" s="117">
        <v>104</v>
      </c>
      <c r="B101" s="131">
        <v>467</v>
      </c>
      <c r="C101" s="111">
        <v>1</v>
      </c>
      <c r="D101" s="111">
        <v>1</v>
      </c>
      <c r="E101" s="242" t="s">
        <v>1614</v>
      </c>
      <c r="F101" s="243" t="s">
        <v>1627</v>
      </c>
      <c r="G101" s="119" t="s">
        <v>831</v>
      </c>
      <c r="H101" s="246" t="s">
        <v>1749</v>
      </c>
      <c r="I101" s="245"/>
      <c r="J101" s="120">
        <v>41271</v>
      </c>
    </row>
    <row r="102" spans="1:10" ht="45" customHeight="1" x14ac:dyDescent="0.3">
      <c r="A102" s="117">
        <v>105</v>
      </c>
      <c r="B102" s="131">
        <v>468</v>
      </c>
      <c r="C102" s="111">
        <v>1</v>
      </c>
      <c r="D102" s="111">
        <v>1</v>
      </c>
      <c r="E102" s="242" t="s">
        <v>1614</v>
      </c>
      <c r="F102" s="243" t="s">
        <v>1627</v>
      </c>
      <c r="G102" s="119" t="s">
        <v>831</v>
      </c>
      <c r="H102" s="246" t="s">
        <v>1749</v>
      </c>
      <c r="I102" s="245"/>
      <c r="J102" s="120">
        <v>41271</v>
      </c>
    </row>
    <row r="103" spans="1:10" ht="45" customHeight="1" x14ac:dyDescent="0.3">
      <c r="A103" s="117">
        <v>107</v>
      </c>
      <c r="B103" s="131">
        <v>470</v>
      </c>
      <c r="C103" s="111">
        <v>1</v>
      </c>
      <c r="D103" s="111">
        <v>1</v>
      </c>
      <c r="E103" s="242" t="s">
        <v>1614</v>
      </c>
      <c r="F103" s="243" t="s">
        <v>1627</v>
      </c>
      <c r="G103" s="119" t="s">
        <v>831</v>
      </c>
      <c r="H103" s="246" t="s">
        <v>1749</v>
      </c>
      <c r="I103" s="245"/>
      <c r="J103" s="120">
        <v>41271</v>
      </c>
    </row>
    <row r="104" spans="1:10" ht="45" customHeight="1" x14ac:dyDescent="0.3">
      <c r="A104" s="117">
        <v>108</v>
      </c>
      <c r="B104" s="131">
        <v>471</v>
      </c>
      <c r="C104" s="111">
        <v>1</v>
      </c>
      <c r="D104" s="111">
        <v>1</v>
      </c>
      <c r="E104" s="242" t="s">
        <v>1614</v>
      </c>
      <c r="F104" s="243" t="s">
        <v>1627</v>
      </c>
      <c r="G104" s="119" t="s">
        <v>831</v>
      </c>
      <c r="H104" s="246" t="s">
        <v>1749</v>
      </c>
      <c r="I104" s="245"/>
      <c r="J104" s="120">
        <v>41271</v>
      </c>
    </row>
    <row r="105" spans="1:10" ht="45" customHeight="1" x14ac:dyDescent="0.3">
      <c r="A105" s="117">
        <v>109</v>
      </c>
      <c r="B105" s="131">
        <v>473</v>
      </c>
      <c r="C105" s="111">
        <v>1</v>
      </c>
      <c r="D105" s="111">
        <v>1</v>
      </c>
      <c r="E105" s="242" t="s">
        <v>1614</v>
      </c>
      <c r="F105" s="243" t="s">
        <v>1627</v>
      </c>
      <c r="G105" s="119" t="s">
        <v>831</v>
      </c>
      <c r="H105" s="246" t="s">
        <v>1749</v>
      </c>
      <c r="I105" s="245"/>
      <c r="J105" s="120">
        <v>41271</v>
      </c>
    </row>
    <row r="106" spans="1:10" ht="45" customHeight="1" x14ac:dyDescent="0.3">
      <c r="A106" s="117">
        <v>111</v>
      </c>
      <c r="B106" s="131">
        <v>475</v>
      </c>
      <c r="C106" s="111">
        <v>1</v>
      </c>
      <c r="D106" s="111">
        <v>1</v>
      </c>
      <c r="E106" s="242" t="s">
        <v>1614</v>
      </c>
      <c r="F106" s="243" t="s">
        <v>1627</v>
      </c>
      <c r="G106" s="119" t="s">
        <v>831</v>
      </c>
      <c r="H106" s="246" t="s">
        <v>1749</v>
      </c>
      <c r="I106" s="245"/>
      <c r="J106" s="120">
        <v>41271</v>
      </c>
    </row>
    <row r="107" spans="1:10" ht="45" customHeight="1" x14ac:dyDescent="0.3">
      <c r="A107" s="117">
        <v>112</v>
      </c>
      <c r="B107" s="131">
        <v>476</v>
      </c>
      <c r="C107" s="111">
        <v>1</v>
      </c>
      <c r="D107" s="111">
        <v>1</v>
      </c>
      <c r="E107" s="242" t="s">
        <v>1614</v>
      </c>
      <c r="F107" s="243" t="s">
        <v>1627</v>
      </c>
      <c r="G107" s="119" t="s">
        <v>831</v>
      </c>
      <c r="H107" s="246" t="s">
        <v>1749</v>
      </c>
      <c r="I107" s="245"/>
      <c r="J107" s="120">
        <v>41271</v>
      </c>
    </row>
    <row r="108" spans="1:10" ht="45" customHeight="1" x14ac:dyDescent="0.3">
      <c r="A108" s="117">
        <v>113</v>
      </c>
      <c r="B108" s="131">
        <v>478</v>
      </c>
      <c r="C108" s="111">
        <v>1</v>
      </c>
      <c r="D108" s="111">
        <v>1</v>
      </c>
      <c r="E108" s="242" t="s">
        <v>1614</v>
      </c>
      <c r="F108" s="243" t="s">
        <v>1627</v>
      </c>
      <c r="G108" s="119" t="s">
        <v>831</v>
      </c>
      <c r="H108" s="246" t="s">
        <v>1749</v>
      </c>
      <c r="I108" s="245"/>
      <c r="J108" s="120">
        <v>41271</v>
      </c>
    </row>
    <row r="109" spans="1:10" ht="45" customHeight="1" x14ac:dyDescent="0.3">
      <c r="A109" s="117">
        <v>114</v>
      </c>
      <c r="B109" s="131">
        <v>479</v>
      </c>
      <c r="C109" s="111">
        <v>1</v>
      </c>
      <c r="D109" s="111">
        <v>1</v>
      </c>
      <c r="E109" s="242" t="s">
        <v>1614</v>
      </c>
      <c r="F109" s="243" t="s">
        <v>1627</v>
      </c>
      <c r="G109" s="119" t="s">
        <v>831</v>
      </c>
      <c r="H109" s="246" t="s">
        <v>1749</v>
      </c>
      <c r="I109" s="245"/>
      <c r="J109" s="120">
        <v>41271</v>
      </c>
    </row>
    <row r="110" spans="1:10" ht="45" customHeight="1" x14ac:dyDescent="0.3">
      <c r="A110" s="117">
        <v>116</v>
      </c>
      <c r="B110" s="131">
        <v>481</v>
      </c>
      <c r="C110" s="111">
        <v>1</v>
      </c>
      <c r="D110" s="111">
        <v>1</v>
      </c>
      <c r="E110" s="242" t="s">
        <v>1614</v>
      </c>
      <c r="F110" s="243" t="s">
        <v>1627</v>
      </c>
      <c r="G110" s="119" t="s">
        <v>831</v>
      </c>
      <c r="H110" s="246" t="s">
        <v>1749</v>
      </c>
      <c r="I110" s="245"/>
      <c r="J110" s="120">
        <v>41271</v>
      </c>
    </row>
    <row r="111" spans="1:10" ht="45" customHeight="1" x14ac:dyDescent="0.3">
      <c r="A111" s="117">
        <v>117</v>
      </c>
      <c r="B111" s="131">
        <v>482</v>
      </c>
      <c r="C111" s="111">
        <v>1</v>
      </c>
      <c r="D111" s="111">
        <v>1</v>
      </c>
      <c r="E111" s="242" t="s">
        <v>1614</v>
      </c>
      <c r="F111" s="243" t="s">
        <v>1627</v>
      </c>
      <c r="G111" s="119" t="s">
        <v>831</v>
      </c>
      <c r="H111" s="246" t="s">
        <v>1749</v>
      </c>
      <c r="I111" s="245"/>
      <c r="J111" s="120">
        <v>41271</v>
      </c>
    </row>
    <row r="112" spans="1:10" ht="45" customHeight="1" x14ac:dyDescent="0.3">
      <c r="A112" s="117">
        <v>118</v>
      </c>
      <c r="B112" s="131">
        <v>483</v>
      </c>
      <c r="C112" s="111">
        <v>1</v>
      </c>
      <c r="D112" s="111">
        <v>1</v>
      </c>
      <c r="E112" s="242" t="s">
        <v>1614</v>
      </c>
      <c r="F112" s="243" t="s">
        <v>1627</v>
      </c>
      <c r="G112" s="119" t="s">
        <v>831</v>
      </c>
      <c r="H112" s="246" t="s">
        <v>1749</v>
      </c>
      <c r="I112" s="245"/>
      <c r="J112" s="120">
        <v>41271</v>
      </c>
    </row>
    <row r="113" spans="1:10" ht="45" customHeight="1" x14ac:dyDescent="0.3">
      <c r="A113" s="117">
        <v>119</v>
      </c>
      <c r="B113" s="131">
        <v>484</v>
      </c>
      <c r="C113" s="111">
        <v>1</v>
      </c>
      <c r="D113" s="111">
        <v>1</v>
      </c>
      <c r="E113" s="242" t="s">
        <v>1614</v>
      </c>
      <c r="F113" s="243" t="s">
        <v>1627</v>
      </c>
      <c r="G113" s="119" t="s">
        <v>935</v>
      </c>
      <c r="H113" s="246" t="s">
        <v>1744</v>
      </c>
      <c r="I113" s="245"/>
      <c r="J113" s="120">
        <v>41317</v>
      </c>
    </row>
    <row r="114" spans="1:10" ht="45" customHeight="1" x14ac:dyDescent="0.3">
      <c r="A114" s="117">
        <v>120</v>
      </c>
      <c r="B114" s="131">
        <v>485</v>
      </c>
      <c r="C114" s="111">
        <v>1</v>
      </c>
      <c r="D114" s="111">
        <v>1</v>
      </c>
      <c r="E114" s="242" t="s">
        <v>1614</v>
      </c>
      <c r="F114" s="243" t="s">
        <v>1627</v>
      </c>
      <c r="G114" s="119" t="s">
        <v>935</v>
      </c>
      <c r="H114" s="246" t="s">
        <v>1744</v>
      </c>
      <c r="I114" s="245"/>
      <c r="J114" s="120">
        <v>41317</v>
      </c>
    </row>
    <row r="115" spans="1:10" ht="45" customHeight="1" x14ac:dyDescent="0.3">
      <c r="A115" s="117">
        <v>121</v>
      </c>
      <c r="B115" s="131">
        <v>486</v>
      </c>
      <c r="C115" s="111">
        <v>1</v>
      </c>
      <c r="D115" s="111">
        <v>1</v>
      </c>
      <c r="E115" s="242" t="s">
        <v>1614</v>
      </c>
      <c r="F115" s="243" t="s">
        <v>1627</v>
      </c>
      <c r="G115" s="119" t="s">
        <v>935</v>
      </c>
      <c r="H115" s="246" t="s">
        <v>1744</v>
      </c>
      <c r="I115" s="245"/>
      <c r="J115" s="120">
        <v>41317</v>
      </c>
    </row>
    <row r="116" spans="1:10" ht="45" customHeight="1" x14ac:dyDescent="0.3">
      <c r="A116" s="117">
        <v>122</v>
      </c>
      <c r="B116" s="131">
        <v>487</v>
      </c>
      <c r="C116" s="111">
        <v>1</v>
      </c>
      <c r="D116" s="111">
        <v>1</v>
      </c>
      <c r="E116" s="242" t="s">
        <v>1614</v>
      </c>
      <c r="F116" s="243" t="s">
        <v>1627</v>
      </c>
      <c r="G116" s="119" t="s">
        <v>935</v>
      </c>
      <c r="H116" s="246" t="s">
        <v>1744</v>
      </c>
      <c r="I116" s="245"/>
      <c r="J116" s="120">
        <v>41317</v>
      </c>
    </row>
    <row r="117" spans="1:10" ht="45" customHeight="1" x14ac:dyDescent="0.3">
      <c r="A117" s="117">
        <v>123</v>
      </c>
      <c r="B117" s="131">
        <v>488</v>
      </c>
      <c r="C117" s="111">
        <v>1</v>
      </c>
      <c r="D117" s="111">
        <v>1</v>
      </c>
      <c r="E117" s="242" t="s">
        <v>1614</v>
      </c>
      <c r="F117" s="243" t="s">
        <v>1627</v>
      </c>
      <c r="G117" s="119" t="s">
        <v>935</v>
      </c>
      <c r="H117" s="246" t="s">
        <v>1744</v>
      </c>
      <c r="I117" s="245"/>
      <c r="J117" s="120">
        <v>41317</v>
      </c>
    </row>
    <row r="118" spans="1:10" ht="45" customHeight="1" x14ac:dyDescent="0.3">
      <c r="A118" s="117">
        <v>124</v>
      </c>
      <c r="B118" s="131">
        <v>489</v>
      </c>
      <c r="C118" s="111">
        <v>1</v>
      </c>
      <c r="D118" s="111">
        <v>1</v>
      </c>
      <c r="E118" s="242" t="s">
        <v>1614</v>
      </c>
      <c r="F118" s="243" t="s">
        <v>1627</v>
      </c>
      <c r="G118" s="119" t="s">
        <v>935</v>
      </c>
      <c r="H118" s="246" t="s">
        <v>1744</v>
      </c>
      <c r="I118" s="245"/>
      <c r="J118" s="120">
        <v>41317</v>
      </c>
    </row>
    <row r="119" spans="1:10" ht="45" customHeight="1" x14ac:dyDescent="0.3">
      <c r="A119" s="117">
        <v>125</v>
      </c>
      <c r="B119" s="131">
        <v>490</v>
      </c>
      <c r="C119" s="111">
        <v>1</v>
      </c>
      <c r="D119" s="111">
        <v>1</v>
      </c>
      <c r="E119" s="242" t="s">
        <v>1614</v>
      </c>
      <c r="F119" s="243" t="s">
        <v>1627</v>
      </c>
      <c r="G119" s="119" t="s">
        <v>935</v>
      </c>
      <c r="H119" s="246" t="s">
        <v>1744</v>
      </c>
      <c r="I119" s="245"/>
      <c r="J119" s="120">
        <v>41317</v>
      </c>
    </row>
    <row r="120" spans="1:10" ht="45" customHeight="1" x14ac:dyDescent="0.3">
      <c r="A120" s="117">
        <v>126</v>
      </c>
      <c r="B120" s="131">
        <v>491</v>
      </c>
      <c r="C120" s="111">
        <v>1</v>
      </c>
      <c r="D120" s="111">
        <v>1</v>
      </c>
      <c r="E120" s="242" t="s">
        <v>1614</v>
      </c>
      <c r="F120" s="243" t="s">
        <v>1627</v>
      </c>
      <c r="G120" s="119" t="s">
        <v>935</v>
      </c>
      <c r="H120" s="246" t="s">
        <v>1744</v>
      </c>
      <c r="I120" s="245"/>
      <c r="J120" s="120">
        <v>41317</v>
      </c>
    </row>
    <row r="121" spans="1:10" ht="45" customHeight="1" x14ac:dyDescent="0.3">
      <c r="A121" s="117">
        <v>127</v>
      </c>
      <c r="B121" s="131">
        <v>492</v>
      </c>
      <c r="C121" s="111">
        <v>1</v>
      </c>
      <c r="D121" s="111">
        <v>1</v>
      </c>
      <c r="E121" s="242" t="s">
        <v>1614</v>
      </c>
      <c r="F121" s="243" t="s">
        <v>1627</v>
      </c>
      <c r="G121" s="119" t="s">
        <v>935</v>
      </c>
      <c r="H121" s="246" t="s">
        <v>1744</v>
      </c>
      <c r="I121" s="245"/>
      <c r="J121" s="120">
        <v>41317</v>
      </c>
    </row>
    <row r="122" spans="1:10" ht="30" customHeight="1" x14ac:dyDescent="0.3">
      <c r="A122" s="117">
        <v>128</v>
      </c>
      <c r="B122" s="131">
        <v>493</v>
      </c>
      <c r="C122" s="111">
        <v>16</v>
      </c>
      <c r="D122" s="111">
        <v>4</v>
      </c>
      <c r="E122" s="240" t="s">
        <v>1611</v>
      </c>
      <c r="F122" s="243" t="s">
        <v>533</v>
      </c>
      <c r="G122" s="119" t="s">
        <v>936</v>
      </c>
      <c r="H122" s="246" t="s">
        <v>1688</v>
      </c>
      <c r="I122" s="245" t="s">
        <v>1949</v>
      </c>
      <c r="J122" s="120">
        <v>41337</v>
      </c>
    </row>
    <row r="123" spans="1:10" ht="45" customHeight="1" x14ac:dyDescent="0.3">
      <c r="A123" s="117">
        <v>129</v>
      </c>
      <c r="B123" s="131">
        <v>494</v>
      </c>
      <c r="C123" s="111">
        <v>16</v>
      </c>
      <c r="D123" s="111">
        <v>4</v>
      </c>
      <c r="E123" s="240" t="s">
        <v>1611</v>
      </c>
      <c r="F123" s="243" t="s">
        <v>533</v>
      </c>
      <c r="G123" s="119" t="s">
        <v>2074</v>
      </c>
      <c r="H123" s="246" t="s">
        <v>2074</v>
      </c>
      <c r="I123" s="245" t="s">
        <v>1944</v>
      </c>
      <c r="J123" s="120">
        <v>41337</v>
      </c>
    </row>
    <row r="124" spans="1:10" ht="30" customHeight="1" x14ac:dyDescent="0.3">
      <c r="A124" s="117">
        <v>130</v>
      </c>
      <c r="B124" s="131">
        <v>495</v>
      </c>
      <c r="C124" s="111">
        <v>2</v>
      </c>
      <c r="D124" s="111">
        <v>1</v>
      </c>
      <c r="E124" s="242" t="s">
        <v>1614</v>
      </c>
      <c r="F124" s="243" t="s">
        <v>1584</v>
      </c>
      <c r="G124" s="117" t="s">
        <v>921</v>
      </c>
      <c r="H124" s="245" t="s">
        <v>1716</v>
      </c>
      <c r="I124" s="245" t="s">
        <v>1909</v>
      </c>
      <c r="J124" s="120">
        <v>41401</v>
      </c>
    </row>
    <row r="125" spans="1:10" ht="30" customHeight="1" x14ac:dyDescent="0.3">
      <c r="A125" s="117">
        <v>131</v>
      </c>
      <c r="B125" s="131">
        <v>497</v>
      </c>
      <c r="C125" s="111">
        <v>2</v>
      </c>
      <c r="D125" s="111">
        <v>1</v>
      </c>
      <c r="E125" s="242" t="s">
        <v>1614</v>
      </c>
      <c r="F125" s="243" t="s">
        <v>1584</v>
      </c>
      <c r="G125" s="117" t="s">
        <v>921</v>
      </c>
      <c r="H125" s="245" t="s">
        <v>1716</v>
      </c>
      <c r="I125" s="245" t="s">
        <v>1909</v>
      </c>
      <c r="J125" s="120">
        <v>41401</v>
      </c>
    </row>
    <row r="126" spans="1:10" ht="30" customHeight="1" x14ac:dyDescent="0.3">
      <c r="A126" s="117">
        <v>132</v>
      </c>
      <c r="B126" s="131">
        <v>498</v>
      </c>
      <c r="C126" s="111">
        <v>16</v>
      </c>
      <c r="D126" s="111">
        <v>4</v>
      </c>
      <c r="E126" s="240" t="s">
        <v>1611</v>
      </c>
      <c r="F126" s="243" t="s">
        <v>533</v>
      </c>
      <c r="G126" s="119" t="s">
        <v>938</v>
      </c>
      <c r="H126" s="246" t="s">
        <v>1688</v>
      </c>
      <c r="I126" s="245" t="s">
        <v>1949</v>
      </c>
      <c r="J126" s="120">
        <v>41337</v>
      </c>
    </row>
    <row r="127" spans="1:10" ht="30" customHeight="1" x14ac:dyDescent="0.3">
      <c r="A127" s="117">
        <v>133</v>
      </c>
      <c r="B127" s="131">
        <v>499</v>
      </c>
      <c r="C127" s="111">
        <v>16</v>
      </c>
      <c r="D127" s="111">
        <v>4</v>
      </c>
      <c r="E127" s="240" t="s">
        <v>1611</v>
      </c>
      <c r="F127" s="243" t="s">
        <v>533</v>
      </c>
      <c r="G127" s="119" t="s">
        <v>938</v>
      </c>
      <c r="H127" s="246" t="s">
        <v>1688</v>
      </c>
      <c r="I127" s="245" t="s">
        <v>1949</v>
      </c>
      <c r="J127" s="120">
        <v>41337</v>
      </c>
    </row>
    <row r="128" spans="1:10" ht="45" customHeight="1" x14ac:dyDescent="0.3">
      <c r="A128" s="117">
        <v>134</v>
      </c>
      <c r="B128" s="131">
        <v>501</v>
      </c>
      <c r="C128" s="111">
        <v>16</v>
      </c>
      <c r="D128" s="111">
        <v>4</v>
      </c>
      <c r="E128" s="240" t="s">
        <v>1611</v>
      </c>
      <c r="F128" s="243" t="s">
        <v>533</v>
      </c>
      <c r="G128" s="119" t="s">
        <v>939</v>
      </c>
      <c r="H128" s="246" t="s">
        <v>1690</v>
      </c>
      <c r="I128" s="245" t="s">
        <v>2075</v>
      </c>
      <c r="J128" s="120">
        <v>41337</v>
      </c>
    </row>
    <row r="129" spans="1:10" ht="30" customHeight="1" x14ac:dyDescent="0.3">
      <c r="A129" s="117">
        <v>135</v>
      </c>
      <c r="B129" s="131">
        <v>502</v>
      </c>
      <c r="C129" s="111">
        <v>2</v>
      </c>
      <c r="D129" s="111">
        <v>1</v>
      </c>
      <c r="E129" s="242" t="s">
        <v>1614</v>
      </c>
      <c r="F129" s="243" t="s">
        <v>1584</v>
      </c>
      <c r="G129" s="117" t="s">
        <v>921</v>
      </c>
      <c r="H129" s="245" t="s">
        <v>1716</v>
      </c>
      <c r="I129" s="245" t="s">
        <v>1909</v>
      </c>
      <c r="J129" s="120">
        <v>41401</v>
      </c>
    </row>
    <row r="130" spans="1:10" ht="45" customHeight="1" x14ac:dyDescent="0.3">
      <c r="A130" s="117">
        <v>136</v>
      </c>
      <c r="B130" s="131">
        <v>503</v>
      </c>
      <c r="C130" s="111">
        <v>16</v>
      </c>
      <c r="D130" s="111">
        <v>4</v>
      </c>
      <c r="E130" s="240" t="s">
        <v>1611</v>
      </c>
      <c r="F130" s="243" t="s">
        <v>533</v>
      </c>
      <c r="G130" s="119" t="s">
        <v>938</v>
      </c>
      <c r="H130" s="246" t="s">
        <v>1688</v>
      </c>
      <c r="I130" s="245" t="s">
        <v>1949</v>
      </c>
      <c r="J130" s="120">
        <v>41337</v>
      </c>
    </row>
    <row r="131" spans="1:10" ht="30" customHeight="1" x14ac:dyDescent="0.3">
      <c r="A131" s="117">
        <v>137</v>
      </c>
      <c r="B131" s="131">
        <v>504</v>
      </c>
      <c r="C131" s="111">
        <v>16</v>
      </c>
      <c r="D131" s="111">
        <v>4</v>
      </c>
      <c r="E131" s="240" t="s">
        <v>1611</v>
      </c>
      <c r="F131" s="243" t="s">
        <v>533</v>
      </c>
      <c r="G131" s="119" t="s">
        <v>938</v>
      </c>
      <c r="H131" s="246" t="s">
        <v>1688</v>
      </c>
      <c r="I131" s="245" t="s">
        <v>1949</v>
      </c>
      <c r="J131" s="120">
        <v>41337</v>
      </c>
    </row>
    <row r="132" spans="1:10" ht="45" customHeight="1" x14ac:dyDescent="0.3">
      <c r="A132" s="117">
        <v>138</v>
      </c>
      <c r="B132" s="131">
        <v>505</v>
      </c>
      <c r="C132" s="111">
        <v>1</v>
      </c>
      <c r="D132" s="111">
        <v>1</v>
      </c>
      <c r="E132" s="242" t="s">
        <v>1614</v>
      </c>
      <c r="F132" s="243" t="s">
        <v>1627</v>
      </c>
      <c r="G132" s="119" t="s">
        <v>935</v>
      </c>
      <c r="H132" s="246" t="s">
        <v>1744</v>
      </c>
      <c r="I132" s="245"/>
      <c r="J132" s="120">
        <v>41317</v>
      </c>
    </row>
    <row r="133" spans="1:10" ht="30" customHeight="1" x14ac:dyDescent="0.3">
      <c r="A133" s="117">
        <v>139</v>
      </c>
      <c r="B133" s="131">
        <v>506</v>
      </c>
      <c r="C133" s="111">
        <v>10</v>
      </c>
      <c r="D133" s="111">
        <v>2</v>
      </c>
      <c r="E133" s="241" t="s">
        <v>1613</v>
      </c>
      <c r="F133" s="243" t="s">
        <v>527</v>
      </c>
      <c r="G133" s="119" t="s">
        <v>940</v>
      </c>
      <c r="H133" s="246" t="s">
        <v>1766</v>
      </c>
      <c r="I133" s="245" t="s">
        <v>1958</v>
      </c>
      <c r="J133" s="120">
        <v>41337</v>
      </c>
    </row>
    <row r="134" spans="1:10" x14ac:dyDescent="0.3">
      <c r="A134" s="117">
        <v>140</v>
      </c>
      <c r="B134" s="131">
        <v>507</v>
      </c>
      <c r="C134" s="111">
        <v>6</v>
      </c>
      <c r="D134" s="111">
        <v>2</v>
      </c>
      <c r="E134" s="241" t="s">
        <v>1613</v>
      </c>
      <c r="F134" s="243" t="s">
        <v>404</v>
      </c>
      <c r="G134" s="119" t="s">
        <v>928</v>
      </c>
      <c r="H134" s="245" t="s">
        <v>1860</v>
      </c>
      <c r="I134" s="245"/>
      <c r="J134" s="120">
        <v>41338</v>
      </c>
    </row>
    <row r="135" spans="1:10" ht="30" customHeight="1" x14ac:dyDescent="0.3">
      <c r="A135" s="117">
        <v>141</v>
      </c>
      <c r="B135" s="131">
        <v>508</v>
      </c>
      <c r="C135" s="111">
        <v>8</v>
      </c>
      <c r="D135" s="111">
        <v>2</v>
      </c>
      <c r="E135" s="241" t="s">
        <v>1613</v>
      </c>
      <c r="F135" s="243" t="s">
        <v>1625</v>
      </c>
      <c r="G135" s="119" t="s">
        <v>941</v>
      </c>
      <c r="H135" s="246" t="s">
        <v>1624</v>
      </c>
      <c r="I135" s="245" t="s">
        <v>1916</v>
      </c>
      <c r="J135" s="120">
        <v>41338</v>
      </c>
    </row>
    <row r="136" spans="1:10" ht="60" customHeight="1" x14ac:dyDescent="0.3">
      <c r="A136" s="117">
        <v>142</v>
      </c>
      <c r="B136" s="131">
        <v>509</v>
      </c>
      <c r="C136" s="111">
        <v>1</v>
      </c>
      <c r="D136" s="111">
        <v>1</v>
      </c>
      <c r="E136" s="242" t="s">
        <v>1614</v>
      </c>
      <c r="F136" s="243" t="s">
        <v>1627</v>
      </c>
      <c r="G136" s="119" t="s">
        <v>915</v>
      </c>
      <c r="H136" s="245" t="s">
        <v>1742</v>
      </c>
      <c r="I136" s="245" t="s">
        <v>1940</v>
      </c>
      <c r="J136" s="120">
        <v>41338</v>
      </c>
    </row>
    <row r="137" spans="1:10" ht="30" customHeight="1" x14ac:dyDescent="0.3">
      <c r="A137" s="117">
        <v>143</v>
      </c>
      <c r="B137" s="131">
        <v>510</v>
      </c>
      <c r="C137" s="111">
        <v>8</v>
      </c>
      <c r="D137" s="111">
        <v>2</v>
      </c>
      <c r="E137" s="241" t="s">
        <v>1613</v>
      </c>
      <c r="F137" s="243" t="s">
        <v>1625</v>
      </c>
      <c r="G137" s="119" t="s">
        <v>941</v>
      </c>
      <c r="H137" s="246" t="s">
        <v>1624</v>
      </c>
      <c r="I137" s="245" t="s">
        <v>1915</v>
      </c>
      <c r="J137" s="120">
        <v>41338</v>
      </c>
    </row>
    <row r="138" spans="1:10" ht="60" customHeight="1" x14ac:dyDescent="0.3">
      <c r="A138" s="117">
        <v>144</v>
      </c>
      <c r="B138" s="131">
        <v>511</v>
      </c>
      <c r="C138" s="111">
        <v>1</v>
      </c>
      <c r="D138" s="111">
        <v>1</v>
      </c>
      <c r="E138" s="242" t="s">
        <v>1614</v>
      </c>
      <c r="F138" s="243" t="s">
        <v>1627</v>
      </c>
      <c r="G138" s="119" t="s">
        <v>915</v>
      </c>
      <c r="H138" s="245" t="s">
        <v>1742</v>
      </c>
      <c r="I138" s="245" t="s">
        <v>1940</v>
      </c>
      <c r="J138" s="120">
        <v>41338</v>
      </c>
    </row>
    <row r="139" spans="1:10" ht="60" customHeight="1" x14ac:dyDescent="0.3">
      <c r="A139" s="117">
        <v>145</v>
      </c>
      <c r="B139" s="131">
        <v>512</v>
      </c>
      <c r="C139" s="111">
        <v>1</v>
      </c>
      <c r="D139" s="111">
        <v>1</v>
      </c>
      <c r="E139" s="242" t="s">
        <v>1614</v>
      </c>
      <c r="F139" s="243" t="s">
        <v>1627</v>
      </c>
      <c r="G139" s="119" t="s">
        <v>915</v>
      </c>
      <c r="H139" s="245" t="s">
        <v>1742</v>
      </c>
      <c r="I139" s="245" t="s">
        <v>1940</v>
      </c>
      <c r="J139" s="120">
        <v>41338</v>
      </c>
    </row>
    <row r="140" spans="1:10" ht="45" customHeight="1" x14ac:dyDescent="0.3">
      <c r="A140" s="117">
        <v>146</v>
      </c>
      <c r="B140" s="131">
        <v>513</v>
      </c>
      <c r="C140" s="111">
        <v>18</v>
      </c>
      <c r="D140" s="111">
        <v>4</v>
      </c>
      <c r="E140" s="240" t="s">
        <v>1611</v>
      </c>
      <c r="F140" s="243" t="s">
        <v>1637</v>
      </c>
      <c r="G140" s="119" t="s">
        <v>2076</v>
      </c>
      <c r="H140" s="246" t="s">
        <v>2076</v>
      </c>
      <c r="I140" s="245" t="s">
        <v>1814</v>
      </c>
      <c r="J140" s="120">
        <v>41337</v>
      </c>
    </row>
    <row r="141" spans="1:10" ht="45" customHeight="1" x14ac:dyDescent="0.3">
      <c r="A141" s="117">
        <v>147</v>
      </c>
      <c r="B141" s="131">
        <v>514</v>
      </c>
      <c r="C141" s="111">
        <v>18</v>
      </c>
      <c r="D141" s="111">
        <v>4</v>
      </c>
      <c r="E141" s="240" t="s">
        <v>1611</v>
      </c>
      <c r="F141" s="243" t="s">
        <v>1637</v>
      </c>
      <c r="G141" s="119" t="s">
        <v>2076</v>
      </c>
      <c r="H141" s="246" t="s">
        <v>2076</v>
      </c>
      <c r="I141" s="245" t="s">
        <v>1814</v>
      </c>
      <c r="J141" s="120">
        <v>41337</v>
      </c>
    </row>
    <row r="142" spans="1:10" ht="45" customHeight="1" x14ac:dyDescent="0.3">
      <c r="A142" s="117">
        <v>148</v>
      </c>
      <c r="B142" s="131">
        <v>515</v>
      </c>
      <c r="C142" s="111">
        <v>18</v>
      </c>
      <c r="D142" s="111">
        <v>4</v>
      </c>
      <c r="E142" s="240" t="s">
        <v>1611</v>
      </c>
      <c r="F142" s="243" t="s">
        <v>1637</v>
      </c>
      <c r="G142" s="119" t="s">
        <v>2076</v>
      </c>
      <c r="H142" s="246" t="s">
        <v>2076</v>
      </c>
      <c r="I142" s="245" t="s">
        <v>1814</v>
      </c>
      <c r="J142" s="120"/>
    </row>
    <row r="143" spans="1:10" ht="45" customHeight="1" x14ac:dyDescent="0.3">
      <c r="A143" s="117">
        <v>149</v>
      </c>
      <c r="B143" s="131">
        <v>516</v>
      </c>
      <c r="C143" s="111">
        <v>18</v>
      </c>
      <c r="D143" s="111">
        <v>4</v>
      </c>
      <c r="E143" s="240" t="s">
        <v>1611</v>
      </c>
      <c r="F143" s="243" t="s">
        <v>1637</v>
      </c>
      <c r="G143" s="119" t="s">
        <v>2076</v>
      </c>
      <c r="H143" s="246" t="s">
        <v>2076</v>
      </c>
      <c r="I143" s="245" t="s">
        <v>1814</v>
      </c>
      <c r="J143" s="120">
        <v>41337</v>
      </c>
    </row>
    <row r="144" spans="1:10" ht="45" customHeight="1" x14ac:dyDescent="0.3">
      <c r="A144" s="117">
        <v>150</v>
      </c>
      <c r="B144" s="131">
        <v>517</v>
      </c>
      <c r="C144" s="111">
        <v>18</v>
      </c>
      <c r="D144" s="111">
        <v>4</v>
      </c>
      <c r="E144" s="240" t="s">
        <v>1611</v>
      </c>
      <c r="F144" s="243" t="s">
        <v>1637</v>
      </c>
      <c r="G144" s="119" t="s">
        <v>2076</v>
      </c>
      <c r="H144" s="246" t="s">
        <v>2076</v>
      </c>
      <c r="I144" s="245" t="s">
        <v>1814</v>
      </c>
      <c r="J144" s="120">
        <v>41337</v>
      </c>
    </row>
    <row r="145" spans="1:10" ht="45" customHeight="1" x14ac:dyDescent="0.3">
      <c r="A145" s="117">
        <v>151</v>
      </c>
      <c r="B145" s="131">
        <v>519</v>
      </c>
      <c r="C145" s="111">
        <v>18</v>
      </c>
      <c r="D145" s="111">
        <v>4</v>
      </c>
      <c r="E145" s="240" t="s">
        <v>1611</v>
      </c>
      <c r="F145" s="243" t="s">
        <v>1637</v>
      </c>
      <c r="G145" s="119" t="s">
        <v>1808</v>
      </c>
      <c r="H145" s="246" t="s">
        <v>1808</v>
      </c>
      <c r="I145" s="245" t="s">
        <v>1813</v>
      </c>
      <c r="J145" s="120">
        <v>41337</v>
      </c>
    </row>
    <row r="146" spans="1:10" ht="75" customHeight="1" x14ac:dyDescent="0.3">
      <c r="A146" s="117">
        <v>152</v>
      </c>
      <c r="B146" s="131">
        <v>520</v>
      </c>
      <c r="C146" s="111">
        <v>55</v>
      </c>
      <c r="D146" s="111">
        <v>6</v>
      </c>
      <c r="E146" s="241" t="s">
        <v>1615</v>
      </c>
      <c r="F146" s="243"/>
      <c r="G146" s="119" t="s">
        <v>1810</v>
      </c>
      <c r="H146" s="246" t="s">
        <v>1810</v>
      </c>
      <c r="I146" s="245"/>
      <c r="J146" s="120">
        <v>41338</v>
      </c>
    </row>
    <row r="147" spans="1:10" ht="45" customHeight="1" x14ac:dyDescent="0.3">
      <c r="A147" s="117">
        <v>153</v>
      </c>
      <c r="B147" s="131">
        <v>521</v>
      </c>
      <c r="C147" s="111">
        <v>18</v>
      </c>
      <c r="D147" s="111">
        <v>4</v>
      </c>
      <c r="E147" s="240" t="s">
        <v>1611</v>
      </c>
      <c r="F147" s="243" t="s">
        <v>1637</v>
      </c>
      <c r="G147" s="119" t="s">
        <v>942</v>
      </c>
      <c r="H147" s="246" t="s">
        <v>2076</v>
      </c>
      <c r="I147" s="245" t="s">
        <v>1813</v>
      </c>
      <c r="J147" s="120">
        <v>41337</v>
      </c>
    </row>
    <row r="148" spans="1:10" ht="30" customHeight="1" x14ac:dyDescent="0.3">
      <c r="A148" s="117">
        <v>154</v>
      </c>
      <c r="B148" s="131">
        <v>522</v>
      </c>
      <c r="C148" s="111">
        <v>16</v>
      </c>
      <c r="D148" s="111">
        <v>4</v>
      </c>
      <c r="E148" s="240" t="s">
        <v>1611</v>
      </c>
      <c r="F148" s="243" t="s">
        <v>533</v>
      </c>
      <c r="G148" s="119" t="s">
        <v>945</v>
      </c>
      <c r="H148" s="246" t="s">
        <v>1678</v>
      </c>
      <c r="I148" s="245" t="s">
        <v>1949</v>
      </c>
      <c r="J148" s="120">
        <v>41365</v>
      </c>
    </row>
    <row r="149" spans="1:10" ht="45" customHeight="1" x14ac:dyDescent="0.3">
      <c r="A149" s="117">
        <v>155</v>
      </c>
      <c r="B149" s="131">
        <v>523</v>
      </c>
      <c r="C149" s="111">
        <v>18</v>
      </c>
      <c r="D149" s="111">
        <v>4</v>
      </c>
      <c r="E149" s="240" t="s">
        <v>1611</v>
      </c>
      <c r="F149" s="243" t="s">
        <v>1637</v>
      </c>
      <c r="G149" s="119" t="s">
        <v>942</v>
      </c>
      <c r="H149" s="246" t="s">
        <v>1808</v>
      </c>
      <c r="I149" s="245" t="s">
        <v>1813</v>
      </c>
      <c r="J149" s="120">
        <v>41337</v>
      </c>
    </row>
    <row r="150" spans="1:10" ht="30" customHeight="1" x14ac:dyDescent="0.3">
      <c r="A150" s="117">
        <v>156</v>
      </c>
      <c r="B150" s="131">
        <v>524</v>
      </c>
      <c r="C150" s="111">
        <v>16</v>
      </c>
      <c r="D150" s="111">
        <v>4</v>
      </c>
      <c r="E150" s="240" t="s">
        <v>1611</v>
      </c>
      <c r="F150" s="243" t="s">
        <v>533</v>
      </c>
      <c r="G150" s="119" t="s">
        <v>945</v>
      </c>
      <c r="H150" s="246" t="s">
        <v>1678</v>
      </c>
      <c r="I150" s="245" t="s">
        <v>1949</v>
      </c>
      <c r="J150" s="120">
        <v>41365</v>
      </c>
    </row>
    <row r="151" spans="1:10" ht="30" customHeight="1" x14ac:dyDescent="0.3">
      <c r="A151" s="117">
        <v>157</v>
      </c>
      <c r="B151" s="131">
        <v>525</v>
      </c>
      <c r="C151" s="111">
        <v>16</v>
      </c>
      <c r="D151" s="111">
        <v>4</v>
      </c>
      <c r="E151" s="240" t="s">
        <v>1611</v>
      </c>
      <c r="F151" s="243" t="s">
        <v>533</v>
      </c>
      <c r="G151" s="119" t="s">
        <v>945</v>
      </c>
      <c r="H151" s="246" t="s">
        <v>1678</v>
      </c>
      <c r="I151" s="245" t="s">
        <v>1949</v>
      </c>
      <c r="J151" s="120">
        <v>41365</v>
      </c>
    </row>
    <row r="152" spans="1:10" ht="30" customHeight="1" x14ac:dyDescent="0.3">
      <c r="A152" s="117">
        <v>158</v>
      </c>
      <c r="B152" s="131">
        <v>526</v>
      </c>
      <c r="C152" s="111">
        <v>16</v>
      </c>
      <c r="D152" s="111">
        <v>4</v>
      </c>
      <c r="E152" s="240" t="s">
        <v>1611</v>
      </c>
      <c r="F152" s="243" t="s">
        <v>533</v>
      </c>
      <c r="G152" s="119" t="s">
        <v>945</v>
      </c>
      <c r="H152" s="246" t="s">
        <v>1678</v>
      </c>
      <c r="I152" s="245" t="s">
        <v>1949</v>
      </c>
      <c r="J152" s="120">
        <v>41365</v>
      </c>
    </row>
    <row r="153" spans="1:10" ht="30" customHeight="1" x14ac:dyDescent="0.3">
      <c r="A153" s="117">
        <v>159</v>
      </c>
      <c r="B153" s="131">
        <v>527</v>
      </c>
      <c r="C153" s="111">
        <v>16</v>
      </c>
      <c r="D153" s="111">
        <v>4</v>
      </c>
      <c r="E153" s="240" t="s">
        <v>1611</v>
      </c>
      <c r="F153" s="243" t="s">
        <v>533</v>
      </c>
      <c r="G153" s="119" t="s">
        <v>945</v>
      </c>
      <c r="H153" s="246" t="s">
        <v>1678</v>
      </c>
      <c r="I153" s="245" t="s">
        <v>1949</v>
      </c>
      <c r="J153" s="120">
        <v>41365</v>
      </c>
    </row>
    <row r="154" spans="1:10" ht="30" customHeight="1" x14ac:dyDescent="0.3">
      <c r="A154" s="117">
        <v>160</v>
      </c>
      <c r="B154" s="131">
        <v>528</v>
      </c>
      <c r="C154" s="111">
        <v>16</v>
      </c>
      <c r="D154" s="111">
        <v>4</v>
      </c>
      <c r="E154" s="240" t="s">
        <v>1611</v>
      </c>
      <c r="F154" s="243" t="s">
        <v>533</v>
      </c>
      <c r="G154" s="119" t="s">
        <v>945</v>
      </c>
      <c r="H154" s="246" t="s">
        <v>1678</v>
      </c>
      <c r="I154" s="245" t="s">
        <v>1949</v>
      </c>
      <c r="J154" s="120">
        <v>41365</v>
      </c>
    </row>
    <row r="155" spans="1:10" ht="30" customHeight="1" x14ac:dyDescent="0.3">
      <c r="A155" s="117">
        <v>161</v>
      </c>
      <c r="B155" s="131">
        <v>529</v>
      </c>
      <c r="C155" s="111">
        <v>16</v>
      </c>
      <c r="D155" s="111">
        <v>4</v>
      </c>
      <c r="E155" s="240" t="s">
        <v>1611</v>
      </c>
      <c r="F155" s="243" t="s">
        <v>533</v>
      </c>
      <c r="G155" s="119" t="s">
        <v>945</v>
      </c>
      <c r="H155" s="246" t="s">
        <v>1678</v>
      </c>
      <c r="I155" s="245" t="s">
        <v>1949</v>
      </c>
      <c r="J155" s="120">
        <v>41365</v>
      </c>
    </row>
    <row r="156" spans="1:10" ht="30" customHeight="1" x14ac:dyDescent="0.3">
      <c r="A156" s="117">
        <v>162</v>
      </c>
      <c r="B156" s="131">
        <v>530</v>
      </c>
      <c r="C156" s="111">
        <v>16</v>
      </c>
      <c r="D156" s="111">
        <v>4</v>
      </c>
      <c r="E156" s="240" t="s">
        <v>1611</v>
      </c>
      <c r="F156" s="243" t="s">
        <v>533</v>
      </c>
      <c r="G156" s="119" t="s">
        <v>945</v>
      </c>
      <c r="H156" s="246" t="s">
        <v>1678</v>
      </c>
      <c r="I156" s="245" t="s">
        <v>1949</v>
      </c>
      <c r="J156" s="120">
        <v>41365</v>
      </c>
    </row>
    <row r="157" spans="1:10" ht="30" customHeight="1" x14ac:dyDescent="0.3">
      <c r="A157" s="117">
        <v>163</v>
      </c>
      <c r="B157" s="131">
        <v>531</v>
      </c>
      <c r="C157" s="111">
        <v>16</v>
      </c>
      <c r="D157" s="111">
        <v>4</v>
      </c>
      <c r="E157" s="240" t="s">
        <v>1611</v>
      </c>
      <c r="F157" s="243" t="s">
        <v>533</v>
      </c>
      <c r="G157" s="119" t="s">
        <v>945</v>
      </c>
      <c r="H157" s="246" t="s">
        <v>1678</v>
      </c>
      <c r="I157" s="245" t="s">
        <v>1949</v>
      </c>
      <c r="J157" s="120">
        <v>41365</v>
      </c>
    </row>
    <row r="158" spans="1:10" ht="60" customHeight="1" x14ac:dyDescent="0.3">
      <c r="A158" s="117">
        <v>164</v>
      </c>
      <c r="B158" s="131">
        <v>532</v>
      </c>
      <c r="C158" s="111">
        <v>21</v>
      </c>
      <c r="D158" s="111">
        <v>2</v>
      </c>
      <c r="E158" s="241" t="s">
        <v>1613</v>
      </c>
      <c r="F158" s="243" t="s">
        <v>1593</v>
      </c>
      <c r="G158" s="119" t="s">
        <v>946</v>
      </c>
      <c r="H158" s="246" t="s">
        <v>946</v>
      </c>
      <c r="I158" s="245" t="s">
        <v>1901</v>
      </c>
      <c r="J158" s="120">
        <v>41365</v>
      </c>
    </row>
    <row r="159" spans="1:10" ht="45" customHeight="1" x14ac:dyDescent="0.3">
      <c r="A159" s="117">
        <v>165</v>
      </c>
      <c r="B159" s="131">
        <v>533</v>
      </c>
      <c r="C159" s="111">
        <v>1</v>
      </c>
      <c r="D159" s="111">
        <v>1</v>
      </c>
      <c r="E159" s="242" t="s">
        <v>1614</v>
      </c>
      <c r="F159" s="243" t="s">
        <v>1627</v>
      </c>
      <c r="G159" s="119" t="s">
        <v>915</v>
      </c>
      <c r="H159" s="245" t="s">
        <v>1742</v>
      </c>
      <c r="I159" s="245"/>
      <c r="J159" s="120">
        <v>41394</v>
      </c>
    </row>
    <row r="160" spans="1:10" ht="60" customHeight="1" x14ac:dyDescent="0.3">
      <c r="A160" s="117">
        <v>166</v>
      </c>
      <c r="B160" s="131">
        <v>534</v>
      </c>
      <c r="C160" s="111">
        <v>1</v>
      </c>
      <c r="D160" s="111">
        <v>1</v>
      </c>
      <c r="E160" s="242" t="s">
        <v>1614</v>
      </c>
      <c r="F160" s="243" t="s">
        <v>1627</v>
      </c>
      <c r="G160" s="119" t="s">
        <v>915</v>
      </c>
      <c r="H160" s="245" t="s">
        <v>1742</v>
      </c>
      <c r="I160" s="245" t="s">
        <v>1940</v>
      </c>
      <c r="J160" s="120">
        <v>41394</v>
      </c>
    </row>
    <row r="161" spans="1:10" ht="90" customHeight="1" x14ac:dyDescent="0.3">
      <c r="A161" s="117">
        <v>167</v>
      </c>
      <c r="B161" s="131">
        <v>535</v>
      </c>
      <c r="C161" s="111">
        <v>1</v>
      </c>
      <c r="D161" s="111">
        <v>1</v>
      </c>
      <c r="E161" s="242" t="s">
        <v>1614</v>
      </c>
      <c r="F161" s="243" t="s">
        <v>1627</v>
      </c>
      <c r="G161" s="119" t="s">
        <v>915</v>
      </c>
      <c r="H161" s="245" t="s">
        <v>1742</v>
      </c>
      <c r="I161" s="245" t="s">
        <v>1576</v>
      </c>
      <c r="J161" s="120">
        <v>41394</v>
      </c>
    </row>
    <row r="162" spans="1:10" ht="60" customHeight="1" x14ac:dyDescent="0.3">
      <c r="A162" s="117">
        <v>168</v>
      </c>
      <c r="B162" s="131">
        <v>536</v>
      </c>
      <c r="C162" s="111">
        <v>1</v>
      </c>
      <c r="D162" s="111">
        <v>1</v>
      </c>
      <c r="E162" s="242" t="s">
        <v>1614</v>
      </c>
      <c r="F162" s="243" t="s">
        <v>1627</v>
      </c>
      <c r="G162" s="119" t="s">
        <v>915</v>
      </c>
      <c r="H162" s="245" t="s">
        <v>1742</v>
      </c>
      <c r="I162" s="245" t="s">
        <v>1940</v>
      </c>
      <c r="J162" s="120">
        <v>41394</v>
      </c>
    </row>
    <row r="163" spans="1:10" ht="45" customHeight="1" x14ac:dyDescent="0.3">
      <c r="A163" s="117">
        <v>169</v>
      </c>
      <c r="B163" s="131">
        <v>537</v>
      </c>
      <c r="C163" s="111">
        <v>1</v>
      </c>
      <c r="D163" s="111">
        <v>1</v>
      </c>
      <c r="E163" s="242" t="s">
        <v>1614</v>
      </c>
      <c r="F163" s="243" t="s">
        <v>1627</v>
      </c>
      <c r="G163" s="119" t="s">
        <v>915</v>
      </c>
      <c r="H163" s="245" t="s">
        <v>1742</v>
      </c>
      <c r="I163" s="245"/>
      <c r="J163" s="120">
        <v>41394</v>
      </c>
    </row>
    <row r="164" spans="1:10" ht="45" customHeight="1" x14ac:dyDescent="0.3">
      <c r="A164" s="117">
        <v>170</v>
      </c>
      <c r="B164" s="131">
        <v>538</v>
      </c>
      <c r="C164" s="111">
        <v>20</v>
      </c>
      <c r="D164" s="111">
        <v>1</v>
      </c>
      <c r="E164" s="242" t="s">
        <v>1614</v>
      </c>
      <c r="F164" s="243" t="s">
        <v>537</v>
      </c>
      <c r="G164" s="119" t="s">
        <v>947</v>
      </c>
      <c r="H164" s="246" t="s">
        <v>947</v>
      </c>
      <c r="I164" s="245" t="s">
        <v>1582</v>
      </c>
      <c r="J164" s="120">
        <v>41372</v>
      </c>
    </row>
    <row r="165" spans="1:10" ht="45" customHeight="1" x14ac:dyDescent="0.3">
      <c r="A165" s="117">
        <v>171</v>
      </c>
      <c r="B165" s="131">
        <v>539</v>
      </c>
      <c r="C165" s="111">
        <v>29</v>
      </c>
      <c r="D165" s="111">
        <v>3</v>
      </c>
      <c r="E165" s="243" t="s">
        <v>1610</v>
      </c>
      <c r="F165" s="243" t="s">
        <v>1598</v>
      </c>
      <c r="G165" s="117" t="s">
        <v>1652</v>
      </c>
      <c r="H165" s="245" t="s">
        <v>1652</v>
      </c>
      <c r="I165" s="245"/>
      <c r="J165" s="120">
        <v>41411</v>
      </c>
    </row>
    <row r="166" spans="1:10" ht="45" customHeight="1" x14ac:dyDescent="0.3">
      <c r="A166" s="117">
        <v>172</v>
      </c>
      <c r="B166" s="131">
        <v>540</v>
      </c>
      <c r="C166" s="111">
        <v>29</v>
      </c>
      <c r="D166" s="111">
        <v>3</v>
      </c>
      <c r="E166" s="243" t="s">
        <v>1610</v>
      </c>
      <c r="F166" s="243" t="s">
        <v>1598</v>
      </c>
      <c r="G166" s="117" t="s">
        <v>2077</v>
      </c>
      <c r="H166" s="246" t="s">
        <v>1652</v>
      </c>
      <c r="I166" s="245"/>
      <c r="J166" s="120">
        <v>41411</v>
      </c>
    </row>
    <row r="167" spans="1:10" ht="30" customHeight="1" x14ac:dyDescent="0.3">
      <c r="A167" s="117">
        <v>173</v>
      </c>
      <c r="B167" s="131">
        <v>542</v>
      </c>
      <c r="C167" s="111">
        <v>14</v>
      </c>
      <c r="D167" s="111">
        <v>2</v>
      </c>
      <c r="E167" s="241" t="s">
        <v>1613</v>
      </c>
      <c r="F167" s="243" t="s">
        <v>1591</v>
      </c>
      <c r="G167" s="117" t="s">
        <v>2078</v>
      </c>
      <c r="H167" s="245" t="s">
        <v>2078</v>
      </c>
      <c r="I167" s="245"/>
      <c r="J167" s="120">
        <v>41411</v>
      </c>
    </row>
    <row r="168" spans="1:10" ht="45" customHeight="1" x14ac:dyDescent="0.3">
      <c r="A168" s="117">
        <v>174</v>
      </c>
      <c r="B168" s="131">
        <v>543</v>
      </c>
      <c r="C168" s="111">
        <v>54</v>
      </c>
      <c r="D168" s="111">
        <v>3</v>
      </c>
      <c r="E168" s="243" t="s">
        <v>1610</v>
      </c>
      <c r="F168" s="243" t="s">
        <v>1602</v>
      </c>
      <c r="G168" s="117" t="s">
        <v>950</v>
      </c>
      <c r="H168" s="245" t="s">
        <v>1864</v>
      </c>
      <c r="I168" s="245"/>
      <c r="J168" s="120">
        <v>41411</v>
      </c>
    </row>
    <row r="169" spans="1:10" ht="30" customHeight="1" x14ac:dyDescent="0.3">
      <c r="A169" s="117">
        <v>175</v>
      </c>
      <c r="B169" s="131">
        <v>544</v>
      </c>
      <c r="C169" s="111">
        <v>8</v>
      </c>
      <c r="D169" s="111">
        <v>2</v>
      </c>
      <c r="E169" s="241" t="s">
        <v>1613</v>
      </c>
      <c r="F169" s="243" t="s">
        <v>1625</v>
      </c>
      <c r="G169" s="119" t="s">
        <v>951</v>
      </c>
      <c r="H169" s="246" t="s">
        <v>1659</v>
      </c>
      <c r="I169" s="245" t="s">
        <v>1959</v>
      </c>
      <c r="J169" s="120">
        <v>41410</v>
      </c>
    </row>
    <row r="170" spans="1:10" ht="45" customHeight="1" x14ac:dyDescent="0.3">
      <c r="A170" s="117">
        <v>176</v>
      </c>
      <c r="B170" s="131">
        <v>545</v>
      </c>
      <c r="C170" s="111">
        <v>1</v>
      </c>
      <c r="D170" s="111">
        <v>1</v>
      </c>
      <c r="E170" s="242" t="s">
        <v>1614</v>
      </c>
      <c r="F170" s="243" t="s">
        <v>1627</v>
      </c>
      <c r="G170" s="119" t="s">
        <v>952</v>
      </c>
      <c r="H170" s="246" t="s">
        <v>1746</v>
      </c>
      <c r="I170" s="245"/>
      <c r="J170" s="120">
        <v>41410</v>
      </c>
    </row>
    <row r="171" spans="1:10" ht="45" customHeight="1" x14ac:dyDescent="0.3">
      <c r="A171" s="117">
        <v>177</v>
      </c>
      <c r="B171" s="131">
        <v>546</v>
      </c>
      <c r="C171" s="111">
        <v>1</v>
      </c>
      <c r="D171" s="111">
        <v>1</v>
      </c>
      <c r="E171" s="242" t="s">
        <v>1614</v>
      </c>
      <c r="F171" s="243" t="s">
        <v>1627</v>
      </c>
      <c r="G171" s="119" t="s">
        <v>952</v>
      </c>
      <c r="H171" s="246" t="s">
        <v>1746</v>
      </c>
      <c r="I171" s="245"/>
      <c r="J171" s="120">
        <v>41410</v>
      </c>
    </row>
    <row r="172" spans="1:10" ht="45" customHeight="1" x14ac:dyDescent="0.3">
      <c r="A172" s="117">
        <v>178</v>
      </c>
      <c r="B172" s="131">
        <v>547</v>
      </c>
      <c r="C172" s="111">
        <v>1</v>
      </c>
      <c r="D172" s="111">
        <v>1</v>
      </c>
      <c r="E172" s="242" t="s">
        <v>1614</v>
      </c>
      <c r="F172" s="243" t="s">
        <v>1627</v>
      </c>
      <c r="G172" s="119" t="s">
        <v>952</v>
      </c>
      <c r="H172" s="246" t="s">
        <v>1746</v>
      </c>
      <c r="I172" s="245"/>
      <c r="J172" s="120">
        <v>41410</v>
      </c>
    </row>
    <row r="173" spans="1:10" ht="45" customHeight="1" x14ac:dyDescent="0.3">
      <c r="A173" s="117">
        <v>179</v>
      </c>
      <c r="B173" s="131">
        <v>548</v>
      </c>
      <c r="C173" s="111">
        <v>1</v>
      </c>
      <c r="D173" s="111">
        <v>1</v>
      </c>
      <c r="E173" s="242" t="s">
        <v>1614</v>
      </c>
      <c r="F173" s="243" t="s">
        <v>1627</v>
      </c>
      <c r="G173" s="119" t="s">
        <v>952</v>
      </c>
      <c r="H173" s="246" t="s">
        <v>1746</v>
      </c>
      <c r="I173" s="245"/>
      <c r="J173" s="120">
        <v>41410</v>
      </c>
    </row>
    <row r="174" spans="1:10" ht="45" customHeight="1" x14ac:dyDescent="0.3">
      <c r="A174" s="117">
        <v>180</v>
      </c>
      <c r="B174" s="131">
        <v>549</v>
      </c>
      <c r="C174" s="111">
        <v>1</v>
      </c>
      <c r="D174" s="111">
        <v>1</v>
      </c>
      <c r="E174" s="242" t="s">
        <v>1614</v>
      </c>
      <c r="F174" s="243" t="s">
        <v>1627</v>
      </c>
      <c r="G174" s="119" t="s">
        <v>952</v>
      </c>
      <c r="H174" s="246" t="s">
        <v>1746</v>
      </c>
      <c r="I174" s="245"/>
      <c r="J174" s="120">
        <v>41410</v>
      </c>
    </row>
    <row r="175" spans="1:10" ht="45" customHeight="1" x14ac:dyDescent="0.3">
      <c r="A175" s="117">
        <v>181</v>
      </c>
      <c r="B175" s="131">
        <v>550</v>
      </c>
      <c r="C175" s="111">
        <v>1</v>
      </c>
      <c r="D175" s="111">
        <v>1</v>
      </c>
      <c r="E175" s="242" t="s">
        <v>1614</v>
      </c>
      <c r="F175" s="243" t="s">
        <v>1627</v>
      </c>
      <c r="G175" s="119" t="s">
        <v>952</v>
      </c>
      <c r="H175" s="246" t="s">
        <v>1746</v>
      </c>
      <c r="I175" s="245"/>
      <c r="J175" s="120">
        <v>41410</v>
      </c>
    </row>
    <row r="176" spans="1:10" ht="45" customHeight="1" x14ac:dyDescent="0.3">
      <c r="A176" s="117">
        <v>182</v>
      </c>
      <c r="B176" s="131">
        <v>551</v>
      </c>
      <c r="C176" s="111">
        <v>1</v>
      </c>
      <c r="D176" s="111">
        <v>1</v>
      </c>
      <c r="E176" s="242" t="s">
        <v>1614</v>
      </c>
      <c r="F176" s="243" t="s">
        <v>1627</v>
      </c>
      <c r="G176" s="119" t="s">
        <v>952</v>
      </c>
      <c r="H176" s="246" t="s">
        <v>1746</v>
      </c>
      <c r="I176" s="245"/>
      <c r="J176" s="120">
        <v>41410</v>
      </c>
    </row>
    <row r="177" spans="1:10" ht="45" customHeight="1" x14ac:dyDescent="0.3">
      <c r="A177" s="117">
        <v>183</v>
      </c>
      <c r="B177" s="131">
        <v>552</v>
      </c>
      <c r="C177" s="111">
        <v>1</v>
      </c>
      <c r="D177" s="111">
        <v>1</v>
      </c>
      <c r="E177" s="242" t="s">
        <v>1614</v>
      </c>
      <c r="F177" s="243" t="s">
        <v>1627</v>
      </c>
      <c r="G177" s="119" t="s">
        <v>952</v>
      </c>
      <c r="H177" s="246" t="s">
        <v>1746</v>
      </c>
      <c r="I177" s="245"/>
      <c r="J177" s="120">
        <v>41410</v>
      </c>
    </row>
    <row r="178" spans="1:10" ht="45" customHeight="1" x14ac:dyDescent="0.3">
      <c r="A178" s="117">
        <v>184</v>
      </c>
      <c r="B178" s="131">
        <v>553</v>
      </c>
      <c r="C178" s="111">
        <v>1</v>
      </c>
      <c r="D178" s="111">
        <v>1</v>
      </c>
      <c r="E178" s="242" t="s">
        <v>1614</v>
      </c>
      <c r="F178" s="243" t="s">
        <v>1627</v>
      </c>
      <c r="G178" s="119" t="s">
        <v>952</v>
      </c>
      <c r="H178" s="246" t="s">
        <v>1746</v>
      </c>
      <c r="I178" s="245"/>
      <c r="J178" s="120">
        <v>41410</v>
      </c>
    </row>
    <row r="179" spans="1:10" ht="45" customHeight="1" x14ac:dyDescent="0.3">
      <c r="A179" s="117">
        <v>185</v>
      </c>
      <c r="B179" s="131">
        <v>554</v>
      </c>
      <c r="C179" s="111">
        <v>1</v>
      </c>
      <c r="D179" s="111">
        <v>1</v>
      </c>
      <c r="E179" s="242" t="s">
        <v>1614</v>
      </c>
      <c r="F179" s="243" t="s">
        <v>1627</v>
      </c>
      <c r="G179" s="119" t="s">
        <v>952</v>
      </c>
      <c r="H179" s="246" t="s">
        <v>1746</v>
      </c>
      <c r="I179" s="245"/>
      <c r="J179" s="120">
        <v>41410</v>
      </c>
    </row>
    <row r="180" spans="1:10" ht="45" customHeight="1" x14ac:dyDescent="0.3">
      <c r="A180" s="117">
        <v>186</v>
      </c>
      <c r="B180" s="131">
        <v>584</v>
      </c>
      <c r="C180" s="111">
        <v>1</v>
      </c>
      <c r="D180" s="111">
        <v>1</v>
      </c>
      <c r="E180" s="242" t="s">
        <v>1614</v>
      </c>
      <c r="F180" s="243" t="s">
        <v>1627</v>
      </c>
      <c r="G180" s="119" t="s">
        <v>953</v>
      </c>
      <c r="H180" s="246" t="s">
        <v>1752</v>
      </c>
      <c r="I180" s="245"/>
      <c r="J180" s="120">
        <v>38471</v>
      </c>
    </row>
    <row r="181" spans="1:10" ht="45" customHeight="1" x14ac:dyDescent="0.3">
      <c r="A181" s="117">
        <v>187</v>
      </c>
      <c r="B181" s="131">
        <v>594</v>
      </c>
      <c r="C181" s="111">
        <v>1</v>
      </c>
      <c r="D181" s="111">
        <v>1</v>
      </c>
      <c r="E181" s="242" t="s">
        <v>1614</v>
      </c>
      <c r="F181" s="243" t="s">
        <v>1627</v>
      </c>
      <c r="G181" s="119" t="s">
        <v>954</v>
      </c>
      <c r="H181" s="246" t="s">
        <v>1753</v>
      </c>
      <c r="I181" s="245"/>
      <c r="J181" s="120">
        <v>38315</v>
      </c>
    </row>
    <row r="182" spans="1:10" ht="54.75" customHeight="1" x14ac:dyDescent="0.3">
      <c r="A182" s="117">
        <v>188</v>
      </c>
      <c r="B182" s="131">
        <v>599</v>
      </c>
      <c r="C182" s="111">
        <v>7</v>
      </c>
      <c r="D182" s="111">
        <v>3</v>
      </c>
      <c r="E182" s="243" t="s">
        <v>1610</v>
      </c>
      <c r="F182" s="243" t="s">
        <v>524</v>
      </c>
      <c r="G182" s="119" t="s">
        <v>955</v>
      </c>
      <c r="H182" s="246" t="s">
        <v>2079</v>
      </c>
      <c r="I182" s="245" t="s">
        <v>1917</v>
      </c>
      <c r="J182" s="120">
        <v>37956</v>
      </c>
    </row>
    <row r="183" spans="1:10" x14ac:dyDescent="0.3">
      <c r="A183" s="117">
        <v>189</v>
      </c>
      <c r="B183" s="131">
        <v>616</v>
      </c>
      <c r="C183" s="111">
        <v>6</v>
      </c>
      <c r="D183" s="111">
        <v>2</v>
      </c>
      <c r="E183" s="241" t="s">
        <v>1613</v>
      </c>
      <c r="F183" s="243" t="s">
        <v>404</v>
      </c>
      <c r="G183" s="119" t="s">
        <v>1860</v>
      </c>
      <c r="H183" s="245" t="s">
        <v>1860</v>
      </c>
      <c r="I183" s="245"/>
      <c r="J183" s="122">
        <v>25012006</v>
      </c>
    </row>
    <row r="184" spans="1:10" ht="30" customHeight="1" x14ac:dyDescent="0.3">
      <c r="A184" s="117">
        <v>191</v>
      </c>
      <c r="B184" s="131">
        <v>622</v>
      </c>
      <c r="C184" s="111">
        <v>16</v>
      </c>
      <c r="D184" s="111">
        <v>4</v>
      </c>
      <c r="E184" s="240" t="s">
        <v>1611</v>
      </c>
      <c r="F184" s="243" t="s">
        <v>533</v>
      </c>
      <c r="G184" s="117" t="s">
        <v>957</v>
      </c>
      <c r="H184" s="245" t="s">
        <v>957</v>
      </c>
      <c r="I184" s="245" t="s">
        <v>1948</v>
      </c>
      <c r="J184" s="122">
        <v>30092004</v>
      </c>
    </row>
    <row r="185" spans="1:10" ht="30" customHeight="1" x14ac:dyDescent="0.3">
      <c r="A185" s="117">
        <v>193</v>
      </c>
      <c r="B185" s="131">
        <v>627</v>
      </c>
      <c r="C185" s="111">
        <v>11</v>
      </c>
      <c r="D185" s="111">
        <v>3</v>
      </c>
      <c r="E185" s="243" t="s">
        <v>1610</v>
      </c>
      <c r="F185" s="243" t="s">
        <v>1646</v>
      </c>
      <c r="G185" s="117" t="s">
        <v>959</v>
      </c>
      <c r="H185" s="245" t="s">
        <v>2080</v>
      </c>
      <c r="I185" s="245"/>
      <c r="J185" s="122">
        <v>26072005</v>
      </c>
    </row>
    <row r="186" spans="1:10" ht="45" customHeight="1" x14ac:dyDescent="0.3">
      <c r="A186" s="117">
        <v>194</v>
      </c>
      <c r="B186" s="131">
        <v>628</v>
      </c>
      <c r="C186" s="111">
        <v>1</v>
      </c>
      <c r="D186" s="111">
        <v>1</v>
      </c>
      <c r="E186" s="242" t="s">
        <v>1614</v>
      </c>
      <c r="F186" s="243" t="s">
        <v>1627</v>
      </c>
      <c r="G186" s="119" t="s">
        <v>960</v>
      </c>
      <c r="H186" s="246" t="s">
        <v>1755</v>
      </c>
      <c r="I186" s="245" t="s">
        <v>1960</v>
      </c>
      <c r="J186" s="122">
        <v>11052005</v>
      </c>
    </row>
    <row r="187" spans="1:10" ht="45" customHeight="1" x14ac:dyDescent="0.3">
      <c r="A187" s="117">
        <v>195</v>
      </c>
      <c r="B187" s="131">
        <v>632</v>
      </c>
      <c r="C187" s="111">
        <v>1</v>
      </c>
      <c r="D187" s="111">
        <v>1</v>
      </c>
      <c r="E187" s="242" t="s">
        <v>1614</v>
      </c>
      <c r="F187" s="243" t="s">
        <v>1627</v>
      </c>
      <c r="G187" s="119" t="s">
        <v>960</v>
      </c>
      <c r="H187" s="246" t="s">
        <v>1755</v>
      </c>
      <c r="I187" s="245"/>
      <c r="J187" s="122">
        <v>11052006</v>
      </c>
    </row>
    <row r="188" spans="1:10" ht="45" customHeight="1" x14ac:dyDescent="0.3">
      <c r="A188" s="117">
        <v>196</v>
      </c>
      <c r="B188" s="131">
        <v>639</v>
      </c>
      <c r="C188" s="111">
        <v>54</v>
      </c>
      <c r="D188" s="111">
        <v>3</v>
      </c>
      <c r="E188" s="243" t="s">
        <v>1610</v>
      </c>
      <c r="F188" s="243" t="s">
        <v>1602</v>
      </c>
      <c r="G188" s="119" t="s">
        <v>961</v>
      </c>
      <c r="H188" s="246" t="s">
        <v>1865</v>
      </c>
      <c r="I188" s="245"/>
      <c r="J188" s="122">
        <v>8092005</v>
      </c>
    </row>
    <row r="189" spans="1:10" ht="45" customHeight="1" x14ac:dyDescent="0.3">
      <c r="A189" s="117">
        <v>197</v>
      </c>
      <c r="B189" s="131">
        <v>640</v>
      </c>
      <c r="C189" s="111">
        <v>5</v>
      </c>
      <c r="D189" s="111">
        <v>2</v>
      </c>
      <c r="E189" s="241" t="s">
        <v>1613</v>
      </c>
      <c r="F189" s="243" t="s">
        <v>403</v>
      </c>
      <c r="G189" s="119" t="s">
        <v>850</v>
      </c>
      <c r="H189" s="246" t="s">
        <v>850</v>
      </c>
      <c r="I189" s="247" t="s">
        <v>1776</v>
      </c>
      <c r="J189" s="122">
        <v>21112005</v>
      </c>
    </row>
    <row r="190" spans="1:10" ht="45" customHeight="1" x14ac:dyDescent="0.3">
      <c r="A190" s="117">
        <v>198</v>
      </c>
      <c r="B190" s="131">
        <v>643</v>
      </c>
      <c r="C190" s="111">
        <v>1</v>
      </c>
      <c r="D190" s="111">
        <v>1</v>
      </c>
      <c r="E190" s="242" t="s">
        <v>1614</v>
      </c>
      <c r="F190" s="243" t="s">
        <v>1627</v>
      </c>
      <c r="G190" s="119" t="s">
        <v>796</v>
      </c>
      <c r="H190" s="246" t="s">
        <v>1753</v>
      </c>
      <c r="I190" s="245"/>
      <c r="J190" s="122">
        <v>11052006</v>
      </c>
    </row>
    <row r="191" spans="1:10" ht="45" customHeight="1" x14ac:dyDescent="0.3">
      <c r="A191" s="117">
        <v>199</v>
      </c>
      <c r="B191" s="131">
        <v>644</v>
      </c>
      <c r="C191" s="111">
        <v>1</v>
      </c>
      <c r="D191" s="111">
        <v>1</v>
      </c>
      <c r="E191" s="242" t="s">
        <v>1614</v>
      </c>
      <c r="F191" s="243" t="s">
        <v>1627</v>
      </c>
      <c r="G191" s="119" t="s">
        <v>962</v>
      </c>
      <c r="H191" s="246" t="s">
        <v>1756</v>
      </c>
      <c r="I191" s="245" t="s">
        <v>1580</v>
      </c>
      <c r="J191" s="122">
        <v>14092006</v>
      </c>
    </row>
    <row r="192" spans="1:10" ht="45" customHeight="1" x14ac:dyDescent="0.3">
      <c r="A192" s="117">
        <v>200</v>
      </c>
      <c r="B192" s="131">
        <v>647</v>
      </c>
      <c r="C192" s="111">
        <v>1</v>
      </c>
      <c r="D192" s="111">
        <v>1</v>
      </c>
      <c r="E192" s="242" t="s">
        <v>1614</v>
      </c>
      <c r="F192" s="243" t="s">
        <v>1627</v>
      </c>
      <c r="G192" s="119" t="s">
        <v>962</v>
      </c>
      <c r="H192" s="246" t="s">
        <v>1756</v>
      </c>
      <c r="I192" s="245" t="s">
        <v>1580</v>
      </c>
      <c r="J192" s="122">
        <v>14092006</v>
      </c>
    </row>
    <row r="193" spans="1:10" ht="60" customHeight="1" x14ac:dyDescent="0.3">
      <c r="A193" s="117">
        <v>201</v>
      </c>
      <c r="B193" s="131">
        <v>648</v>
      </c>
      <c r="C193" s="111">
        <v>9</v>
      </c>
      <c r="D193" s="111">
        <v>2</v>
      </c>
      <c r="E193" s="241" t="s">
        <v>1613</v>
      </c>
      <c r="F193" s="243" t="s">
        <v>526</v>
      </c>
      <c r="G193" s="119" t="s">
        <v>816</v>
      </c>
      <c r="H193" s="245" t="s">
        <v>1821</v>
      </c>
      <c r="I193" s="245" t="s">
        <v>1822</v>
      </c>
      <c r="J193" s="122">
        <v>31102006</v>
      </c>
    </row>
    <row r="194" spans="1:10" ht="45" customHeight="1" x14ac:dyDescent="0.3">
      <c r="A194" s="117">
        <v>202</v>
      </c>
      <c r="B194" s="131">
        <v>650</v>
      </c>
      <c r="C194" s="111">
        <v>16</v>
      </c>
      <c r="D194" s="111">
        <v>4</v>
      </c>
      <c r="E194" s="240" t="s">
        <v>1611</v>
      </c>
      <c r="F194" s="243" t="s">
        <v>533</v>
      </c>
      <c r="G194" s="119" t="s">
        <v>963</v>
      </c>
      <c r="H194" s="246" t="s">
        <v>1674</v>
      </c>
      <c r="I194" s="245" t="s">
        <v>1948</v>
      </c>
      <c r="J194" s="122">
        <v>16022005</v>
      </c>
    </row>
    <row r="195" spans="1:10" ht="30" customHeight="1" x14ac:dyDescent="0.3">
      <c r="A195" s="117">
        <v>203</v>
      </c>
      <c r="B195" s="131">
        <v>651</v>
      </c>
      <c r="C195" s="111">
        <v>11</v>
      </c>
      <c r="D195" s="111">
        <v>3</v>
      </c>
      <c r="E195" s="243" t="s">
        <v>1610</v>
      </c>
      <c r="F195" s="243" t="s">
        <v>1646</v>
      </c>
      <c r="G195" s="119" t="s">
        <v>959</v>
      </c>
      <c r="H195" s="246" t="s">
        <v>2080</v>
      </c>
      <c r="I195" s="245"/>
      <c r="J195" s="122">
        <v>1022007</v>
      </c>
    </row>
    <row r="196" spans="1:10" ht="30" customHeight="1" x14ac:dyDescent="0.3">
      <c r="A196" s="117">
        <v>205</v>
      </c>
      <c r="B196" s="131">
        <v>654</v>
      </c>
      <c r="C196" s="111">
        <v>16</v>
      </c>
      <c r="D196" s="111">
        <v>4</v>
      </c>
      <c r="E196" s="240" t="s">
        <v>1611</v>
      </c>
      <c r="F196" s="243" t="s">
        <v>533</v>
      </c>
      <c r="G196" s="117" t="s">
        <v>1673</v>
      </c>
      <c r="H196" s="245" t="s">
        <v>1673</v>
      </c>
      <c r="I196" s="245" t="s">
        <v>1948</v>
      </c>
      <c r="J196" s="122">
        <v>16022005</v>
      </c>
    </row>
    <row r="197" spans="1:10" ht="45" customHeight="1" x14ac:dyDescent="0.3">
      <c r="A197" s="117">
        <v>213</v>
      </c>
      <c r="B197" s="131">
        <v>665</v>
      </c>
      <c r="C197" s="111">
        <v>1</v>
      </c>
      <c r="D197" s="111">
        <v>1</v>
      </c>
      <c r="E197" s="242" t="s">
        <v>1614</v>
      </c>
      <c r="F197" s="243" t="s">
        <v>1627</v>
      </c>
      <c r="G197" s="119" t="s">
        <v>952</v>
      </c>
      <c r="H197" s="246" t="s">
        <v>1746</v>
      </c>
      <c r="I197" s="245"/>
      <c r="J197" s="122">
        <v>20042004</v>
      </c>
    </row>
    <row r="198" spans="1:10" ht="45" customHeight="1" x14ac:dyDescent="0.3">
      <c r="A198" s="117">
        <v>216</v>
      </c>
      <c r="B198" s="131">
        <v>670</v>
      </c>
      <c r="C198" s="111">
        <v>12</v>
      </c>
      <c r="D198" s="111">
        <v>2</v>
      </c>
      <c r="E198" s="241" t="s">
        <v>1613</v>
      </c>
      <c r="F198" s="243" t="s">
        <v>1645</v>
      </c>
      <c r="G198" s="117" t="s">
        <v>2082</v>
      </c>
      <c r="H198" s="245" t="s">
        <v>2082</v>
      </c>
      <c r="I198" s="245" t="s">
        <v>2081</v>
      </c>
      <c r="J198" s="122">
        <v>3122004</v>
      </c>
    </row>
    <row r="199" spans="1:10" ht="45" customHeight="1" x14ac:dyDescent="0.3">
      <c r="A199" s="117">
        <v>218</v>
      </c>
      <c r="B199" s="131">
        <v>674</v>
      </c>
      <c r="C199" s="111">
        <v>1</v>
      </c>
      <c r="D199" s="111">
        <v>1</v>
      </c>
      <c r="E199" s="242" t="s">
        <v>1614</v>
      </c>
      <c r="F199" s="243" t="s">
        <v>1627</v>
      </c>
      <c r="G199" s="119" t="s">
        <v>967</v>
      </c>
      <c r="H199" s="246" t="s">
        <v>1746</v>
      </c>
      <c r="I199" s="245"/>
      <c r="J199" s="122">
        <v>20042004</v>
      </c>
    </row>
    <row r="200" spans="1:10" ht="45" customHeight="1" x14ac:dyDescent="0.3">
      <c r="A200" s="117">
        <v>219</v>
      </c>
      <c r="B200" s="131">
        <v>677</v>
      </c>
      <c r="C200" s="111">
        <v>1</v>
      </c>
      <c r="D200" s="111">
        <v>1</v>
      </c>
      <c r="E200" s="242" t="s">
        <v>1614</v>
      </c>
      <c r="F200" s="243" t="s">
        <v>1627</v>
      </c>
      <c r="G200" s="119" t="s">
        <v>967</v>
      </c>
      <c r="H200" s="246" t="s">
        <v>1746</v>
      </c>
      <c r="I200" s="245"/>
      <c r="J200" s="122">
        <v>20042004</v>
      </c>
    </row>
    <row r="201" spans="1:10" ht="45" customHeight="1" x14ac:dyDescent="0.3">
      <c r="A201" s="117">
        <v>220</v>
      </c>
      <c r="B201" s="131">
        <v>678</v>
      </c>
      <c r="C201" s="111">
        <v>1</v>
      </c>
      <c r="D201" s="111">
        <v>1</v>
      </c>
      <c r="E201" s="242" t="s">
        <v>1614</v>
      </c>
      <c r="F201" s="243" t="s">
        <v>1627</v>
      </c>
      <c r="G201" s="119" t="s">
        <v>967</v>
      </c>
      <c r="H201" s="246" t="s">
        <v>1746</v>
      </c>
      <c r="I201" s="245"/>
      <c r="J201" s="122">
        <v>20042004</v>
      </c>
    </row>
    <row r="202" spans="1:10" ht="45" customHeight="1" x14ac:dyDescent="0.3">
      <c r="A202" s="117">
        <v>222</v>
      </c>
      <c r="B202" s="131">
        <v>701</v>
      </c>
      <c r="C202" s="111">
        <v>1</v>
      </c>
      <c r="D202" s="111">
        <v>1</v>
      </c>
      <c r="E202" s="242" t="s">
        <v>1614</v>
      </c>
      <c r="F202" s="243" t="s">
        <v>1627</v>
      </c>
      <c r="G202" s="119" t="s">
        <v>796</v>
      </c>
      <c r="H202" s="246" t="s">
        <v>1753</v>
      </c>
      <c r="I202" s="245"/>
      <c r="J202" s="122">
        <v>30052002</v>
      </c>
    </row>
    <row r="203" spans="1:10" ht="45" customHeight="1" x14ac:dyDescent="0.3">
      <c r="A203" s="117">
        <v>226</v>
      </c>
      <c r="B203" s="131">
        <v>705</v>
      </c>
      <c r="C203" s="111">
        <v>1</v>
      </c>
      <c r="D203" s="111">
        <v>1</v>
      </c>
      <c r="E203" s="242" t="s">
        <v>1614</v>
      </c>
      <c r="F203" s="243" t="s">
        <v>1627</v>
      </c>
      <c r="G203" s="119" t="s">
        <v>796</v>
      </c>
      <c r="H203" s="246" t="s">
        <v>1753</v>
      </c>
      <c r="I203" s="245"/>
      <c r="J203" s="122">
        <v>30052002</v>
      </c>
    </row>
    <row r="204" spans="1:10" ht="45" customHeight="1" x14ac:dyDescent="0.3">
      <c r="A204" s="117">
        <v>227</v>
      </c>
      <c r="B204" s="110">
        <v>706</v>
      </c>
      <c r="C204" s="111">
        <v>1</v>
      </c>
      <c r="D204" s="111">
        <v>1</v>
      </c>
      <c r="E204" s="242" t="s">
        <v>1614</v>
      </c>
      <c r="F204" s="243" t="s">
        <v>1627</v>
      </c>
      <c r="G204" s="119" t="s">
        <v>796</v>
      </c>
      <c r="H204" s="246" t="s">
        <v>1753</v>
      </c>
      <c r="I204" s="245"/>
      <c r="J204" s="122" t="s">
        <v>227</v>
      </c>
    </row>
    <row r="205" spans="1:10" ht="45" customHeight="1" x14ac:dyDescent="0.3">
      <c r="A205" s="117">
        <v>228</v>
      </c>
      <c r="B205" s="131">
        <v>707</v>
      </c>
      <c r="C205" s="111">
        <v>1</v>
      </c>
      <c r="D205" s="111">
        <v>1</v>
      </c>
      <c r="E205" s="242" t="s">
        <v>1614</v>
      </c>
      <c r="F205" s="243" t="s">
        <v>1627</v>
      </c>
      <c r="G205" s="119" t="s">
        <v>796</v>
      </c>
      <c r="H205" s="246" t="s">
        <v>1753</v>
      </c>
      <c r="I205" s="245"/>
      <c r="J205" s="122">
        <v>30052002</v>
      </c>
    </row>
    <row r="206" spans="1:10" ht="45" customHeight="1" x14ac:dyDescent="0.3">
      <c r="A206" s="117">
        <v>230</v>
      </c>
      <c r="B206" s="110">
        <v>709</v>
      </c>
      <c r="C206" s="111">
        <v>1</v>
      </c>
      <c r="D206" s="111">
        <v>1</v>
      </c>
      <c r="E206" s="242" t="s">
        <v>1614</v>
      </c>
      <c r="F206" s="243" t="s">
        <v>1627</v>
      </c>
      <c r="G206" s="119" t="s">
        <v>796</v>
      </c>
      <c r="H206" s="246" t="s">
        <v>1753</v>
      </c>
      <c r="I206" s="245"/>
      <c r="J206" s="122"/>
    </row>
    <row r="207" spans="1:10" ht="45" customHeight="1" x14ac:dyDescent="0.3">
      <c r="A207" s="117">
        <v>231</v>
      </c>
      <c r="B207" s="131">
        <v>710</v>
      </c>
      <c r="C207" s="111">
        <v>1</v>
      </c>
      <c r="D207" s="111">
        <v>1</v>
      </c>
      <c r="E207" s="242" t="s">
        <v>1614</v>
      </c>
      <c r="F207" s="243" t="s">
        <v>1627</v>
      </c>
      <c r="G207" s="119" t="s">
        <v>796</v>
      </c>
      <c r="H207" s="246" t="s">
        <v>1753</v>
      </c>
      <c r="I207" s="245"/>
      <c r="J207" s="122">
        <v>30052002</v>
      </c>
    </row>
    <row r="208" spans="1:10" ht="45" customHeight="1" x14ac:dyDescent="0.3">
      <c r="A208" s="117">
        <v>234</v>
      </c>
      <c r="B208" s="131">
        <v>714</v>
      </c>
      <c r="C208" s="111">
        <v>1</v>
      </c>
      <c r="D208" s="111">
        <v>1</v>
      </c>
      <c r="E208" s="242" t="s">
        <v>1614</v>
      </c>
      <c r="F208" s="243" t="s">
        <v>1627</v>
      </c>
      <c r="G208" s="119" t="s">
        <v>796</v>
      </c>
      <c r="H208" s="246" t="s">
        <v>1753</v>
      </c>
      <c r="I208" s="245"/>
      <c r="J208" s="122">
        <v>30052002</v>
      </c>
    </row>
    <row r="209" spans="1:10" ht="45" customHeight="1" x14ac:dyDescent="0.3">
      <c r="A209" s="117">
        <v>235</v>
      </c>
      <c r="B209" s="131">
        <v>715</v>
      </c>
      <c r="C209" s="111">
        <v>1</v>
      </c>
      <c r="D209" s="111">
        <v>1</v>
      </c>
      <c r="E209" s="242" t="s">
        <v>1614</v>
      </c>
      <c r="F209" s="243" t="s">
        <v>1627</v>
      </c>
      <c r="G209" s="119" t="s">
        <v>796</v>
      </c>
      <c r="H209" s="246" t="s">
        <v>1753</v>
      </c>
      <c r="I209" s="245"/>
      <c r="J209" s="122">
        <v>30052002</v>
      </c>
    </row>
    <row r="210" spans="1:10" ht="45" customHeight="1" x14ac:dyDescent="0.3">
      <c r="A210" s="117">
        <v>237</v>
      </c>
      <c r="B210" s="131">
        <v>717</v>
      </c>
      <c r="C210" s="111">
        <v>1</v>
      </c>
      <c r="D210" s="111">
        <v>1</v>
      </c>
      <c r="E210" s="242" t="s">
        <v>1614</v>
      </c>
      <c r="F210" s="243" t="s">
        <v>1627</v>
      </c>
      <c r="G210" s="119" t="s">
        <v>796</v>
      </c>
      <c r="H210" s="246" t="s">
        <v>1753</v>
      </c>
      <c r="I210" s="245"/>
      <c r="J210" s="122">
        <v>30052002</v>
      </c>
    </row>
    <row r="211" spans="1:10" ht="45" customHeight="1" x14ac:dyDescent="0.3">
      <c r="A211" s="117">
        <v>239</v>
      </c>
      <c r="B211" s="110">
        <v>719</v>
      </c>
      <c r="C211" s="111">
        <v>1</v>
      </c>
      <c r="D211" s="111">
        <v>1</v>
      </c>
      <c r="E211" s="242" t="s">
        <v>1614</v>
      </c>
      <c r="F211" s="243" t="s">
        <v>1627</v>
      </c>
      <c r="G211" s="119" t="s">
        <v>796</v>
      </c>
      <c r="H211" s="246" t="s">
        <v>1753</v>
      </c>
      <c r="I211" s="245"/>
      <c r="J211" s="122"/>
    </row>
    <row r="212" spans="1:10" ht="30" customHeight="1" x14ac:dyDescent="0.3">
      <c r="A212" s="117">
        <v>240</v>
      </c>
      <c r="B212" s="131">
        <v>720</v>
      </c>
      <c r="C212" s="111">
        <v>16</v>
      </c>
      <c r="D212" s="111">
        <v>4</v>
      </c>
      <c r="E212" s="240" t="s">
        <v>1611</v>
      </c>
      <c r="F212" s="243" t="s">
        <v>533</v>
      </c>
      <c r="G212" s="119" t="s">
        <v>968</v>
      </c>
      <c r="H212" s="246" t="s">
        <v>2083</v>
      </c>
      <c r="I212" s="245" t="s">
        <v>1996</v>
      </c>
      <c r="J212" s="122">
        <v>24022005</v>
      </c>
    </row>
    <row r="213" spans="1:10" ht="46.5" customHeight="1" x14ac:dyDescent="0.3">
      <c r="A213" s="117">
        <v>241</v>
      </c>
      <c r="B213" s="131">
        <v>732</v>
      </c>
      <c r="C213" s="111">
        <v>9</v>
      </c>
      <c r="D213" s="111">
        <v>2</v>
      </c>
      <c r="E213" s="241" t="s">
        <v>1613</v>
      </c>
      <c r="F213" s="243" t="s">
        <v>526</v>
      </c>
      <c r="G213" s="119" t="s">
        <v>1815</v>
      </c>
      <c r="H213" s="246" t="s">
        <v>1815</v>
      </c>
      <c r="I213" s="245" t="s">
        <v>2084</v>
      </c>
      <c r="J213" s="122">
        <v>15102001</v>
      </c>
    </row>
    <row r="214" spans="1:10" ht="45" customHeight="1" x14ac:dyDescent="0.3">
      <c r="A214" s="117">
        <v>244</v>
      </c>
      <c r="B214" s="131">
        <v>736</v>
      </c>
      <c r="C214" s="111">
        <v>1</v>
      </c>
      <c r="D214" s="111">
        <v>1</v>
      </c>
      <c r="E214" s="242" t="s">
        <v>1614</v>
      </c>
      <c r="F214" s="243" t="s">
        <v>1627</v>
      </c>
      <c r="G214" s="119" t="s">
        <v>796</v>
      </c>
      <c r="H214" s="246" t="s">
        <v>1753</v>
      </c>
      <c r="I214" s="245"/>
      <c r="J214" s="122">
        <v>30052002</v>
      </c>
    </row>
    <row r="215" spans="1:10" ht="45" customHeight="1" x14ac:dyDescent="0.3">
      <c r="A215" s="117">
        <v>245</v>
      </c>
      <c r="B215" s="131">
        <v>737</v>
      </c>
      <c r="C215" s="111">
        <v>1</v>
      </c>
      <c r="D215" s="111">
        <v>1</v>
      </c>
      <c r="E215" s="242" t="s">
        <v>1614</v>
      </c>
      <c r="F215" s="243" t="s">
        <v>1627</v>
      </c>
      <c r="G215" s="119" t="s">
        <v>796</v>
      </c>
      <c r="H215" s="246" t="s">
        <v>1753</v>
      </c>
      <c r="I215" s="245"/>
      <c r="J215" s="122">
        <v>30052002</v>
      </c>
    </row>
    <row r="216" spans="1:10" ht="45" customHeight="1" x14ac:dyDescent="0.3">
      <c r="A216" s="117">
        <v>248</v>
      </c>
      <c r="B216" s="110">
        <v>741</v>
      </c>
      <c r="C216" s="111">
        <v>1</v>
      </c>
      <c r="D216" s="111">
        <v>1</v>
      </c>
      <c r="E216" s="242" t="s">
        <v>1614</v>
      </c>
      <c r="F216" s="243" t="s">
        <v>1627</v>
      </c>
      <c r="G216" s="119" t="s">
        <v>796</v>
      </c>
      <c r="H216" s="246" t="s">
        <v>1753</v>
      </c>
      <c r="I216" s="245" t="s">
        <v>1596</v>
      </c>
      <c r="J216" s="122"/>
    </row>
    <row r="217" spans="1:10" ht="45" customHeight="1" x14ac:dyDescent="0.3">
      <c r="A217" s="117">
        <v>249</v>
      </c>
      <c r="B217" s="131">
        <v>742</v>
      </c>
      <c r="C217" s="111">
        <v>1</v>
      </c>
      <c r="D217" s="111">
        <v>1</v>
      </c>
      <c r="E217" s="242" t="s">
        <v>1614</v>
      </c>
      <c r="F217" s="243" t="s">
        <v>1627</v>
      </c>
      <c r="G217" s="119" t="s">
        <v>796</v>
      </c>
      <c r="H217" s="246" t="s">
        <v>1753</v>
      </c>
      <c r="I217" s="245"/>
      <c r="J217" s="122">
        <v>30052002</v>
      </c>
    </row>
    <row r="218" spans="1:10" ht="45" customHeight="1" x14ac:dyDescent="0.3">
      <c r="A218" s="117">
        <v>250</v>
      </c>
      <c r="B218" s="131">
        <v>743</v>
      </c>
      <c r="C218" s="111">
        <v>1</v>
      </c>
      <c r="D218" s="111">
        <v>1</v>
      </c>
      <c r="E218" s="242" t="s">
        <v>1614</v>
      </c>
      <c r="F218" s="243" t="s">
        <v>1627</v>
      </c>
      <c r="G218" s="119" t="s">
        <v>796</v>
      </c>
      <c r="H218" s="246" t="s">
        <v>1753</v>
      </c>
      <c r="I218" s="245"/>
      <c r="J218" s="122">
        <v>30052002</v>
      </c>
    </row>
    <row r="219" spans="1:10" ht="45" customHeight="1" x14ac:dyDescent="0.3">
      <c r="A219" s="117">
        <v>252</v>
      </c>
      <c r="B219" s="131">
        <v>756</v>
      </c>
      <c r="C219" s="111">
        <v>2</v>
      </c>
      <c r="D219" s="111">
        <v>1</v>
      </c>
      <c r="E219" s="242" t="s">
        <v>1614</v>
      </c>
      <c r="F219" s="243" t="s">
        <v>1584</v>
      </c>
      <c r="G219" s="119" t="s">
        <v>2085</v>
      </c>
      <c r="H219" s="246" t="s">
        <v>2085</v>
      </c>
      <c r="I219" s="245" t="s">
        <v>2086</v>
      </c>
      <c r="J219" s="122">
        <v>1102002</v>
      </c>
    </row>
    <row r="220" spans="1:10" ht="60" customHeight="1" x14ac:dyDescent="0.3">
      <c r="A220" s="117">
        <v>253</v>
      </c>
      <c r="B220" s="131">
        <v>760</v>
      </c>
      <c r="C220" s="111">
        <v>1</v>
      </c>
      <c r="D220" s="111">
        <v>1</v>
      </c>
      <c r="E220" s="242" t="s">
        <v>1614</v>
      </c>
      <c r="F220" s="243" t="s">
        <v>1627</v>
      </c>
      <c r="G220" s="119" t="s">
        <v>796</v>
      </c>
      <c r="H220" s="246" t="s">
        <v>1753</v>
      </c>
      <c r="I220" s="245" t="s">
        <v>1950</v>
      </c>
      <c r="J220" s="122">
        <v>30052002</v>
      </c>
    </row>
    <row r="221" spans="1:10" ht="45" customHeight="1" x14ac:dyDescent="0.3">
      <c r="A221" s="117">
        <v>254</v>
      </c>
      <c r="B221" s="131">
        <v>761</v>
      </c>
      <c r="C221" s="111">
        <v>1</v>
      </c>
      <c r="D221" s="111">
        <v>1</v>
      </c>
      <c r="E221" s="242" t="s">
        <v>1614</v>
      </c>
      <c r="F221" s="243" t="s">
        <v>1627</v>
      </c>
      <c r="G221" s="119" t="s">
        <v>796</v>
      </c>
      <c r="H221" s="246" t="s">
        <v>1753</v>
      </c>
      <c r="I221" s="245"/>
      <c r="J221" s="122">
        <v>30052002</v>
      </c>
    </row>
    <row r="222" spans="1:10" ht="45" customHeight="1" x14ac:dyDescent="0.3">
      <c r="A222" s="117">
        <v>255</v>
      </c>
      <c r="B222" s="131">
        <v>762</v>
      </c>
      <c r="C222" s="111">
        <v>1</v>
      </c>
      <c r="D222" s="111">
        <v>1</v>
      </c>
      <c r="E222" s="242" t="s">
        <v>1614</v>
      </c>
      <c r="F222" s="243" t="s">
        <v>1627</v>
      </c>
      <c r="G222" s="119" t="s">
        <v>796</v>
      </c>
      <c r="H222" s="246" t="s">
        <v>1753</v>
      </c>
      <c r="I222" s="245"/>
      <c r="J222" s="122">
        <v>30052002</v>
      </c>
    </row>
    <row r="223" spans="1:10" ht="45" customHeight="1" x14ac:dyDescent="0.3">
      <c r="A223" s="117">
        <v>256</v>
      </c>
      <c r="B223" s="131">
        <v>763</v>
      </c>
      <c r="C223" s="111">
        <v>1</v>
      </c>
      <c r="D223" s="111">
        <v>1</v>
      </c>
      <c r="E223" s="242" t="s">
        <v>1614</v>
      </c>
      <c r="F223" s="243" t="s">
        <v>1627</v>
      </c>
      <c r="G223" s="119" t="s">
        <v>796</v>
      </c>
      <c r="H223" s="246" t="s">
        <v>1755</v>
      </c>
      <c r="I223" s="245"/>
      <c r="J223" s="122">
        <v>1102002</v>
      </c>
    </row>
    <row r="224" spans="1:10" ht="45" customHeight="1" x14ac:dyDescent="0.3">
      <c r="A224" s="117">
        <v>260</v>
      </c>
      <c r="B224" s="131">
        <v>769</v>
      </c>
      <c r="C224" s="111">
        <v>1</v>
      </c>
      <c r="D224" s="111">
        <v>1</v>
      </c>
      <c r="E224" s="242" t="s">
        <v>1614</v>
      </c>
      <c r="F224" s="243" t="s">
        <v>1627</v>
      </c>
      <c r="G224" s="119" t="s">
        <v>796</v>
      </c>
      <c r="H224" s="246" t="s">
        <v>1753</v>
      </c>
      <c r="I224" s="245"/>
      <c r="J224" s="122">
        <v>30052002</v>
      </c>
    </row>
    <row r="225" spans="1:10" ht="45" customHeight="1" x14ac:dyDescent="0.3">
      <c r="A225" s="117">
        <v>262</v>
      </c>
      <c r="B225" s="131">
        <v>775</v>
      </c>
      <c r="C225" s="111">
        <v>5</v>
      </c>
      <c r="D225" s="111">
        <v>2</v>
      </c>
      <c r="E225" s="241" t="s">
        <v>1613</v>
      </c>
      <c r="F225" s="243" t="s">
        <v>403</v>
      </c>
      <c r="G225" s="118" t="s">
        <v>1778</v>
      </c>
      <c r="H225" s="243" t="s">
        <v>1778</v>
      </c>
      <c r="I225" s="247" t="s">
        <v>1776</v>
      </c>
      <c r="J225" s="122">
        <v>1102002</v>
      </c>
    </row>
    <row r="226" spans="1:10" ht="60" customHeight="1" x14ac:dyDescent="0.3">
      <c r="A226" s="117">
        <v>263</v>
      </c>
      <c r="B226" s="131">
        <v>808</v>
      </c>
      <c r="C226" s="111">
        <v>26</v>
      </c>
      <c r="D226" s="111">
        <v>5</v>
      </c>
      <c r="E226" s="243" t="s">
        <v>1612</v>
      </c>
      <c r="F226" s="243" t="s">
        <v>1635</v>
      </c>
      <c r="G226" s="117" t="s">
        <v>972</v>
      </c>
      <c r="H226" s="245" t="s">
        <v>1866</v>
      </c>
      <c r="I226" s="245" t="s">
        <v>2087</v>
      </c>
      <c r="J226" s="122">
        <v>31072003</v>
      </c>
    </row>
    <row r="227" spans="1:10" ht="30" customHeight="1" x14ac:dyDescent="0.3">
      <c r="A227" s="117">
        <v>264</v>
      </c>
      <c r="B227" s="131">
        <v>835</v>
      </c>
      <c r="C227" s="111">
        <v>23</v>
      </c>
      <c r="D227" s="111">
        <v>1</v>
      </c>
      <c r="E227" s="242" t="s">
        <v>1614</v>
      </c>
      <c r="F227" s="243" t="s">
        <v>1586</v>
      </c>
      <c r="G227" s="117" t="s">
        <v>973</v>
      </c>
      <c r="H227" s="245" t="s">
        <v>973</v>
      </c>
      <c r="I227" s="245"/>
      <c r="J227" s="122">
        <v>15102001</v>
      </c>
    </row>
    <row r="228" spans="1:10" ht="30" customHeight="1" x14ac:dyDescent="0.3">
      <c r="A228" s="117">
        <v>265</v>
      </c>
      <c r="B228" s="110">
        <v>840</v>
      </c>
      <c r="C228" s="111">
        <v>37</v>
      </c>
      <c r="D228" s="111">
        <v>1</v>
      </c>
      <c r="E228" s="242" t="s">
        <v>1614</v>
      </c>
      <c r="F228" s="243" t="s">
        <v>1587</v>
      </c>
      <c r="G228" s="117" t="s">
        <v>974</v>
      </c>
      <c r="H228" s="245" t="s">
        <v>1728</v>
      </c>
      <c r="I228" s="245" t="s">
        <v>1924</v>
      </c>
      <c r="J228" s="122"/>
    </row>
    <row r="229" spans="1:10" ht="30" customHeight="1" x14ac:dyDescent="0.3">
      <c r="A229" s="117">
        <v>266</v>
      </c>
      <c r="B229" s="110">
        <v>843</v>
      </c>
      <c r="C229" s="111">
        <v>19</v>
      </c>
      <c r="D229" s="111">
        <v>1</v>
      </c>
      <c r="E229" s="242" t="s">
        <v>1614</v>
      </c>
      <c r="F229" s="243" t="s">
        <v>1585</v>
      </c>
      <c r="G229" s="117" t="s">
        <v>975</v>
      </c>
      <c r="H229" s="245" t="s">
        <v>975</v>
      </c>
      <c r="I229" s="245"/>
      <c r="J229" s="122"/>
    </row>
    <row r="230" spans="1:10" ht="30" customHeight="1" x14ac:dyDescent="0.3">
      <c r="A230" s="117">
        <v>267</v>
      </c>
      <c r="B230" s="110">
        <v>893</v>
      </c>
      <c r="C230" s="111">
        <v>16</v>
      </c>
      <c r="D230" s="111">
        <v>4</v>
      </c>
      <c r="E230" s="240" t="s">
        <v>1611</v>
      </c>
      <c r="F230" s="243" t="s">
        <v>533</v>
      </c>
      <c r="G230" s="119" t="s">
        <v>2088</v>
      </c>
      <c r="H230" s="246" t="s">
        <v>1681</v>
      </c>
      <c r="I230" s="245" t="s">
        <v>1948</v>
      </c>
      <c r="J230" s="122"/>
    </row>
    <row r="231" spans="1:10" ht="45" customHeight="1" x14ac:dyDescent="0.3">
      <c r="A231" s="117">
        <v>268</v>
      </c>
      <c r="B231" s="131">
        <v>898</v>
      </c>
      <c r="C231" s="111">
        <v>5</v>
      </c>
      <c r="D231" s="111">
        <v>2</v>
      </c>
      <c r="E231" s="241" t="s">
        <v>1613</v>
      </c>
      <c r="F231" s="243" t="s">
        <v>403</v>
      </c>
      <c r="G231" s="119" t="s">
        <v>976</v>
      </c>
      <c r="H231" s="246" t="s">
        <v>1797</v>
      </c>
      <c r="I231" s="245" t="s">
        <v>1795</v>
      </c>
      <c r="J231" s="122">
        <v>17062003</v>
      </c>
    </row>
    <row r="232" spans="1:10" ht="45" customHeight="1" x14ac:dyDescent="0.3">
      <c r="A232" s="117">
        <v>269</v>
      </c>
      <c r="B232" s="131">
        <v>941</v>
      </c>
      <c r="C232" s="111">
        <v>1</v>
      </c>
      <c r="D232" s="111">
        <v>1</v>
      </c>
      <c r="E232" s="242" t="s">
        <v>1614</v>
      </c>
      <c r="F232" s="243" t="s">
        <v>1627</v>
      </c>
      <c r="G232" s="119" t="s">
        <v>977</v>
      </c>
      <c r="H232" s="246" t="s">
        <v>1757</v>
      </c>
      <c r="I232" s="245"/>
      <c r="J232" s="122">
        <v>29052000</v>
      </c>
    </row>
    <row r="233" spans="1:10" ht="45" customHeight="1" x14ac:dyDescent="0.3">
      <c r="A233" s="117">
        <v>270</v>
      </c>
      <c r="B233" s="131">
        <v>945</v>
      </c>
      <c r="C233" s="111">
        <v>1</v>
      </c>
      <c r="D233" s="111">
        <v>1</v>
      </c>
      <c r="E233" s="242" t="s">
        <v>1614</v>
      </c>
      <c r="F233" s="243" t="s">
        <v>1627</v>
      </c>
      <c r="G233" s="119" t="s">
        <v>977</v>
      </c>
      <c r="H233" s="246" t="s">
        <v>1757</v>
      </c>
      <c r="I233" s="245"/>
      <c r="J233" s="122">
        <v>6032000</v>
      </c>
    </row>
    <row r="234" spans="1:10" ht="59.25" customHeight="1" x14ac:dyDescent="0.3">
      <c r="A234" s="117">
        <v>271</v>
      </c>
      <c r="B234" s="131">
        <v>947</v>
      </c>
      <c r="C234" s="111">
        <v>2</v>
      </c>
      <c r="D234" s="111">
        <v>1</v>
      </c>
      <c r="E234" s="242" t="s">
        <v>1614</v>
      </c>
      <c r="F234" s="243" t="s">
        <v>1584</v>
      </c>
      <c r="G234" s="238" t="s">
        <v>48</v>
      </c>
      <c r="H234" s="246" t="s">
        <v>1717</v>
      </c>
      <c r="I234" s="245" t="s">
        <v>1910</v>
      </c>
      <c r="J234" s="122">
        <v>26012000</v>
      </c>
    </row>
    <row r="235" spans="1:10" ht="45" customHeight="1" x14ac:dyDescent="0.3">
      <c r="A235" s="117">
        <v>273</v>
      </c>
      <c r="B235" s="131">
        <v>949</v>
      </c>
      <c r="C235" s="111">
        <v>1</v>
      </c>
      <c r="D235" s="111">
        <v>1</v>
      </c>
      <c r="E235" s="242" t="s">
        <v>1614</v>
      </c>
      <c r="F235" s="243" t="s">
        <v>1627</v>
      </c>
      <c r="G235" s="119" t="s">
        <v>977</v>
      </c>
      <c r="H235" s="246" t="s">
        <v>1757</v>
      </c>
      <c r="I235" s="245"/>
      <c r="J235" s="122">
        <v>6032000</v>
      </c>
    </row>
    <row r="236" spans="1:10" ht="60" customHeight="1" x14ac:dyDescent="0.3">
      <c r="A236" s="117">
        <v>274</v>
      </c>
      <c r="B236" s="131">
        <v>1022</v>
      </c>
      <c r="C236" s="111">
        <v>26</v>
      </c>
      <c r="D236" s="111">
        <v>5</v>
      </c>
      <c r="E236" s="243" t="s">
        <v>1612</v>
      </c>
      <c r="F236" s="243" t="s">
        <v>1635</v>
      </c>
      <c r="G236" s="119" t="s">
        <v>978</v>
      </c>
      <c r="H236" s="246" t="s">
        <v>2089</v>
      </c>
      <c r="I236" s="245" t="s">
        <v>1789</v>
      </c>
      <c r="J236" s="122">
        <v>31072003</v>
      </c>
    </row>
    <row r="237" spans="1:10" ht="60" customHeight="1" x14ac:dyDescent="0.3">
      <c r="A237" s="117">
        <v>275</v>
      </c>
      <c r="B237" s="131">
        <v>1023</v>
      </c>
      <c r="C237" s="111">
        <v>26</v>
      </c>
      <c r="D237" s="111">
        <v>5</v>
      </c>
      <c r="E237" s="243" t="s">
        <v>1612</v>
      </c>
      <c r="F237" s="243" t="s">
        <v>1635</v>
      </c>
      <c r="G237" s="117" t="s">
        <v>1793</v>
      </c>
      <c r="H237" s="245" t="s">
        <v>1793</v>
      </c>
      <c r="I237" s="245" t="s">
        <v>1794</v>
      </c>
      <c r="J237" s="122">
        <v>31072003</v>
      </c>
    </row>
    <row r="238" spans="1:10" ht="30" customHeight="1" x14ac:dyDescent="0.3">
      <c r="A238" s="117">
        <v>276</v>
      </c>
      <c r="B238" s="131">
        <v>1025</v>
      </c>
      <c r="C238" s="111">
        <v>2</v>
      </c>
      <c r="D238" s="111">
        <v>1</v>
      </c>
      <c r="E238" s="242" t="s">
        <v>1614</v>
      </c>
      <c r="F238" s="243" t="s">
        <v>1584</v>
      </c>
      <c r="G238" s="117" t="s">
        <v>980</v>
      </c>
      <c r="H238" s="245" t="s">
        <v>1713</v>
      </c>
      <c r="I238" s="245" t="s">
        <v>1902</v>
      </c>
      <c r="J238" s="122">
        <v>10112003</v>
      </c>
    </row>
    <row r="239" spans="1:10" ht="45" customHeight="1" x14ac:dyDescent="0.3">
      <c r="A239" s="117">
        <v>277</v>
      </c>
      <c r="B239" s="131">
        <v>1028</v>
      </c>
      <c r="C239" s="111">
        <v>1</v>
      </c>
      <c r="D239" s="111">
        <v>1</v>
      </c>
      <c r="E239" s="242" t="s">
        <v>1614</v>
      </c>
      <c r="F239" s="243" t="s">
        <v>1627</v>
      </c>
      <c r="G239" s="119" t="s">
        <v>796</v>
      </c>
      <c r="H239" s="246" t="s">
        <v>1753</v>
      </c>
      <c r="I239" s="245"/>
      <c r="J239" s="122">
        <v>10112003</v>
      </c>
    </row>
    <row r="240" spans="1:10" ht="45" customHeight="1" x14ac:dyDescent="0.3">
      <c r="A240" s="117">
        <v>278</v>
      </c>
      <c r="B240" s="131">
        <v>1029</v>
      </c>
      <c r="C240" s="111">
        <v>1</v>
      </c>
      <c r="D240" s="111">
        <v>1</v>
      </c>
      <c r="E240" s="242" t="s">
        <v>1614</v>
      </c>
      <c r="F240" s="243" t="s">
        <v>1627</v>
      </c>
      <c r="G240" s="119" t="s">
        <v>796</v>
      </c>
      <c r="H240" s="246" t="s">
        <v>1753</v>
      </c>
      <c r="I240" s="245"/>
      <c r="J240" s="122">
        <v>10112003</v>
      </c>
    </row>
    <row r="241" spans="1:10" ht="45" customHeight="1" x14ac:dyDescent="0.3">
      <c r="A241" s="117">
        <v>279</v>
      </c>
      <c r="B241" s="131">
        <v>1030</v>
      </c>
      <c r="C241" s="111">
        <v>1</v>
      </c>
      <c r="D241" s="111">
        <v>1</v>
      </c>
      <c r="E241" s="242" t="s">
        <v>1614</v>
      </c>
      <c r="F241" s="243" t="s">
        <v>1627</v>
      </c>
      <c r="G241" s="119" t="s">
        <v>796</v>
      </c>
      <c r="H241" s="246" t="s">
        <v>1753</v>
      </c>
      <c r="I241" s="245"/>
      <c r="J241" s="122">
        <v>10112003</v>
      </c>
    </row>
    <row r="242" spans="1:10" ht="45" customHeight="1" x14ac:dyDescent="0.3">
      <c r="A242" s="117">
        <v>280</v>
      </c>
      <c r="B242" s="131">
        <v>1032</v>
      </c>
      <c r="C242" s="111">
        <v>1</v>
      </c>
      <c r="D242" s="111">
        <v>1</v>
      </c>
      <c r="E242" s="242" t="s">
        <v>1614</v>
      </c>
      <c r="F242" s="243" t="s">
        <v>1627</v>
      </c>
      <c r="G242" s="119" t="s">
        <v>796</v>
      </c>
      <c r="H242" s="246" t="s">
        <v>1753</v>
      </c>
      <c r="I242" s="245"/>
      <c r="J242" s="122">
        <v>10112003</v>
      </c>
    </row>
    <row r="243" spans="1:10" ht="45" customHeight="1" x14ac:dyDescent="0.3">
      <c r="A243" s="117">
        <v>281</v>
      </c>
      <c r="B243" s="131">
        <v>1034</v>
      </c>
      <c r="C243" s="111">
        <v>1</v>
      </c>
      <c r="D243" s="111">
        <v>1</v>
      </c>
      <c r="E243" s="242" t="s">
        <v>1614</v>
      </c>
      <c r="F243" s="243" t="s">
        <v>1627</v>
      </c>
      <c r="G243" s="119" t="s">
        <v>796</v>
      </c>
      <c r="H243" s="246" t="s">
        <v>1753</v>
      </c>
      <c r="I243" s="245"/>
      <c r="J243" s="122">
        <v>10112003</v>
      </c>
    </row>
    <row r="244" spans="1:10" ht="45" customHeight="1" x14ac:dyDescent="0.3">
      <c r="A244" s="117">
        <v>282</v>
      </c>
      <c r="B244" s="131">
        <v>1038</v>
      </c>
      <c r="C244" s="111">
        <v>2</v>
      </c>
      <c r="D244" s="111">
        <v>1</v>
      </c>
      <c r="E244" s="242" t="s">
        <v>1614</v>
      </c>
      <c r="F244" s="243" t="s">
        <v>1584</v>
      </c>
      <c r="G244" s="119" t="s">
        <v>2090</v>
      </c>
      <c r="H244" s="246" t="s">
        <v>1716</v>
      </c>
      <c r="I244" s="245" t="s">
        <v>1911</v>
      </c>
      <c r="J244" s="122">
        <v>10112003</v>
      </c>
    </row>
    <row r="245" spans="1:10" ht="30" customHeight="1" x14ac:dyDescent="0.3">
      <c r="A245" s="117">
        <v>283</v>
      </c>
      <c r="B245" s="131">
        <v>1039</v>
      </c>
      <c r="C245" s="111">
        <v>2</v>
      </c>
      <c r="D245" s="111">
        <v>1</v>
      </c>
      <c r="E245" s="242" t="s">
        <v>1614</v>
      </c>
      <c r="F245" s="243" t="s">
        <v>1584</v>
      </c>
      <c r="G245" s="117" t="s">
        <v>1716</v>
      </c>
      <c r="H245" s="245" t="s">
        <v>1718</v>
      </c>
      <c r="I245" s="245" t="s">
        <v>1911</v>
      </c>
      <c r="J245" s="122">
        <v>10112003</v>
      </c>
    </row>
    <row r="246" spans="1:10" ht="46.5" customHeight="1" x14ac:dyDescent="0.3">
      <c r="A246" s="117">
        <v>284</v>
      </c>
      <c r="B246" s="110">
        <v>1040</v>
      </c>
      <c r="C246" s="111">
        <v>28</v>
      </c>
      <c r="D246" s="111">
        <v>3</v>
      </c>
      <c r="E246" s="243" t="s">
        <v>1610</v>
      </c>
      <c r="F246" s="243" t="s">
        <v>1642</v>
      </c>
      <c r="G246" s="117" t="s">
        <v>1841</v>
      </c>
      <c r="H246" s="245" t="s">
        <v>1841</v>
      </c>
      <c r="I246" s="245" t="s">
        <v>2066</v>
      </c>
      <c r="J246" s="122"/>
    </row>
    <row r="247" spans="1:10" ht="45" customHeight="1" x14ac:dyDescent="0.3">
      <c r="A247" s="117">
        <v>285</v>
      </c>
      <c r="B247" s="131">
        <v>1046</v>
      </c>
      <c r="C247" s="111">
        <v>1</v>
      </c>
      <c r="D247" s="111">
        <v>1</v>
      </c>
      <c r="E247" s="242" t="s">
        <v>1614</v>
      </c>
      <c r="F247" s="243" t="s">
        <v>1627</v>
      </c>
      <c r="G247" s="117" t="s">
        <v>977</v>
      </c>
      <c r="H247" s="246" t="s">
        <v>1757</v>
      </c>
      <c r="I247" s="245"/>
      <c r="J247" s="122">
        <v>1102002</v>
      </c>
    </row>
    <row r="248" spans="1:10" ht="45" customHeight="1" x14ac:dyDescent="0.3">
      <c r="A248" s="117">
        <v>287</v>
      </c>
      <c r="B248" s="131">
        <v>1056</v>
      </c>
      <c r="C248" s="111">
        <v>1</v>
      </c>
      <c r="D248" s="111">
        <v>1</v>
      </c>
      <c r="E248" s="242" t="s">
        <v>1614</v>
      </c>
      <c r="F248" s="243" t="s">
        <v>1627</v>
      </c>
      <c r="G248" s="117" t="s">
        <v>983</v>
      </c>
      <c r="H248" s="246" t="s">
        <v>1753</v>
      </c>
      <c r="I248" s="245"/>
      <c r="J248" s="122">
        <v>4122003</v>
      </c>
    </row>
    <row r="249" spans="1:10" ht="45" customHeight="1" x14ac:dyDescent="0.3">
      <c r="A249" s="117">
        <v>288</v>
      </c>
      <c r="B249" s="131">
        <v>1058</v>
      </c>
      <c r="C249" s="111">
        <v>1</v>
      </c>
      <c r="D249" s="111">
        <v>1</v>
      </c>
      <c r="E249" s="242" t="s">
        <v>1614</v>
      </c>
      <c r="F249" s="243" t="s">
        <v>1627</v>
      </c>
      <c r="G249" s="118" t="s">
        <v>983</v>
      </c>
      <c r="H249" s="246" t="s">
        <v>1753</v>
      </c>
      <c r="I249" s="245"/>
      <c r="J249" s="122">
        <v>4122003</v>
      </c>
    </row>
    <row r="250" spans="1:10" ht="30" customHeight="1" x14ac:dyDescent="0.3">
      <c r="A250" s="117">
        <v>290</v>
      </c>
      <c r="B250" s="131">
        <v>1061</v>
      </c>
      <c r="C250" s="111">
        <v>2</v>
      </c>
      <c r="D250" s="111">
        <v>1</v>
      </c>
      <c r="E250" s="242" t="s">
        <v>1614</v>
      </c>
      <c r="F250" s="243" t="s">
        <v>1584</v>
      </c>
      <c r="G250" s="117" t="s">
        <v>984</v>
      </c>
      <c r="H250" s="245" t="s">
        <v>1716</v>
      </c>
      <c r="I250" s="245" t="s">
        <v>1911</v>
      </c>
      <c r="J250" s="122">
        <v>4122003</v>
      </c>
    </row>
    <row r="251" spans="1:10" ht="30" customHeight="1" x14ac:dyDescent="0.3">
      <c r="A251" s="117">
        <v>291</v>
      </c>
      <c r="B251" s="131">
        <v>1062</v>
      </c>
      <c r="C251" s="111">
        <v>2</v>
      </c>
      <c r="D251" s="111">
        <v>1</v>
      </c>
      <c r="E251" s="242" t="s">
        <v>1614</v>
      </c>
      <c r="F251" s="243" t="s">
        <v>1584</v>
      </c>
      <c r="G251" s="117" t="s">
        <v>985</v>
      </c>
      <c r="H251" s="245" t="s">
        <v>1734</v>
      </c>
      <c r="I251" s="245" t="s">
        <v>1961</v>
      </c>
      <c r="J251" s="122">
        <v>4122003</v>
      </c>
    </row>
    <row r="252" spans="1:10" ht="30" customHeight="1" x14ac:dyDescent="0.3">
      <c r="A252" s="117">
        <v>292</v>
      </c>
      <c r="B252" s="131">
        <v>1064</v>
      </c>
      <c r="C252" s="111">
        <v>16</v>
      </c>
      <c r="D252" s="111">
        <v>4</v>
      </c>
      <c r="E252" s="240" t="s">
        <v>1611</v>
      </c>
      <c r="F252" s="243" t="s">
        <v>533</v>
      </c>
      <c r="G252" s="119" t="s">
        <v>986</v>
      </c>
      <c r="H252" s="246" t="s">
        <v>986</v>
      </c>
      <c r="I252" s="245" t="s">
        <v>1948</v>
      </c>
      <c r="J252" s="122">
        <v>26012004</v>
      </c>
    </row>
    <row r="253" spans="1:10" ht="30" customHeight="1" x14ac:dyDescent="0.3">
      <c r="A253" s="117">
        <v>293</v>
      </c>
      <c r="B253" s="131">
        <v>1065</v>
      </c>
      <c r="C253" s="111">
        <v>16</v>
      </c>
      <c r="D253" s="111">
        <v>4</v>
      </c>
      <c r="E253" s="240" t="s">
        <v>1611</v>
      </c>
      <c r="F253" s="243" t="s">
        <v>533</v>
      </c>
      <c r="G253" s="119" t="s">
        <v>987</v>
      </c>
      <c r="H253" s="246" t="s">
        <v>987</v>
      </c>
      <c r="I253" s="245" t="s">
        <v>1948</v>
      </c>
      <c r="J253" s="122">
        <v>26012004</v>
      </c>
    </row>
    <row r="254" spans="1:10" ht="45" customHeight="1" x14ac:dyDescent="0.3">
      <c r="A254" s="117">
        <v>294</v>
      </c>
      <c r="B254" s="131">
        <v>1069</v>
      </c>
      <c r="C254" s="111">
        <v>1</v>
      </c>
      <c r="D254" s="111">
        <v>1</v>
      </c>
      <c r="E254" s="242" t="s">
        <v>1614</v>
      </c>
      <c r="F254" s="243" t="s">
        <v>1627</v>
      </c>
      <c r="G254" s="117" t="s">
        <v>1747</v>
      </c>
      <c r="H254" s="245" t="s">
        <v>1747</v>
      </c>
      <c r="I254" s="245"/>
      <c r="J254" s="122">
        <v>30012004</v>
      </c>
    </row>
    <row r="255" spans="1:10" ht="45" customHeight="1" x14ac:dyDescent="0.3">
      <c r="A255" s="117">
        <v>295</v>
      </c>
      <c r="B255" s="131">
        <v>1070</v>
      </c>
      <c r="C255" s="111">
        <v>1</v>
      </c>
      <c r="D255" s="111">
        <v>1</v>
      </c>
      <c r="E255" s="242" t="s">
        <v>1614</v>
      </c>
      <c r="F255" s="243" t="s">
        <v>1627</v>
      </c>
      <c r="G255" s="117" t="s">
        <v>1747</v>
      </c>
      <c r="H255" s="245" t="s">
        <v>1747</v>
      </c>
      <c r="I255" s="245"/>
      <c r="J255" s="122">
        <v>30012004</v>
      </c>
    </row>
    <row r="256" spans="1:10" ht="45" customHeight="1" x14ac:dyDescent="0.3">
      <c r="A256" s="117">
        <v>296</v>
      </c>
      <c r="B256" s="131">
        <v>1071</v>
      </c>
      <c r="C256" s="111">
        <v>1</v>
      </c>
      <c r="D256" s="111">
        <v>1</v>
      </c>
      <c r="E256" s="242" t="s">
        <v>1614</v>
      </c>
      <c r="F256" s="243" t="s">
        <v>1627</v>
      </c>
      <c r="G256" s="117" t="s">
        <v>1747</v>
      </c>
      <c r="H256" s="245" t="s">
        <v>1747</v>
      </c>
      <c r="I256" s="245"/>
      <c r="J256" s="122">
        <v>30012004</v>
      </c>
    </row>
    <row r="257" spans="1:10" ht="45" customHeight="1" x14ac:dyDescent="0.3">
      <c r="A257" s="117">
        <v>297</v>
      </c>
      <c r="B257" s="131">
        <v>1072</v>
      </c>
      <c r="C257" s="111">
        <v>2</v>
      </c>
      <c r="D257" s="111">
        <v>1</v>
      </c>
      <c r="E257" s="242" t="s">
        <v>1614</v>
      </c>
      <c r="F257" s="243" t="s">
        <v>1584</v>
      </c>
      <c r="G257" s="117" t="s">
        <v>1716</v>
      </c>
      <c r="H257" s="245" t="s">
        <v>1716</v>
      </c>
      <c r="I257" s="245" t="s">
        <v>1962</v>
      </c>
      <c r="J257" s="122">
        <v>2022004</v>
      </c>
    </row>
    <row r="258" spans="1:10" ht="45" customHeight="1" x14ac:dyDescent="0.3">
      <c r="A258" s="117">
        <v>298</v>
      </c>
      <c r="B258" s="131">
        <v>1073</v>
      </c>
      <c r="C258" s="111">
        <v>2</v>
      </c>
      <c r="D258" s="111">
        <v>1</v>
      </c>
      <c r="E258" s="242" t="s">
        <v>1614</v>
      </c>
      <c r="F258" s="243" t="s">
        <v>1584</v>
      </c>
      <c r="G258" s="117" t="s">
        <v>1716</v>
      </c>
      <c r="H258" s="245" t="s">
        <v>1716</v>
      </c>
      <c r="I258" s="245" t="s">
        <v>1962</v>
      </c>
      <c r="J258" s="122">
        <v>2022004</v>
      </c>
    </row>
    <row r="259" spans="1:10" ht="45" customHeight="1" x14ac:dyDescent="0.3">
      <c r="A259" s="117">
        <v>299</v>
      </c>
      <c r="B259" s="110">
        <v>1086</v>
      </c>
      <c r="C259" s="111">
        <v>16</v>
      </c>
      <c r="D259" s="111">
        <v>4</v>
      </c>
      <c r="E259" s="240" t="s">
        <v>1611</v>
      </c>
      <c r="F259" s="243" t="s">
        <v>533</v>
      </c>
      <c r="G259" s="118" t="s">
        <v>2091</v>
      </c>
      <c r="H259" s="243" t="s">
        <v>2091</v>
      </c>
      <c r="I259" s="245" t="s">
        <v>1937</v>
      </c>
      <c r="J259" s="122"/>
    </row>
    <row r="260" spans="1:10" ht="30" customHeight="1" x14ac:dyDescent="0.3">
      <c r="A260" s="117">
        <v>300</v>
      </c>
      <c r="B260" s="131">
        <v>1100</v>
      </c>
      <c r="C260" s="111">
        <v>2</v>
      </c>
      <c r="D260" s="111">
        <v>1</v>
      </c>
      <c r="E260" s="242" t="s">
        <v>1614</v>
      </c>
      <c r="F260" s="243" t="s">
        <v>1584</v>
      </c>
      <c r="G260" s="117" t="s">
        <v>2093</v>
      </c>
      <c r="H260" s="245" t="s">
        <v>1735</v>
      </c>
      <c r="I260" s="245" t="s">
        <v>2092</v>
      </c>
      <c r="J260" s="122"/>
    </row>
    <row r="261" spans="1:10" ht="30" customHeight="1" x14ac:dyDescent="0.3">
      <c r="A261" s="117">
        <v>301</v>
      </c>
      <c r="B261" s="131">
        <v>1107</v>
      </c>
      <c r="C261" s="111">
        <v>2</v>
      </c>
      <c r="D261" s="111">
        <v>1</v>
      </c>
      <c r="E261" s="242" t="s">
        <v>1614</v>
      </c>
      <c r="F261" s="243" t="s">
        <v>1584</v>
      </c>
      <c r="G261" s="117" t="s">
        <v>1719</v>
      </c>
      <c r="H261" s="245" t="s">
        <v>1719</v>
      </c>
      <c r="I261" s="245" t="s">
        <v>2086</v>
      </c>
      <c r="J261" s="122">
        <v>31032013</v>
      </c>
    </row>
    <row r="262" spans="1:10" ht="30" customHeight="1" x14ac:dyDescent="0.3">
      <c r="A262" s="117">
        <v>302</v>
      </c>
      <c r="B262" s="131">
        <v>1108</v>
      </c>
      <c r="C262" s="111">
        <v>2</v>
      </c>
      <c r="D262" s="111">
        <v>1</v>
      </c>
      <c r="E262" s="242" t="s">
        <v>1614</v>
      </c>
      <c r="F262" s="243" t="s">
        <v>1584</v>
      </c>
      <c r="G262" s="117" t="s">
        <v>1719</v>
      </c>
      <c r="H262" s="245" t="s">
        <v>1719</v>
      </c>
      <c r="I262" s="245" t="s">
        <v>2086</v>
      </c>
      <c r="J262" s="122">
        <v>31032013</v>
      </c>
    </row>
    <row r="263" spans="1:10" ht="30" customHeight="1" x14ac:dyDescent="0.3">
      <c r="A263" s="117">
        <v>303</v>
      </c>
      <c r="B263" s="131">
        <v>1109</v>
      </c>
      <c r="C263" s="111">
        <v>2</v>
      </c>
      <c r="D263" s="111">
        <v>1</v>
      </c>
      <c r="E263" s="242" t="s">
        <v>1614</v>
      </c>
      <c r="F263" s="243" t="s">
        <v>1584</v>
      </c>
      <c r="G263" s="117" t="s">
        <v>1719</v>
      </c>
      <c r="H263" s="245" t="s">
        <v>1719</v>
      </c>
      <c r="I263" s="245" t="s">
        <v>2086</v>
      </c>
      <c r="J263" s="122">
        <v>31032013</v>
      </c>
    </row>
    <row r="264" spans="1:10" ht="30" customHeight="1" x14ac:dyDescent="0.3">
      <c r="A264" s="117">
        <v>304</v>
      </c>
      <c r="B264" s="131">
        <v>1110</v>
      </c>
      <c r="C264" s="111">
        <v>2</v>
      </c>
      <c r="D264" s="111">
        <v>1</v>
      </c>
      <c r="E264" s="242" t="s">
        <v>1614</v>
      </c>
      <c r="F264" s="243" t="s">
        <v>1584</v>
      </c>
      <c r="G264" s="117" t="s">
        <v>1719</v>
      </c>
      <c r="H264" s="245" t="s">
        <v>1719</v>
      </c>
      <c r="I264" s="245" t="s">
        <v>2086</v>
      </c>
      <c r="J264" s="122">
        <v>31032013</v>
      </c>
    </row>
    <row r="265" spans="1:10" ht="30" customHeight="1" x14ac:dyDescent="0.3">
      <c r="A265" s="117">
        <v>305</v>
      </c>
      <c r="B265" s="131">
        <v>1111</v>
      </c>
      <c r="C265" s="111">
        <v>2</v>
      </c>
      <c r="D265" s="111">
        <v>1</v>
      </c>
      <c r="E265" s="242" t="s">
        <v>1614</v>
      </c>
      <c r="F265" s="243" t="s">
        <v>1584</v>
      </c>
      <c r="G265" s="117" t="s">
        <v>1719</v>
      </c>
      <c r="H265" s="245" t="s">
        <v>1719</v>
      </c>
      <c r="I265" s="245" t="s">
        <v>2086</v>
      </c>
      <c r="J265" s="122">
        <v>31032013</v>
      </c>
    </row>
    <row r="266" spans="1:10" ht="30" customHeight="1" x14ac:dyDescent="0.3">
      <c r="A266" s="117">
        <v>306</v>
      </c>
      <c r="B266" s="131">
        <v>1112</v>
      </c>
      <c r="C266" s="111">
        <v>2</v>
      </c>
      <c r="D266" s="111">
        <v>1</v>
      </c>
      <c r="E266" s="242" t="s">
        <v>1614</v>
      </c>
      <c r="F266" s="243" t="s">
        <v>1584</v>
      </c>
      <c r="G266" s="117" t="s">
        <v>1719</v>
      </c>
      <c r="H266" s="245" t="s">
        <v>1719</v>
      </c>
      <c r="I266" s="245" t="s">
        <v>2086</v>
      </c>
      <c r="J266" s="122">
        <v>31032013</v>
      </c>
    </row>
    <row r="267" spans="1:10" ht="30" customHeight="1" x14ac:dyDescent="0.3">
      <c r="A267" s="117">
        <v>307</v>
      </c>
      <c r="B267" s="131">
        <v>1113</v>
      </c>
      <c r="C267" s="111">
        <v>2</v>
      </c>
      <c r="D267" s="111">
        <v>1</v>
      </c>
      <c r="E267" s="242" t="s">
        <v>1614</v>
      </c>
      <c r="F267" s="243" t="s">
        <v>1584</v>
      </c>
      <c r="G267" s="117" t="s">
        <v>1719</v>
      </c>
      <c r="H267" s="245" t="s">
        <v>1719</v>
      </c>
      <c r="I267" s="245" t="s">
        <v>2086</v>
      </c>
      <c r="J267" s="122">
        <v>31032013</v>
      </c>
    </row>
    <row r="268" spans="1:10" ht="30" customHeight="1" x14ac:dyDescent="0.3">
      <c r="A268" s="117">
        <v>308</v>
      </c>
      <c r="B268" s="131">
        <v>1114</v>
      </c>
      <c r="C268" s="111">
        <v>2</v>
      </c>
      <c r="D268" s="111">
        <v>1</v>
      </c>
      <c r="E268" s="242" t="s">
        <v>1614</v>
      </c>
      <c r="F268" s="243" t="s">
        <v>1584</v>
      </c>
      <c r="G268" s="117" t="s">
        <v>1719</v>
      </c>
      <c r="H268" s="245" t="s">
        <v>1719</v>
      </c>
      <c r="I268" s="245" t="s">
        <v>2086</v>
      </c>
      <c r="J268" s="122">
        <v>31032013</v>
      </c>
    </row>
    <row r="269" spans="1:10" ht="30" customHeight="1" x14ac:dyDescent="0.3">
      <c r="A269" s="117">
        <v>309</v>
      </c>
      <c r="B269" s="131">
        <v>1115</v>
      </c>
      <c r="C269" s="111">
        <v>2</v>
      </c>
      <c r="D269" s="111">
        <v>1</v>
      </c>
      <c r="E269" s="242" t="s">
        <v>1614</v>
      </c>
      <c r="F269" s="243" t="s">
        <v>1584</v>
      </c>
      <c r="G269" s="117" t="s">
        <v>1719</v>
      </c>
      <c r="H269" s="245" t="s">
        <v>1719</v>
      </c>
      <c r="I269" s="245" t="s">
        <v>2086</v>
      </c>
      <c r="J269" s="122">
        <v>31032013</v>
      </c>
    </row>
    <row r="270" spans="1:10" ht="30" customHeight="1" x14ac:dyDescent="0.3">
      <c r="A270" s="117">
        <v>310</v>
      </c>
      <c r="B270" s="131">
        <v>1116</v>
      </c>
      <c r="C270" s="111">
        <v>2</v>
      </c>
      <c r="D270" s="111">
        <v>1</v>
      </c>
      <c r="E270" s="242" t="s">
        <v>1614</v>
      </c>
      <c r="F270" s="243" t="s">
        <v>1584</v>
      </c>
      <c r="G270" s="117" t="s">
        <v>1719</v>
      </c>
      <c r="H270" s="245" t="s">
        <v>1719</v>
      </c>
      <c r="I270" s="245" t="s">
        <v>2086</v>
      </c>
      <c r="J270" s="122">
        <v>31032013</v>
      </c>
    </row>
    <row r="271" spans="1:10" ht="30" customHeight="1" x14ac:dyDescent="0.3">
      <c r="A271" s="117">
        <v>311</v>
      </c>
      <c r="B271" s="131">
        <v>1117</v>
      </c>
      <c r="C271" s="111">
        <v>2</v>
      </c>
      <c r="D271" s="111">
        <v>1</v>
      </c>
      <c r="E271" s="242" t="s">
        <v>1614</v>
      </c>
      <c r="F271" s="243" t="s">
        <v>1584</v>
      </c>
      <c r="G271" s="117" t="s">
        <v>1719</v>
      </c>
      <c r="H271" s="245" t="s">
        <v>1719</v>
      </c>
      <c r="I271" s="245" t="s">
        <v>2086</v>
      </c>
      <c r="J271" s="122">
        <v>31032013</v>
      </c>
    </row>
    <row r="272" spans="1:10" ht="46.5" customHeight="1" x14ac:dyDescent="0.3">
      <c r="A272" s="117">
        <v>312</v>
      </c>
      <c r="B272" s="131">
        <v>1118</v>
      </c>
      <c r="C272" s="111">
        <v>2</v>
      </c>
      <c r="D272" s="111">
        <v>1</v>
      </c>
      <c r="E272" s="242" t="s">
        <v>1614</v>
      </c>
      <c r="F272" s="243" t="s">
        <v>1584</v>
      </c>
      <c r="G272" s="117" t="s">
        <v>1719</v>
      </c>
      <c r="H272" s="245" t="s">
        <v>1719</v>
      </c>
      <c r="I272" s="245" t="s">
        <v>2086</v>
      </c>
      <c r="J272" s="122">
        <v>31032013</v>
      </c>
    </row>
    <row r="273" spans="1:10" ht="39" customHeight="1" x14ac:dyDescent="0.3">
      <c r="A273" s="117">
        <v>313</v>
      </c>
      <c r="B273" s="131">
        <v>1121</v>
      </c>
      <c r="C273" s="111">
        <v>2</v>
      </c>
      <c r="D273" s="111">
        <v>1</v>
      </c>
      <c r="E273" s="242" t="s">
        <v>1614</v>
      </c>
      <c r="F273" s="243" t="s">
        <v>1584</v>
      </c>
      <c r="G273" s="117" t="s">
        <v>844</v>
      </c>
      <c r="H273" s="245" t="s">
        <v>1719</v>
      </c>
      <c r="I273" s="245" t="s">
        <v>2086</v>
      </c>
      <c r="J273" s="122">
        <v>31032013</v>
      </c>
    </row>
    <row r="274" spans="1:10" ht="60" customHeight="1" x14ac:dyDescent="0.3">
      <c r="A274" s="117">
        <v>314</v>
      </c>
      <c r="B274" s="131">
        <v>1125</v>
      </c>
      <c r="C274" s="111">
        <v>1</v>
      </c>
      <c r="D274" s="111">
        <v>1</v>
      </c>
      <c r="E274" s="242" t="s">
        <v>1614</v>
      </c>
      <c r="F274" s="243" t="s">
        <v>1627</v>
      </c>
      <c r="G274" s="117" t="s">
        <v>845</v>
      </c>
      <c r="H274" s="245" t="s">
        <v>845</v>
      </c>
      <c r="I274" s="245"/>
      <c r="J274" s="122">
        <v>31032013</v>
      </c>
    </row>
    <row r="275" spans="1:10" ht="60" customHeight="1" x14ac:dyDescent="0.3">
      <c r="A275" s="117">
        <v>315</v>
      </c>
      <c r="B275" s="131">
        <v>1126</v>
      </c>
      <c r="C275" s="111">
        <v>1</v>
      </c>
      <c r="D275" s="111">
        <v>1</v>
      </c>
      <c r="E275" s="242" t="s">
        <v>1614</v>
      </c>
      <c r="F275" s="243" t="s">
        <v>1627</v>
      </c>
      <c r="G275" s="117" t="s">
        <v>845</v>
      </c>
      <c r="H275" s="245" t="s">
        <v>845</v>
      </c>
      <c r="I275" s="245"/>
      <c r="J275" s="122">
        <v>31032013</v>
      </c>
    </row>
    <row r="276" spans="1:10" ht="60" customHeight="1" x14ac:dyDescent="0.3">
      <c r="A276" s="117">
        <v>316</v>
      </c>
      <c r="B276" s="131">
        <v>1129</v>
      </c>
      <c r="C276" s="111">
        <v>1</v>
      </c>
      <c r="D276" s="111">
        <v>1</v>
      </c>
      <c r="E276" s="242" t="s">
        <v>1614</v>
      </c>
      <c r="F276" s="243" t="s">
        <v>1627</v>
      </c>
      <c r="G276" s="117" t="s">
        <v>845</v>
      </c>
      <c r="H276" s="245" t="s">
        <v>845</v>
      </c>
      <c r="I276" s="245"/>
      <c r="J276" s="122">
        <v>31032013</v>
      </c>
    </row>
    <row r="277" spans="1:10" ht="60" customHeight="1" x14ac:dyDescent="0.3">
      <c r="A277" s="117">
        <v>317</v>
      </c>
      <c r="B277" s="131">
        <v>1134</v>
      </c>
      <c r="C277" s="111">
        <v>1</v>
      </c>
      <c r="D277" s="111">
        <v>1</v>
      </c>
      <c r="E277" s="242" t="s">
        <v>1614</v>
      </c>
      <c r="F277" s="243" t="s">
        <v>1627</v>
      </c>
      <c r="G277" s="117" t="s">
        <v>845</v>
      </c>
      <c r="H277" s="245" t="s">
        <v>845</v>
      </c>
      <c r="I277" s="245"/>
      <c r="J277" s="122">
        <v>31032013</v>
      </c>
    </row>
    <row r="278" spans="1:10" ht="60" customHeight="1" x14ac:dyDescent="0.3">
      <c r="A278" s="117">
        <v>318</v>
      </c>
      <c r="B278" s="131">
        <v>1135</v>
      </c>
      <c r="C278" s="111">
        <v>1</v>
      </c>
      <c r="D278" s="111">
        <v>1</v>
      </c>
      <c r="E278" s="242" t="s">
        <v>1614</v>
      </c>
      <c r="F278" s="243" t="s">
        <v>1627</v>
      </c>
      <c r="G278" s="117" t="s">
        <v>845</v>
      </c>
      <c r="H278" s="245" t="s">
        <v>845</v>
      </c>
      <c r="I278" s="245"/>
      <c r="J278" s="122">
        <v>31032013</v>
      </c>
    </row>
    <row r="279" spans="1:10" ht="60" customHeight="1" x14ac:dyDescent="0.3">
      <c r="A279" s="117">
        <v>319</v>
      </c>
      <c r="B279" s="131">
        <v>1144</v>
      </c>
      <c r="C279" s="111">
        <v>1</v>
      </c>
      <c r="D279" s="111">
        <v>1</v>
      </c>
      <c r="E279" s="242" t="s">
        <v>1614</v>
      </c>
      <c r="F279" s="243" t="s">
        <v>1627</v>
      </c>
      <c r="G279" s="117" t="s">
        <v>845</v>
      </c>
      <c r="H279" s="245" t="s">
        <v>845</v>
      </c>
      <c r="I279" s="245"/>
      <c r="J279" s="122">
        <v>31032013</v>
      </c>
    </row>
    <row r="280" spans="1:10" ht="60" customHeight="1" x14ac:dyDescent="0.3">
      <c r="A280" s="117">
        <v>320</v>
      </c>
      <c r="B280" s="131">
        <v>1148</v>
      </c>
      <c r="C280" s="111">
        <v>1</v>
      </c>
      <c r="D280" s="111">
        <v>1</v>
      </c>
      <c r="E280" s="242" t="s">
        <v>1614</v>
      </c>
      <c r="F280" s="243" t="s">
        <v>1627</v>
      </c>
      <c r="G280" s="117" t="s">
        <v>845</v>
      </c>
      <c r="H280" s="245" t="s">
        <v>845</v>
      </c>
      <c r="I280" s="245"/>
      <c r="J280" s="122">
        <v>31032013</v>
      </c>
    </row>
    <row r="281" spans="1:10" ht="60" customHeight="1" x14ac:dyDescent="0.3">
      <c r="A281" s="117">
        <v>321</v>
      </c>
      <c r="B281" s="131">
        <v>1155</v>
      </c>
      <c r="C281" s="111">
        <v>1</v>
      </c>
      <c r="D281" s="111">
        <v>1</v>
      </c>
      <c r="E281" s="242" t="s">
        <v>1614</v>
      </c>
      <c r="F281" s="243" t="s">
        <v>1627</v>
      </c>
      <c r="G281" s="117" t="s">
        <v>845</v>
      </c>
      <c r="H281" s="245" t="s">
        <v>845</v>
      </c>
      <c r="I281" s="245"/>
      <c r="J281" s="122">
        <v>31032013</v>
      </c>
    </row>
    <row r="282" spans="1:10" ht="60" customHeight="1" x14ac:dyDescent="0.3">
      <c r="A282" s="117">
        <v>322</v>
      </c>
      <c r="B282" s="131">
        <v>1156</v>
      </c>
      <c r="C282" s="111">
        <v>1</v>
      </c>
      <c r="D282" s="111">
        <v>1</v>
      </c>
      <c r="E282" s="242" t="s">
        <v>1614</v>
      </c>
      <c r="F282" s="243" t="s">
        <v>1627</v>
      </c>
      <c r="G282" s="117" t="s">
        <v>845</v>
      </c>
      <c r="H282" s="245" t="s">
        <v>845</v>
      </c>
      <c r="I282" s="245"/>
      <c r="J282" s="122">
        <v>31032013</v>
      </c>
    </row>
    <row r="283" spans="1:10" ht="60" customHeight="1" x14ac:dyDescent="0.3">
      <c r="A283" s="117">
        <v>323</v>
      </c>
      <c r="B283" s="131">
        <v>1158</v>
      </c>
      <c r="C283" s="111">
        <v>1</v>
      </c>
      <c r="D283" s="111">
        <v>1</v>
      </c>
      <c r="E283" s="242" t="s">
        <v>1614</v>
      </c>
      <c r="F283" s="243" t="s">
        <v>1627</v>
      </c>
      <c r="G283" s="117" t="s">
        <v>845</v>
      </c>
      <c r="H283" s="245" t="s">
        <v>845</v>
      </c>
      <c r="I283" s="245"/>
      <c r="J283" s="122">
        <v>31032013</v>
      </c>
    </row>
    <row r="284" spans="1:10" ht="60" customHeight="1" x14ac:dyDescent="0.3">
      <c r="A284" s="117">
        <v>324</v>
      </c>
      <c r="B284" s="131">
        <v>1161</v>
      </c>
      <c r="C284" s="111">
        <v>1</v>
      </c>
      <c r="D284" s="111">
        <v>1</v>
      </c>
      <c r="E284" s="242" t="s">
        <v>1614</v>
      </c>
      <c r="F284" s="243" t="s">
        <v>1627</v>
      </c>
      <c r="G284" s="117" t="s">
        <v>845</v>
      </c>
      <c r="H284" s="245" t="s">
        <v>845</v>
      </c>
      <c r="I284" s="245"/>
      <c r="J284" s="122">
        <v>31032013</v>
      </c>
    </row>
    <row r="285" spans="1:10" ht="60" customHeight="1" x14ac:dyDescent="0.3">
      <c r="A285" s="117">
        <v>325</v>
      </c>
      <c r="B285" s="131">
        <v>1162</v>
      </c>
      <c r="C285" s="111">
        <v>1</v>
      </c>
      <c r="D285" s="111">
        <v>1</v>
      </c>
      <c r="E285" s="242" t="s">
        <v>1614</v>
      </c>
      <c r="F285" s="243" t="s">
        <v>1627</v>
      </c>
      <c r="G285" s="117" t="s">
        <v>845</v>
      </c>
      <c r="H285" s="245" t="s">
        <v>845</v>
      </c>
      <c r="I285" s="245"/>
      <c r="J285" s="122">
        <v>31032013</v>
      </c>
    </row>
    <row r="286" spans="1:10" ht="60" customHeight="1" x14ac:dyDescent="0.3">
      <c r="A286" s="117">
        <v>326</v>
      </c>
      <c r="B286" s="131">
        <v>1172</v>
      </c>
      <c r="C286" s="111">
        <v>1</v>
      </c>
      <c r="D286" s="111">
        <v>1</v>
      </c>
      <c r="E286" s="242" t="s">
        <v>1614</v>
      </c>
      <c r="F286" s="243" t="s">
        <v>1627</v>
      </c>
      <c r="G286" s="117" t="s">
        <v>845</v>
      </c>
      <c r="H286" s="245" t="s">
        <v>845</v>
      </c>
      <c r="I286" s="245"/>
      <c r="J286" s="122">
        <v>31032013</v>
      </c>
    </row>
    <row r="287" spans="1:10" ht="60" customHeight="1" x14ac:dyDescent="0.3">
      <c r="A287" s="117">
        <v>327</v>
      </c>
      <c r="B287" s="131">
        <v>1180</v>
      </c>
      <c r="C287" s="111">
        <v>1</v>
      </c>
      <c r="D287" s="111">
        <v>1</v>
      </c>
      <c r="E287" s="242" t="s">
        <v>1614</v>
      </c>
      <c r="F287" s="243" t="s">
        <v>1627</v>
      </c>
      <c r="G287" s="117" t="s">
        <v>845</v>
      </c>
      <c r="H287" s="245" t="s">
        <v>845</v>
      </c>
      <c r="I287" s="245"/>
      <c r="J287" s="122">
        <v>31032013</v>
      </c>
    </row>
    <row r="288" spans="1:10" ht="60" customHeight="1" x14ac:dyDescent="0.3">
      <c r="A288" s="117">
        <v>328</v>
      </c>
      <c r="B288" s="131">
        <v>1182</v>
      </c>
      <c r="C288" s="111">
        <v>1</v>
      </c>
      <c r="D288" s="111">
        <v>1</v>
      </c>
      <c r="E288" s="242" t="s">
        <v>1614</v>
      </c>
      <c r="F288" s="243" t="s">
        <v>1627</v>
      </c>
      <c r="G288" s="117" t="s">
        <v>845</v>
      </c>
      <c r="H288" s="245" t="s">
        <v>845</v>
      </c>
      <c r="I288" s="245"/>
      <c r="J288" s="122">
        <v>31032013</v>
      </c>
    </row>
    <row r="289" spans="1:10" ht="60" customHeight="1" x14ac:dyDescent="0.3">
      <c r="A289" s="117">
        <v>329</v>
      </c>
      <c r="B289" s="131">
        <v>1183</v>
      </c>
      <c r="C289" s="111">
        <v>1</v>
      </c>
      <c r="D289" s="111">
        <v>1</v>
      </c>
      <c r="E289" s="242" t="s">
        <v>1614</v>
      </c>
      <c r="F289" s="243" t="s">
        <v>1627</v>
      </c>
      <c r="G289" s="117" t="s">
        <v>845</v>
      </c>
      <c r="H289" s="245" t="s">
        <v>845</v>
      </c>
      <c r="I289" s="245"/>
      <c r="J289" s="122">
        <v>31032013</v>
      </c>
    </row>
    <row r="290" spans="1:10" ht="60" customHeight="1" x14ac:dyDescent="0.3">
      <c r="A290" s="117">
        <v>330</v>
      </c>
      <c r="B290" s="131">
        <v>1184</v>
      </c>
      <c r="C290" s="111">
        <v>1</v>
      </c>
      <c r="D290" s="111">
        <v>1</v>
      </c>
      <c r="E290" s="242" t="s">
        <v>1614</v>
      </c>
      <c r="F290" s="243" t="s">
        <v>1627</v>
      </c>
      <c r="G290" s="117" t="s">
        <v>845</v>
      </c>
      <c r="H290" s="245" t="s">
        <v>845</v>
      </c>
      <c r="I290" s="245"/>
      <c r="J290" s="122">
        <v>31032013</v>
      </c>
    </row>
    <row r="291" spans="1:10" ht="60" customHeight="1" x14ac:dyDescent="0.3">
      <c r="A291" s="117">
        <v>331</v>
      </c>
      <c r="B291" s="131">
        <v>1189</v>
      </c>
      <c r="C291" s="111">
        <v>1</v>
      </c>
      <c r="D291" s="111">
        <v>1</v>
      </c>
      <c r="E291" s="242" t="s">
        <v>1614</v>
      </c>
      <c r="F291" s="243" t="s">
        <v>1627</v>
      </c>
      <c r="G291" s="117" t="s">
        <v>845</v>
      </c>
      <c r="H291" s="245" t="s">
        <v>845</v>
      </c>
      <c r="I291" s="245"/>
      <c r="J291" s="122">
        <v>31032013</v>
      </c>
    </row>
    <row r="292" spans="1:10" ht="45" customHeight="1" x14ac:dyDescent="0.3">
      <c r="A292" s="117">
        <v>332</v>
      </c>
      <c r="B292" s="131">
        <v>1192</v>
      </c>
      <c r="C292" s="111">
        <v>16</v>
      </c>
      <c r="D292" s="111">
        <v>4</v>
      </c>
      <c r="E292" s="240" t="s">
        <v>1611</v>
      </c>
      <c r="F292" s="243" t="s">
        <v>533</v>
      </c>
      <c r="G292" s="117" t="s">
        <v>1694</v>
      </c>
      <c r="H292" s="245" t="s">
        <v>1694</v>
      </c>
      <c r="I292" s="245" t="s">
        <v>2094</v>
      </c>
      <c r="J292" s="122">
        <v>7052013</v>
      </c>
    </row>
    <row r="293" spans="1:10" ht="45" customHeight="1" x14ac:dyDescent="0.3">
      <c r="A293" s="117">
        <v>333</v>
      </c>
      <c r="B293" s="131">
        <v>1193</v>
      </c>
      <c r="C293" s="111">
        <v>16</v>
      </c>
      <c r="D293" s="111">
        <v>4</v>
      </c>
      <c r="E293" s="240" t="s">
        <v>1611</v>
      </c>
      <c r="F293" s="243" t="s">
        <v>533</v>
      </c>
      <c r="G293" s="117" t="s">
        <v>1694</v>
      </c>
      <c r="H293" s="245" t="s">
        <v>1694</v>
      </c>
      <c r="I293" s="245" t="s">
        <v>2094</v>
      </c>
      <c r="J293" s="122">
        <v>7052013</v>
      </c>
    </row>
    <row r="294" spans="1:10" ht="45" customHeight="1" x14ac:dyDescent="0.3">
      <c r="A294" s="117">
        <v>334</v>
      </c>
      <c r="B294" s="131">
        <v>1194</v>
      </c>
      <c r="C294" s="111">
        <v>16</v>
      </c>
      <c r="D294" s="111">
        <v>4</v>
      </c>
      <c r="E294" s="240" t="s">
        <v>1611</v>
      </c>
      <c r="F294" s="243" t="s">
        <v>533</v>
      </c>
      <c r="G294" s="117" t="s">
        <v>1694</v>
      </c>
      <c r="H294" s="245" t="s">
        <v>1694</v>
      </c>
      <c r="I294" s="245" t="s">
        <v>2094</v>
      </c>
      <c r="J294" s="122">
        <v>7052013</v>
      </c>
    </row>
    <row r="295" spans="1:10" ht="30" customHeight="1" x14ac:dyDescent="0.3">
      <c r="A295" s="117">
        <v>335</v>
      </c>
      <c r="B295" s="131">
        <v>1195</v>
      </c>
      <c r="C295" s="111">
        <v>16</v>
      </c>
      <c r="D295" s="111">
        <v>4</v>
      </c>
      <c r="E295" s="240" t="s">
        <v>1611</v>
      </c>
      <c r="F295" s="243" t="s">
        <v>533</v>
      </c>
      <c r="G295" s="117" t="s">
        <v>2095</v>
      </c>
      <c r="H295" s="245" t="s">
        <v>2095</v>
      </c>
      <c r="I295" s="245" t="s">
        <v>1964</v>
      </c>
      <c r="J295" s="122">
        <v>7052013</v>
      </c>
    </row>
    <row r="296" spans="1:10" ht="30" customHeight="1" x14ac:dyDescent="0.3">
      <c r="A296" s="117">
        <v>336</v>
      </c>
      <c r="B296" s="131">
        <v>1196</v>
      </c>
      <c r="C296" s="111">
        <v>16</v>
      </c>
      <c r="D296" s="111">
        <v>4</v>
      </c>
      <c r="E296" s="240" t="s">
        <v>1611</v>
      </c>
      <c r="F296" s="243" t="s">
        <v>533</v>
      </c>
      <c r="G296" s="117" t="s">
        <v>847</v>
      </c>
      <c r="H296" s="246" t="s">
        <v>1676</v>
      </c>
      <c r="I296" s="245" t="s">
        <v>1964</v>
      </c>
      <c r="J296" s="122">
        <v>7052013</v>
      </c>
    </row>
    <row r="297" spans="1:10" ht="30" customHeight="1" x14ac:dyDescent="0.3">
      <c r="A297" s="117">
        <v>337</v>
      </c>
      <c r="B297" s="131">
        <v>1197</v>
      </c>
      <c r="C297" s="111">
        <v>36</v>
      </c>
      <c r="D297" s="111">
        <v>5</v>
      </c>
      <c r="E297" s="243" t="s">
        <v>1612</v>
      </c>
      <c r="F297" s="243" t="s">
        <v>1636</v>
      </c>
      <c r="G297" s="117" t="s">
        <v>1807</v>
      </c>
      <c r="H297" s="245" t="s">
        <v>1807</v>
      </c>
      <c r="I297" s="245"/>
      <c r="J297" s="122">
        <v>7052013</v>
      </c>
    </row>
    <row r="298" spans="1:10" ht="60" customHeight="1" x14ac:dyDescent="0.3">
      <c r="A298" s="117">
        <v>338</v>
      </c>
      <c r="B298" s="131">
        <v>1199</v>
      </c>
      <c r="C298" s="111">
        <v>9</v>
      </c>
      <c r="D298" s="111">
        <v>2</v>
      </c>
      <c r="E298" s="241" t="s">
        <v>1613</v>
      </c>
      <c r="F298" s="243" t="s">
        <v>526</v>
      </c>
      <c r="G298" s="119" t="s">
        <v>1826</v>
      </c>
      <c r="H298" s="246" t="s">
        <v>1826</v>
      </c>
      <c r="I298" s="245" t="s">
        <v>1825</v>
      </c>
      <c r="J298" s="122">
        <v>7052013</v>
      </c>
    </row>
    <row r="299" spans="1:10" ht="60" customHeight="1" x14ac:dyDescent="0.3">
      <c r="A299" s="117">
        <v>339</v>
      </c>
      <c r="B299" s="131">
        <v>1200</v>
      </c>
      <c r="C299" s="111">
        <v>9</v>
      </c>
      <c r="D299" s="111">
        <v>2</v>
      </c>
      <c r="E299" s="241" t="s">
        <v>1613</v>
      </c>
      <c r="F299" s="243" t="s">
        <v>526</v>
      </c>
      <c r="G299" s="119" t="s">
        <v>2096</v>
      </c>
      <c r="H299" s="246" t="s">
        <v>1826</v>
      </c>
      <c r="I299" s="245" t="s">
        <v>1825</v>
      </c>
      <c r="J299" s="122">
        <v>7052013</v>
      </c>
    </row>
    <row r="300" spans="1:10" ht="60" customHeight="1" x14ac:dyDescent="0.3">
      <c r="A300" s="117">
        <v>340</v>
      </c>
      <c r="B300" s="131">
        <v>1201</v>
      </c>
      <c r="C300" s="111">
        <v>9</v>
      </c>
      <c r="D300" s="111">
        <v>2</v>
      </c>
      <c r="E300" s="241" t="s">
        <v>1613</v>
      </c>
      <c r="F300" s="243" t="s">
        <v>526</v>
      </c>
      <c r="G300" s="119" t="s">
        <v>2097</v>
      </c>
      <c r="H300" s="246" t="s">
        <v>1826</v>
      </c>
      <c r="I300" s="245" t="s">
        <v>1825</v>
      </c>
      <c r="J300" s="122">
        <v>7052013</v>
      </c>
    </row>
    <row r="301" spans="1:10" ht="60" customHeight="1" x14ac:dyDescent="0.3">
      <c r="A301" s="117">
        <v>341</v>
      </c>
      <c r="B301" s="131">
        <v>1202</v>
      </c>
      <c r="C301" s="111">
        <v>9</v>
      </c>
      <c r="D301" s="111">
        <v>2</v>
      </c>
      <c r="E301" s="241" t="s">
        <v>1613</v>
      </c>
      <c r="F301" s="243" t="s">
        <v>526</v>
      </c>
      <c r="G301" s="119" t="s">
        <v>2098</v>
      </c>
      <c r="H301" s="246" t="s">
        <v>1826</v>
      </c>
      <c r="I301" s="245" t="s">
        <v>1825</v>
      </c>
      <c r="J301" s="122">
        <v>7052013</v>
      </c>
    </row>
    <row r="302" spans="1:10" ht="45" customHeight="1" x14ac:dyDescent="0.3">
      <c r="A302" s="117">
        <v>342</v>
      </c>
      <c r="B302" s="131">
        <v>1203</v>
      </c>
      <c r="C302" s="111">
        <v>27</v>
      </c>
      <c r="D302" s="111">
        <v>2</v>
      </c>
      <c r="E302" s="241" t="s">
        <v>1613</v>
      </c>
      <c r="F302" s="243" t="s">
        <v>1594</v>
      </c>
      <c r="G302" s="117" t="s">
        <v>1871</v>
      </c>
      <c r="H302" s="245" t="s">
        <v>1871</v>
      </c>
      <c r="I302" s="245"/>
      <c r="J302" s="122">
        <v>7052013</v>
      </c>
    </row>
    <row r="303" spans="1:10" ht="45" customHeight="1" x14ac:dyDescent="0.3">
      <c r="A303" s="117">
        <v>343</v>
      </c>
      <c r="B303" s="131">
        <v>1204</v>
      </c>
      <c r="C303" s="111">
        <v>5</v>
      </c>
      <c r="D303" s="111">
        <v>2</v>
      </c>
      <c r="E303" s="241" t="s">
        <v>1613</v>
      </c>
      <c r="F303" s="243" t="s">
        <v>403</v>
      </c>
      <c r="G303" s="119" t="s">
        <v>1775</v>
      </c>
      <c r="H303" s="245" t="s">
        <v>1775</v>
      </c>
      <c r="I303" s="247" t="s">
        <v>1776</v>
      </c>
      <c r="J303" s="122">
        <v>7052013</v>
      </c>
    </row>
    <row r="304" spans="1:10" ht="45" customHeight="1" x14ac:dyDescent="0.3">
      <c r="A304" s="117">
        <v>344</v>
      </c>
      <c r="B304" s="131">
        <v>1205</v>
      </c>
      <c r="C304" s="111">
        <v>5</v>
      </c>
      <c r="D304" s="111">
        <v>2</v>
      </c>
      <c r="E304" s="241" t="s">
        <v>1613</v>
      </c>
      <c r="F304" s="243" t="s">
        <v>403</v>
      </c>
      <c r="G304" s="119" t="s">
        <v>1775</v>
      </c>
      <c r="H304" s="245" t="s">
        <v>1775</v>
      </c>
      <c r="I304" s="247" t="s">
        <v>1776</v>
      </c>
      <c r="J304" s="122">
        <v>7052013</v>
      </c>
    </row>
    <row r="305" spans="1:10" ht="75" customHeight="1" x14ac:dyDescent="0.3">
      <c r="A305" s="117">
        <v>345</v>
      </c>
      <c r="B305" s="131">
        <v>1206</v>
      </c>
      <c r="C305" s="111">
        <v>32</v>
      </c>
      <c r="D305" s="111">
        <v>2</v>
      </c>
      <c r="E305" s="241" t="s">
        <v>1613</v>
      </c>
      <c r="F305" s="243" t="s">
        <v>1617</v>
      </c>
      <c r="G305" s="117" t="s">
        <v>1616</v>
      </c>
      <c r="H305" s="245" t="s">
        <v>1616</v>
      </c>
      <c r="I305" s="245" t="s">
        <v>1618</v>
      </c>
      <c r="J305" s="122">
        <v>7052013</v>
      </c>
    </row>
    <row r="306" spans="1:10" ht="44.25" customHeight="1" x14ac:dyDescent="0.3">
      <c r="A306" s="117">
        <v>346</v>
      </c>
      <c r="B306" s="131">
        <v>1207</v>
      </c>
      <c r="C306" s="111">
        <v>2</v>
      </c>
      <c r="D306" s="111">
        <v>1</v>
      </c>
      <c r="E306" s="242" t="s">
        <v>1614</v>
      </c>
      <c r="F306" s="243" t="s">
        <v>1584</v>
      </c>
      <c r="G306" s="117" t="s">
        <v>775</v>
      </c>
      <c r="H306" s="245" t="s">
        <v>1734</v>
      </c>
      <c r="I306" s="245" t="s">
        <v>1965</v>
      </c>
      <c r="J306" s="122">
        <v>7052013</v>
      </c>
    </row>
    <row r="307" spans="1:10" ht="30" customHeight="1" x14ac:dyDescent="0.3">
      <c r="A307" s="117">
        <v>347</v>
      </c>
      <c r="B307" s="131">
        <v>1208</v>
      </c>
      <c r="C307" s="111">
        <v>2</v>
      </c>
      <c r="D307" s="111">
        <v>1</v>
      </c>
      <c r="E307" s="242" t="s">
        <v>1614</v>
      </c>
      <c r="F307" s="243" t="s">
        <v>1584</v>
      </c>
      <c r="G307" s="119" t="s">
        <v>775</v>
      </c>
      <c r="H307" s="245" t="s">
        <v>1734</v>
      </c>
      <c r="I307" s="245" t="s">
        <v>1965</v>
      </c>
      <c r="J307" s="122">
        <v>7052013</v>
      </c>
    </row>
    <row r="308" spans="1:10" ht="30" customHeight="1" x14ac:dyDescent="0.3">
      <c r="A308" s="117">
        <v>348</v>
      </c>
      <c r="B308" s="131">
        <v>1209</v>
      </c>
      <c r="C308" s="111">
        <v>2</v>
      </c>
      <c r="D308" s="111">
        <v>1</v>
      </c>
      <c r="E308" s="242" t="s">
        <v>1614</v>
      </c>
      <c r="F308" s="243" t="s">
        <v>1584</v>
      </c>
      <c r="G308" s="119" t="s">
        <v>775</v>
      </c>
      <c r="H308" s="245" t="s">
        <v>1734</v>
      </c>
      <c r="I308" s="245" t="s">
        <v>1965</v>
      </c>
      <c r="J308" s="122">
        <v>7052013</v>
      </c>
    </row>
    <row r="309" spans="1:10" ht="45" customHeight="1" x14ac:dyDescent="0.3">
      <c r="A309" s="117">
        <v>349</v>
      </c>
      <c r="B309" s="131">
        <v>1210</v>
      </c>
      <c r="C309" s="111">
        <v>2</v>
      </c>
      <c r="D309" s="111">
        <v>1</v>
      </c>
      <c r="E309" s="242" t="s">
        <v>1614</v>
      </c>
      <c r="F309" s="243" t="s">
        <v>1584</v>
      </c>
      <c r="G309" s="117" t="s">
        <v>2100</v>
      </c>
      <c r="H309" s="249" t="s">
        <v>2099</v>
      </c>
      <c r="I309" s="245" t="s">
        <v>2101</v>
      </c>
      <c r="J309" s="122">
        <v>7052013</v>
      </c>
    </row>
    <row r="310" spans="1:10" ht="60" customHeight="1" x14ac:dyDescent="0.3">
      <c r="A310" s="117">
        <v>350</v>
      </c>
      <c r="B310" s="131">
        <v>1211</v>
      </c>
      <c r="C310" s="111">
        <v>13</v>
      </c>
      <c r="D310" s="111">
        <v>3</v>
      </c>
      <c r="E310" s="243" t="s">
        <v>1610</v>
      </c>
      <c r="F310" s="243" t="s">
        <v>1641</v>
      </c>
      <c r="G310" s="117" t="s">
        <v>852</v>
      </c>
      <c r="H310" s="245" t="s">
        <v>1861</v>
      </c>
      <c r="I310" s="245"/>
      <c r="J310" s="122">
        <v>7052013</v>
      </c>
    </row>
    <row r="311" spans="1:10" ht="30" customHeight="1" x14ac:dyDescent="0.3">
      <c r="A311" s="117">
        <v>351</v>
      </c>
      <c r="B311" s="131">
        <v>1212</v>
      </c>
      <c r="C311" s="111">
        <v>6</v>
      </c>
      <c r="D311" s="111">
        <v>2</v>
      </c>
      <c r="E311" s="241" t="s">
        <v>1613</v>
      </c>
      <c r="F311" s="243" t="s">
        <v>404</v>
      </c>
      <c r="G311" s="119" t="s">
        <v>853</v>
      </c>
      <c r="H311" s="246" t="s">
        <v>854</v>
      </c>
      <c r="I311" s="245"/>
      <c r="J311" s="122">
        <v>7052013</v>
      </c>
    </row>
    <row r="312" spans="1:10" ht="30" customHeight="1" x14ac:dyDescent="0.3">
      <c r="A312" s="117">
        <v>352</v>
      </c>
      <c r="B312" s="131">
        <v>1213</v>
      </c>
      <c r="C312" s="111">
        <v>6</v>
      </c>
      <c r="D312" s="111">
        <v>2</v>
      </c>
      <c r="E312" s="241" t="s">
        <v>1613</v>
      </c>
      <c r="F312" s="243" t="s">
        <v>404</v>
      </c>
      <c r="G312" s="119" t="s">
        <v>853</v>
      </c>
      <c r="H312" s="246" t="s">
        <v>854</v>
      </c>
      <c r="I312" s="245"/>
      <c r="J312" s="122">
        <v>7052013</v>
      </c>
    </row>
    <row r="313" spans="1:10" ht="30" customHeight="1" x14ac:dyDescent="0.3">
      <c r="A313" s="117">
        <v>353</v>
      </c>
      <c r="B313" s="131">
        <v>1214</v>
      </c>
      <c r="C313" s="111">
        <v>6</v>
      </c>
      <c r="D313" s="111">
        <v>2</v>
      </c>
      <c r="E313" s="241" t="s">
        <v>1613</v>
      </c>
      <c r="F313" s="243" t="s">
        <v>404</v>
      </c>
      <c r="G313" s="119" t="s">
        <v>854</v>
      </c>
      <c r="H313" s="246" t="s">
        <v>854</v>
      </c>
      <c r="I313" s="245"/>
      <c r="J313" s="122">
        <v>7052013</v>
      </c>
    </row>
    <row r="314" spans="1:10" ht="30" customHeight="1" x14ac:dyDescent="0.3">
      <c r="A314" s="117">
        <v>354</v>
      </c>
      <c r="B314" s="131">
        <v>1215</v>
      </c>
      <c r="C314" s="111">
        <v>2</v>
      </c>
      <c r="D314" s="111">
        <v>1</v>
      </c>
      <c r="E314" s="242" t="s">
        <v>1614</v>
      </c>
      <c r="F314" s="243" t="s">
        <v>1584</v>
      </c>
      <c r="G314" s="117" t="s">
        <v>844</v>
      </c>
      <c r="H314" s="245" t="s">
        <v>1720</v>
      </c>
      <c r="I314" s="245" t="s">
        <v>1909</v>
      </c>
      <c r="J314" s="122">
        <v>7052013</v>
      </c>
    </row>
    <row r="315" spans="1:10" ht="30" customHeight="1" x14ac:dyDescent="0.3">
      <c r="A315" s="117">
        <v>355</v>
      </c>
      <c r="B315" s="131">
        <v>1216</v>
      </c>
      <c r="C315" s="111">
        <v>2</v>
      </c>
      <c r="D315" s="111">
        <v>1</v>
      </c>
      <c r="E315" s="242" t="s">
        <v>1614</v>
      </c>
      <c r="F315" s="243" t="s">
        <v>1584</v>
      </c>
      <c r="G315" s="119" t="s">
        <v>844</v>
      </c>
      <c r="H315" s="245" t="s">
        <v>1720</v>
      </c>
      <c r="I315" s="245" t="s">
        <v>1909</v>
      </c>
      <c r="J315" s="122">
        <v>7052013</v>
      </c>
    </row>
    <row r="316" spans="1:10" ht="30" customHeight="1" x14ac:dyDescent="0.3">
      <c r="A316" s="117">
        <v>356</v>
      </c>
      <c r="B316" s="131">
        <v>1217</v>
      </c>
      <c r="C316" s="111">
        <v>2</v>
      </c>
      <c r="D316" s="111">
        <v>1</v>
      </c>
      <c r="E316" s="242" t="s">
        <v>1614</v>
      </c>
      <c r="F316" s="243" t="s">
        <v>1584</v>
      </c>
      <c r="G316" s="119" t="s">
        <v>844</v>
      </c>
      <c r="H316" s="245" t="s">
        <v>1720</v>
      </c>
      <c r="I316" s="245" t="s">
        <v>1909</v>
      </c>
      <c r="J316" s="122">
        <v>7052013</v>
      </c>
    </row>
    <row r="317" spans="1:10" ht="30" customHeight="1" x14ac:dyDescent="0.3">
      <c r="A317" s="117">
        <v>357</v>
      </c>
      <c r="B317" s="131">
        <v>1218</v>
      </c>
      <c r="C317" s="111">
        <v>2</v>
      </c>
      <c r="D317" s="111">
        <v>1</v>
      </c>
      <c r="E317" s="242" t="s">
        <v>1614</v>
      </c>
      <c r="F317" s="243" t="s">
        <v>1584</v>
      </c>
      <c r="G317" s="119" t="s">
        <v>844</v>
      </c>
      <c r="H317" s="245" t="s">
        <v>1720</v>
      </c>
      <c r="I317" s="245" t="s">
        <v>1909</v>
      </c>
      <c r="J317" s="122">
        <v>7052013</v>
      </c>
    </row>
    <row r="318" spans="1:10" ht="30" customHeight="1" x14ac:dyDescent="0.3">
      <c r="A318" s="117">
        <v>358</v>
      </c>
      <c r="B318" s="131">
        <v>1219</v>
      </c>
      <c r="C318" s="111">
        <v>2</v>
      </c>
      <c r="D318" s="111">
        <v>1</v>
      </c>
      <c r="E318" s="242" t="s">
        <v>1614</v>
      </c>
      <c r="F318" s="243" t="s">
        <v>1584</v>
      </c>
      <c r="G318" s="119" t="s">
        <v>844</v>
      </c>
      <c r="H318" s="245" t="s">
        <v>1720</v>
      </c>
      <c r="I318" s="245" t="s">
        <v>1909</v>
      </c>
      <c r="J318" s="122">
        <v>7052013</v>
      </c>
    </row>
    <row r="319" spans="1:10" ht="30" customHeight="1" x14ac:dyDescent="0.3">
      <c r="A319" s="117">
        <v>359</v>
      </c>
      <c r="B319" s="131">
        <v>1220</v>
      </c>
      <c r="C319" s="111">
        <v>2</v>
      </c>
      <c r="D319" s="111">
        <v>1</v>
      </c>
      <c r="E319" s="242" t="s">
        <v>1614</v>
      </c>
      <c r="F319" s="243" t="s">
        <v>1584</v>
      </c>
      <c r="G319" s="119" t="s">
        <v>844</v>
      </c>
      <c r="H319" s="245" t="s">
        <v>1720</v>
      </c>
      <c r="I319" s="245" t="s">
        <v>1909</v>
      </c>
      <c r="J319" s="122">
        <v>7052013</v>
      </c>
    </row>
    <row r="320" spans="1:10" ht="30" customHeight="1" x14ac:dyDescent="0.3">
      <c r="A320" s="117">
        <v>360</v>
      </c>
      <c r="B320" s="131">
        <v>1221</v>
      </c>
      <c r="C320" s="111">
        <v>2</v>
      </c>
      <c r="D320" s="111">
        <v>1</v>
      </c>
      <c r="E320" s="242" t="s">
        <v>1614</v>
      </c>
      <c r="F320" s="243" t="s">
        <v>1584</v>
      </c>
      <c r="G320" s="119" t="s">
        <v>844</v>
      </c>
      <c r="H320" s="245" t="s">
        <v>1720</v>
      </c>
      <c r="I320" s="245" t="s">
        <v>1909</v>
      </c>
      <c r="J320" s="122">
        <v>7052013</v>
      </c>
    </row>
    <row r="321" spans="1:10" ht="30" customHeight="1" x14ac:dyDescent="0.3">
      <c r="A321" s="117">
        <v>361</v>
      </c>
      <c r="B321" s="131">
        <v>1222</v>
      </c>
      <c r="C321" s="111">
        <v>2</v>
      </c>
      <c r="D321" s="111">
        <v>1</v>
      </c>
      <c r="E321" s="242" t="s">
        <v>1614</v>
      </c>
      <c r="F321" s="243" t="s">
        <v>1584</v>
      </c>
      <c r="G321" s="119" t="s">
        <v>844</v>
      </c>
      <c r="H321" s="245" t="s">
        <v>1720</v>
      </c>
      <c r="I321" s="245" t="s">
        <v>1909</v>
      </c>
      <c r="J321" s="122">
        <v>7052013</v>
      </c>
    </row>
    <row r="322" spans="1:10" ht="90" customHeight="1" x14ac:dyDescent="0.3">
      <c r="A322" s="117">
        <v>362</v>
      </c>
      <c r="B322" s="131">
        <v>1223</v>
      </c>
      <c r="C322" s="111">
        <v>9</v>
      </c>
      <c r="D322" s="111">
        <v>2</v>
      </c>
      <c r="E322" s="241" t="s">
        <v>1613</v>
      </c>
      <c r="F322" s="243" t="s">
        <v>526</v>
      </c>
      <c r="G322" s="119" t="s">
        <v>1823</v>
      </c>
      <c r="H322" s="245" t="s">
        <v>1823</v>
      </c>
      <c r="I322" s="245" t="s">
        <v>1824</v>
      </c>
      <c r="J322" s="122">
        <v>7052013</v>
      </c>
    </row>
    <row r="323" spans="1:10" ht="45" customHeight="1" x14ac:dyDescent="0.3">
      <c r="A323" s="117">
        <v>363</v>
      </c>
      <c r="B323" s="131">
        <v>1224</v>
      </c>
      <c r="C323" s="111">
        <v>1</v>
      </c>
      <c r="D323" s="111">
        <v>1</v>
      </c>
      <c r="E323" s="242" t="s">
        <v>1614</v>
      </c>
      <c r="F323" s="243" t="s">
        <v>1627</v>
      </c>
      <c r="G323" s="117" t="s">
        <v>1758</v>
      </c>
      <c r="H323" s="245" t="s">
        <v>1758</v>
      </c>
      <c r="I323" s="245" t="s">
        <v>1966</v>
      </c>
      <c r="J323" s="122">
        <v>7052013</v>
      </c>
    </row>
    <row r="324" spans="1:10" ht="45" customHeight="1" x14ac:dyDescent="0.3">
      <c r="A324" s="117">
        <v>364</v>
      </c>
      <c r="B324" s="131">
        <v>1225</v>
      </c>
      <c r="C324" s="111">
        <v>1</v>
      </c>
      <c r="D324" s="111">
        <v>1</v>
      </c>
      <c r="E324" s="242" t="s">
        <v>1614</v>
      </c>
      <c r="F324" s="243" t="s">
        <v>1627</v>
      </c>
      <c r="G324" s="117" t="s">
        <v>1758</v>
      </c>
      <c r="H324" s="245" t="s">
        <v>1758</v>
      </c>
      <c r="I324" s="245" t="s">
        <v>1966</v>
      </c>
      <c r="J324" s="122">
        <v>7052013</v>
      </c>
    </row>
    <row r="325" spans="1:10" ht="45" customHeight="1" x14ac:dyDescent="0.3">
      <c r="A325" s="117">
        <v>365</v>
      </c>
      <c r="B325" s="131">
        <v>1226</v>
      </c>
      <c r="C325" s="111">
        <v>1</v>
      </c>
      <c r="D325" s="111">
        <v>1</v>
      </c>
      <c r="E325" s="242" t="s">
        <v>1614</v>
      </c>
      <c r="F325" s="243" t="s">
        <v>1627</v>
      </c>
      <c r="G325" s="117" t="s">
        <v>1758</v>
      </c>
      <c r="H325" s="245" t="s">
        <v>1758</v>
      </c>
      <c r="I325" s="245" t="s">
        <v>1966</v>
      </c>
      <c r="J325" s="122">
        <v>7052013</v>
      </c>
    </row>
    <row r="326" spans="1:10" ht="45" customHeight="1" x14ac:dyDescent="0.3">
      <c r="A326" s="117">
        <v>366</v>
      </c>
      <c r="B326" s="131">
        <v>1227</v>
      </c>
      <c r="C326" s="111">
        <v>1</v>
      </c>
      <c r="D326" s="111">
        <v>1</v>
      </c>
      <c r="E326" s="242" t="s">
        <v>1614</v>
      </c>
      <c r="F326" s="243" t="s">
        <v>1627</v>
      </c>
      <c r="G326" s="117" t="s">
        <v>1758</v>
      </c>
      <c r="H326" s="245" t="s">
        <v>1758</v>
      </c>
      <c r="I326" s="245" t="s">
        <v>1966</v>
      </c>
      <c r="J326" s="122">
        <v>7052013</v>
      </c>
    </row>
    <row r="327" spans="1:10" ht="45" customHeight="1" x14ac:dyDescent="0.3">
      <c r="A327" s="117">
        <v>367</v>
      </c>
      <c r="B327" s="131">
        <v>1228</v>
      </c>
      <c r="C327" s="111">
        <v>1</v>
      </c>
      <c r="D327" s="111">
        <v>1</v>
      </c>
      <c r="E327" s="242" t="s">
        <v>1614</v>
      </c>
      <c r="F327" s="243" t="s">
        <v>1627</v>
      </c>
      <c r="G327" s="117" t="s">
        <v>1758</v>
      </c>
      <c r="H327" s="245" t="s">
        <v>1758</v>
      </c>
      <c r="I327" s="245" t="s">
        <v>1966</v>
      </c>
      <c r="J327" s="122">
        <v>7052013</v>
      </c>
    </row>
    <row r="328" spans="1:10" ht="60" customHeight="1" x14ac:dyDescent="0.3">
      <c r="A328" s="117">
        <v>368</v>
      </c>
      <c r="B328" s="131">
        <v>1229</v>
      </c>
      <c r="C328" s="111">
        <v>1</v>
      </c>
      <c r="D328" s="111">
        <v>1</v>
      </c>
      <c r="E328" s="242" t="s">
        <v>1614</v>
      </c>
      <c r="F328" s="243" t="s">
        <v>1627</v>
      </c>
      <c r="G328" s="117" t="s">
        <v>2102</v>
      </c>
      <c r="H328" s="245" t="s">
        <v>2104</v>
      </c>
      <c r="I328" s="245" t="s">
        <v>2103</v>
      </c>
      <c r="J328" s="122">
        <v>7082013</v>
      </c>
    </row>
    <row r="329" spans="1:10" ht="90" customHeight="1" x14ac:dyDescent="0.3">
      <c r="A329" s="117">
        <v>369</v>
      </c>
      <c r="B329" s="131">
        <v>1230</v>
      </c>
      <c r="C329" s="111">
        <v>7</v>
      </c>
      <c r="D329" s="111">
        <v>3</v>
      </c>
      <c r="E329" s="243" t="s">
        <v>1610</v>
      </c>
      <c r="F329" s="243" t="s">
        <v>524</v>
      </c>
      <c r="G329" s="117" t="s">
        <v>857</v>
      </c>
      <c r="H329" s="245" t="s">
        <v>1849</v>
      </c>
      <c r="I329" s="245" t="s">
        <v>1848</v>
      </c>
      <c r="J329" s="122">
        <v>2092013</v>
      </c>
    </row>
    <row r="330" spans="1:10" ht="90" customHeight="1" x14ac:dyDescent="0.3">
      <c r="A330" s="117">
        <v>370</v>
      </c>
      <c r="B330" s="131">
        <v>1231</v>
      </c>
      <c r="C330" s="111">
        <v>7</v>
      </c>
      <c r="D330" s="111">
        <v>3</v>
      </c>
      <c r="E330" s="243" t="s">
        <v>1610</v>
      </c>
      <c r="F330" s="243" t="s">
        <v>524</v>
      </c>
      <c r="G330" s="117" t="s">
        <v>1849</v>
      </c>
      <c r="H330" s="245" t="s">
        <v>1849</v>
      </c>
      <c r="I330" s="245" t="s">
        <v>1848</v>
      </c>
      <c r="J330" s="122">
        <v>2092013</v>
      </c>
    </row>
    <row r="331" spans="1:10" ht="60" customHeight="1" x14ac:dyDescent="0.3">
      <c r="A331" s="117">
        <v>371</v>
      </c>
      <c r="B331" s="131">
        <v>1232</v>
      </c>
      <c r="C331" s="111">
        <v>8</v>
      </c>
      <c r="D331" s="111">
        <v>2</v>
      </c>
      <c r="E331" s="241" t="s">
        <v>1613</v>
      </c>
      <c r="F331" s="243" t="s">
        <v>1625</v>
      </c>
      <c r="G331" s="117" t="s">
        <v>1881</v>
      </c>
      <c r="H331" s="245" t="s">
        <v>1881</v>
      </c>
      <c r="I331" s="245" t="s">
        <v>1882</v>
      </c>
      <c r="J331" s="122">
        <v>2092013</v>
      </c>
    </row>
    <row r="332" spans="1:10" ht="60" customHeight="1" x14ac:dyDescent="0.3">
      <c r="A332" s="117">
        <v>372</v>
      </c>
      <c r="B332" s="131">
        <v>1233</v>
      </c>
      <c r="C332" s="111">
        <v>8</v>
      </c>
      <c r="D332" s="111">
        <v>2</v>
      </c>
      <c r="E332" s="241" t="s">
        <v>1613</v>
      </c>
      <c r="F332" s="243" t="s">
        <v>1625</v>
      </c>
      <c r="G332" s="117" t="s">
        <v>1881</v>
      </c>
      <c r="H332" s="245" t="s">
        <v>1881</v>
      </c>
      <c r="I332" s="245" t="s">
        <v>1882</v>
      </c>
      <c r="J332" s="122">
        <v>2092013</v>
      </c>
    </row>
    <row r="333" spans="1:10" ht="60" customHeight="1" x14ac:dyDescent="0.3">
      <c r="A333" s="117">
        <v>373</v>
      </c>
      <c r="B333" s="131">
        <v>1234</v>
      </c>
      <c r="C333" s="111">
        <v>8</v>
      </c>
      <c r="D333" s="111">
        <v>2</v>
      </c>
      <c r="E333" s="241" t="s">
        <v>1613</v>
      </c>
      <c r="F333" s="243" t="s">
        <v>1625</v>
      </c>
      <c r="G333" s="117" t="s">
        <v>1881</v>
      </c>
      <c r="H333" s="245" t="s">
        <v>1881</v>
      </c>
      <c r="I333" s="245" t="s">
        <v>1882</v>
      </c>
      <c r="J333" s="122">
        <v>2092013</v>
      </c>
    </row>
    <row r="334" spans="1:10" ht="45" customHeight="1" x14ac:dyDescent="0.3">
      <c r="A334" s="117">
        <v>374</v>
      </c>
      <c r="B334" s="131">
        <v>1235</v>
      </c>
      <c r="C334" s="111">
        <v>24</v>
      </c>
      <c r="D334" s="111">
        <v>1</v>
      </c>
      <c r="E334" s="242" t="s">
        <v>1614</v>
      </c>
      <c r="F334" s="243" t="s">
        <v>1630</v>
      </c>
      <c r="G334" s="119" t="s">
        <v>1877</v>
      </c>
      <c r="H334" s="246" t="s">
        <v>1877</v>
      </c>
      <c r="I334" s="245" t="s">
        <v>2105</v>
      </c>
      <c r="J334" s="122">
        <v>2092013</v>
      </c>
    </row>
    <row r="335" spans="1:10" ht="75" customHeight="1" x14ac:dyDescent="0.3">
      <c r="A335" s="117">
        <v>375</v>
      </c>
      <c r="B335" s="131">
        <v>1237</v>
      </c>
      <c r="C335" s="111">
        <v>33</v>
      </c>
      <c r="D335" s="111">
        <v>6</v>
      </c>
      <c r="E335" s="241" t="s">
        <v>1615</v>
      </c>
      <c r="F335" s="243" t="s">
        <v>1609</v>
      </c>
      <c r="G335" s="117" t="s">
        <v>860</v>
      </c>
      <c r="H335" s="245" t="s">
        <v>1931</v>
      </c>
      <c r="I335" s="245" t="s">
        <v>1967</v>
      </c>
      <c r="J335" s="122">
        <v>18122013</v>
      </c>
    </row>
    <row r="336" spans="1:10" ht="30" customHeight="1" x14ac:dyDescent="0.3">
      <c r="A336" s="117">
        <v>376</v>
      </c>
      <c r="B336" s="131">
        <v>1238</v>
      </c>
      <c r="C336" s="111">
        <v>11</v>
      </c>
      <c r="D336" s="111">
        <v>3</v>
      </c>
      <c r="E336" s="243" t="s">
        <v>1610</v>
      </c>
      <c r="F336" s="243" t="s">
        <v>1646</v>
      </c>
      <c r="G336" s="119" t="s">
        <v>1888</v>
      </c>
      <c r="H336" s="246" t="s">
        <v>1888</v>
      </c>
      <c r="I336" s="245"/>
      <c r="J336" s="122">
        <v>30122013</v>
      </c>
    </row>
    <row r="337" spans="1:10" ht="30" customHeight="1" x14ac:dyDescent="0.3">
      <c r="A337" s="117">
        <v>377</v>
      </c>
      <c r="B337" s="131">
        <v>1239</v>
      </c>
      <c r="C337" s="111">
        <v>11</v>
      </c>
      <c r="D337" s="111">
        <v>3</v>
      </c>
      <c r="E337" s="243" t="s">
        <v>1610</v>
      </c>
      <c r="F337" s="243" t="s">
        <v>1646</v>
      </c>
      <c r="G337" s="119" t="s">
        <v>1888</v>
      </c>
      <c r="H337" s="246" t="s">
        <v>1888</v>
      </c>
      <c r="I337" s="245"/>
      <c r="J337" s="122">
        <v>30122013</v>
      </c>
    </row>
    <row r="338" spans="1:10" ht="30" customHeight="1" x14ac:dyDescent="0.3">
      <c r="A338" s="117">
        <v>378</v>
      </c>
      <c r="B338" s="131">
        <v>1240</v>
      </c>
      <c r="C338" s="111">
        <v>11</v>
      </c>
      <c r="D338" s="111">
        <v>3</v>
      </c>
      <c r="E338" s="243" t="s">
        <v>1610</v>
      </c>
      <c r="F338" s="243" t="s">
        <v>1646</v>
      </c>
      <c r="G338" s="119" t="s">
        <v>1888</v>
      </c>
      <c r="H338" s="246" t="s">
        <v>1888</v>
      </c>
      <c r="I338" s="245"/>
      <c r="J338" s="122">
        <v>30122013</v>
      </c>
    </row>
    <row r="339" spans="1:10" ht="30" customHeight="1" x14ac:dyDescent="0.3">
      <c r="A339" s="117">
        <v>379</v>
      </c>
      <c r="B339" s="131">
        <v>1241</v>
      </c>
      <c r="C339" s="111">
        <v>11</v>
      </c>
      <c r="D339" s="111">
        <v>3</v>
      </c>
      <c r="E339" s="243" t="s">
        <v>1610</v>
      </c>
      <c r="F339" s="243" t="s">
        <v>1646</v>
      </c>
      <c r="G339" s="119" t="s">
        <v>1888</v>
      </c>
      <c r="H339" s="246" t="s">
        <v>1888</v>
      </c>
      <c r="I339" s="245"/>
      <c r="J339" s="122">
        <v>30122013</v>
      </c>
    </row>
    <row r="340" spans="1:10" ht="30" customHeight="1" x14ac:dyDescent="0.3">
      <c r="A340" s="117">
        <v>380</v>
      </c>
      <c r="B340" s="131">
        <v>1242</v>
      </c>
      <c r="C340" s="111">
        <v>28</v>
      </c>
      <c r="D340" s="111">
        <v>3</v>
      </c>
      <c r="E340" s="243" t="s">
        <v>1610</v>
      </c>
      <c r="F340" s="243" t="s">
        <v>1642</v>
      </c>
      <c r="G340" s="119" t="s">
        <v>1838</v>
      </c>
      <c r="H340" s="246" t="s">
        <v>1838</v>
      </c>
      <c r="I340" s="245" t="s">
        <v>1837</v>
      </c>
      <c r="J340" s="122">
        <v>12022014</v>
      </c>
    </row>
    <row r="341" spans="1:10" ht="45" customHeight="1" x14ac:dyDescent="0.3">
      <c r="A341" s="117">
        <v>381</v>
      </c>
      <c r="B341" s="131">
        <v>1243</v>
      </c>
      <c r="C341" s="111">
        <v>28</v>
      </c>
      <c r="D341" s="111">
        <v>3</v>
      </c>
      <c r="E341" s="243" t="s">
        <v>1610</v>
      </c>
      <c r="F341" s="243" t="s">
        <v>1642</v>
      </c>
      <c r="G341" s="117" t="s">
        <v>1839</v>
      </c>
      <c r="H341" s="246" t="s">
        <v>1839</v>
      </c>
      <c r="I341" s="245" t="s">
        <v>1835</v>
      </c>
      <c r="J341" s="122">
        <v>26022014</v>
      </c>
    </row>
    <row r="342" spans="1:10" ht="45" customHeight="1" x14ac:dyDescent="0.3">
      <c r="A342" s="117">
        <v>382</v>
      </c>
      <c r="B342" s="131">
        <v>1244</v>
      </c>
      <c r="C342" s="111">
        <v>28</v>
      </c>
      <c r="D342" s="111">
        <v>3</v>
      </c>
      <c r="E342" s="243" t="s">
        <v>1610</v>
      </c>
      <c r="F342" s="243" t="s">
        <v>1642</v>
      </c>
      <c r="G342" s="117" t="s">
        <v>1839</v>
      </c>
      <c r="H342" s="246" t="s">
        <v>1839</v>
      </c>
      <c r="I342" s="245" t="s">
        <v>1835</v>
      </c>
      <c r="J342" s="122">
        <v>26022014</v>
      </c>
    </row>
    <row r="343" spans="1:10" ht="30" customHeight="1" x14ac:dyDescent="0.3">
      <c r="A343" s="117">
        <v>387</v>
      </c>
      <c r="B343" s="131">
        <v>1249</v>
      </c>
      <c r="C343" s="111">
        <v>2</v>
      </c>
      <c r="D343" s="111">
        <v>1</v>
      </c>
      <c r="E343" s="242" t="s">
        <v>1614</v>
      </c>
      <c r="F343" s="243" t="s">
        <v>1584</v>
      </c>
      <c r="G343" s="117" t="s">
        <v>1720</v>
      </c>
      <c r="H343" s="245" t="s">
        <v>1720</v>
      </c>
      <c r="I343" s="245" t="s">
        <v>1909</v>
      </c>
      <c r="J343" s="122">
        <v>10042014</v>
      </c>
    </row>
    <row r="344" spans="1:10" ht="30" customHeight="1" x14ac:dyDescent="0.3">
      <c r="A344" s="117">
        <v>390</v>
      </c>
      <c r="B344" s="131">
        <v>1252</v>
      </c>
      <c r="C344" s="111">
        <v>2</v>
      </c>
      <c r="D344" s="111">
        <v>1</v>
      </c>
      <c r="E344" s="242" t="s">
        <v>1614</v>
      </c>
      <c r="F344" s="243" t="s">
        <v>1584</v>
      </c>
      <c r="G344" s="117" t="s">
        <v>1720</v>
      </c>
      <c r="H344" s="245" t="s">
        <v>1720</v>
      </c>
      <c r="I344" s="245" t="s">
        <v>1909</v>
      </c>
      <c r="J344" s="122">
        <v>10042014</v>
      </c>
    </row>
    <row r="345" spans="1:10" ht="30" customHeight="1" x14ac:dyDescent="0.3">
      <c r="A345" s="117">
        <v>391</v>
      </c>
      <c r="B345" s="131">
        <v>1253</v>
      </c>
      <c r="C345" s="111">
        <v>2</v>
      </c>
      <c r="D345" s="111">
        <v>1</v>
      </c>
      <c r="E345" s="242" t="s">
        <v>1614</v>
      </c>
      <c r="F345" s="243" t="s">
        <v>1584</v>
      </c>
      <c r="G345" s="117" t="s">
        <v>1720</v>
      </c>
      <c r="H345" s="245" t="s">
        <v>1720</v>
      </c>
      <c r="I345" s="245" t="s">
        <v>1909</v>
      </c>
      <c r="J345" s="122">
        <v>10042014</v>
      </c>
    </row>
    <row r="346" spans="1:10" ht="45" customHeight="1" x14ac:dyDescent="0.3">
      <c r="A346" s="117">
        <v>392</v>
      </c>
      <c r="B346" s="131">
        <v>1254</v>
      </c>
      <c r="C346" s="111">
        <v>1</v>
      </c>
      <c r="D346" s="111">
        <v>1</v>
      </c>
      <c r="E346" s="242" t="s">
        <v>1614</v>
      </c>
      <c r="F346" s="243" t="s">
        <v>1627</v>
      </c>
      <c r="G346" s="119" t="s">
        <v>866</v>
      </c>
      <c r="H346" s="246" t="s">
        <v>1744</v>
      </c>
      <c r="I346" s="245"/>
      <c r="J346" s="122">
        <v>10042014</v>
      </c>
    </row>
    <row r="347" spans="1:10" ht="45" customHeight="1" x14ac:dyDescent="0.3">
      <c r="A347" s="117">
        <v>393</v>
      </c>
      <c r="B347" s="131">
        <v>1256</v>
      </c>
      <c r="C347" s="111">
        <v>1</v>
      </c>
      <c r="D347" s="111">
        <v>1</v>
      </c>
      <c r="E347" s="242" t="s">
        <v>1614</v>
      </c>
      <c r="F347" s="243" t="s">
        <v>1627</v>
      </c>
      <c r="G347" s="117" t="s">
        <v>866</v>
      </c>
      <c r="H347" s="246" t="s">
        <v>1744</v>
      </c>
      <c r="I347" s="245"/>
      <c r="J347" s="122">
        <v>10042014</v>
      </c>
    </row>
    <row r="348" spans="1:10" ht="45" customHeight="1" x14ac:dyDescent="0.3">
      <c r="A348" s="117">
        <v>394</v>
      </c>
      <c r="B348" s="131">
        <v>1257</v>
      </c>
      <c r="C348" s="111">
        <v>1</v>
      </c>
      <c r="D348" s="111">
        <v>1</v>
      </c>
      <c r="E348" s="242" t="s">
        <v>1614</v>
      </c>
      <c r="F348" s="243" t="s">
        <v>1627</v>
      </c>
      <c r="G348" s="117" t="s">
        <v>866</v>
      </c>
      <c r="H348" s="246" t="s">
        <v>1744</v>
      </c>
      <c r="I348" s="245"/>
      <c r="J348" s="122">
        <v>10042014</v>
      </c>
    </row>
    <row r="349" spans="1:10" ht="45" customHeight="1" x14ac:dyDescent="0.3">
      <c r="A349" s="117">
        <v>395</v>
      </c>
      <c r="B349" s="131">
        <v>1258</v>
      </c>
      <c r="C349" s="111">
        <v>1</v>
      </c>
      <c r="D349" s="111">
        <v>1</v>
      </c>
      <c r="E349" s="242" t="s">
        <v>1614</v>
      </c>
      <c r="F349" s="243" t="s">
        <v>1627</v>
      </c>
      <c r="G349" s="117" t="s">
        <v>866</v>
      </c>
      <c r="H349" s="246" t="s">
        <v>1744</v>
      </c>
      <c r="I349" s="245"/>
      <c r="J349" s="122">
        <v>10042014</v>
      </c>
    </row>
    <row r="350" spans="1:10" ht="45" customHeight="1" x14ac:dyDescent="0.3">
      <c r="A350" s="117">
        <v>396</v>
      </c>
      <c r="B350" s="131">
        <v>1259</v>
      </c>
      <c r="C350" s="111">
        <v>1</v>
      </c>
      <c r="D350" s="111">
        <v>1</v>
      </c>
      <c r="E350" s="242" t="s">
        <v>1614</v>
      </c>
      <c r="F350" s="243" t="s">
        <v>1627</v>
      </c>
      <c r="G350" s="117" t="s">
        <v>866</v>
      </c>
      <c r="H350" s="246" t="s">
        <v>1744</v>
      </c>
      <c r="I350" s="245"/>
      <c r="J350" s="122">
        <v>10042014</v>
      </c>
    </row>
    <row r="351" spans="1:10" ht="45" customHeight="1" x14ac:dyDescent="0.3">
      <c r="A351" s="117">
        <v>397</v>
      </c>
      <c r="B351" s="131">
        <v>1260</v>
      </c>
      <c r="C351" s="111">
        <v>1</v>
      </c>
      <c r="D351" s="111">
        <v>1</v>
      </c>
      <c r="E351" s="242" t="s">
        <v>1614</v>
      </c>
      <c r="F351" s="243" t="s">
        <v>1627</v>
      </c>
      <c r="G351" s="117" t="s">
        <v>866</v>
      </c>
      <c r="H351" s="246" t="s">
        <v>1744</v>
      </c>
      <c r="I351" s="245"/>
      <c r="J351" s="122">
        <v>10042014</v>
      </c>
    </row>
    <row r="352" spans="1:10" ht="45" customHeight="1" x14ac:dyDescent="0.3">
      <c r="A352" s="117">
        <v>398</v>
      </c>
      <c r="B352" s="131">
        <v>1261</v>
      </c>
      <c r="C352" s="111">
        <v>1</v>
      </c>
      <c r="D352" s="111">
        <v>1</v>
      </c>
      <c r="E352" s="242" t="s">
        <v>1614</v>
      </c>
      <c r="F352" s="243" t="s">
        <v>1627</v>
      </c>
      <c r="G352" s="117" t="s">
        <v>866</v>
      </c>
      <c r="H352" s="246" t="s">
        <v>1744</v>
      </c>
      <c r="I352" s="245"/>
      <c r="J352" s="122">
        <v>10042014</v>
      </c>
    </row>
    <row r="353" spans="1:10" ht="45" customHeight="1" x14ac:dyDescent="0.3">
      <c r="A353" s="117">
        <v>399</v>
      </c>
      <c r="B353" s="131">
        <v>1262</v>
      </c>
      <c r="C353" s="111">
        <v>1</v>
      </c>
      <c r="D353" s="111">
        <v>1</v>
      </c>
      <c r="E353" s="242" t="s">
        <v>1614</v>
      </c>
      <c r="F353" s="243" t="s">
        <v>1627</v>
      </c>
      <c r="G353" s="117" t="s">
        <v>866</v>
      </c>
      <c r="H353" s="246" t="s">
        <v>1744</v>
      </c>
      <c r="I353" s="245"/>
      <c r="J353" s="122">
        <v>10042014</v>
      </c>
    </row>
    <row r="354" spans="1:10" ht="45" customHeight="1" x14ac:dyDescent="0.3">
      <c r="A354" s="117">
        <v>400</v>
      </c>
      <c r="B354" s="131">
        <v>1263</v>
      </c>
      <c r="C354" s="111">
        <v>1</v>
      </c>
      <c r="D354" s="111">
        <v>1</v>
      </c>
      <c r="E354" s="242" t="s">
        <v>1614</v>
      </c>
      <c r="F354" s="243" t="s">
        <v>1627</v>
      </c>
      <c r="G354" s="117" t="s">
        <v>866</v>
      </c>
      <c r="H354" s="246" t="s">
        <v>1744</v>
      </c>
      <c r="I354" s="245"/>
      <c r="J354" s="122">
        <v>10042014</v>
      </c>
    </row>
    <row r="355" spans="1:10" ht="45" customHeight="1" x14ac:dyDescent="0.3">
      <c r="A355" s="117">
        <v>401</v>
      </c>
      <c r="B355" s="131">
        <v>1264</v>
      </c>
      <c r="C355" s="111">
        <v>1</v>
      </c>
      <c r="D355" s="111">
        <v>1</v>
      </c>
      <c r="E355" s="242" t="s">
        <v>1614</v>
      </c>
      <c r="F355" s="243" t="s">
        <v>1627</v>
      </c>
      <c r="G355" s="117" t="s">
        <v>866</v>
      </c>
      <c r="H355" s="246" t="s">
        <v>1744</v>
      </c>
      <c r="I355" s="245"/>
      <c r="J355" s="122">
        <v>10042014</v>
      </c>
    </row>
    <row r="356" spans="1:10" ht="45" customHeight="1" x14ac:dyDescent="0.3">
      <c r="A356" s="117">
        <v>402</v>
      </c>
      <c r="B356" s="131">
        <v>1265</v>
      </c>
      <c r="C356" s="111">
        <v>1</v>
      </c>
      <c r="D356" s="111">
        <v>1</v>
      </c>
      <c r="E356" s="242" t="s">
        <v>1614</v>
      </c>
      <c r="F356" s="243" t="s">
        <v>1627</v>
      </c>
      <c r="G356" s="117" t="s">
        <v>866</v>
      </c>
      <c r="H356" s="246" t="s">
        <v>1744</v>
      </c>
      <c r="I356" s="245"/>
      <c r="J356" s="122">
        <v>10042014</v>
      </c>
    </row>
    <row r="357" spans="1:10" ht="45" customHeight="1" x14ac:dyDescent="0.3">
      <c r="A357" s="117">
        <v>403</v>
      </c>
      <c r="B357" s="131">
        <v>1267</v>
      </c>
      <c r="C357" s="111">
        <v>1</v>
      </c>
      <c r="D357" s="111">
        <v>1</v>
      </c>
      <c r="E357" s="242" t="s">
        <v>1614</v>
      </c>
      <c r="F357" s="243" t="s">
        <v>1627</v>
      </c>
      <c r="G357" s="117" t="s">
        <v>866</v>
      </c>
      <c r="H357" s="246" t="s">
        <v>1744</v>
      </c>
      <c r="I357" s="245"/>
      <c r="J357" s="122">
        <v>10042014</v>
      </c>
    </row>
    <row r="358" spans="1:10" ht="45" customHeight="1" x14ac:dyDescent="0.3">
      <c r="A358" s="117">
        <v>404</v>
      </c>
      <c r="B358" s="131">
        <v>1268</v>
      </c>
      <c r="C358" s="111">
        <v>1</v>
      </c>
      <c r="D358" s="111">
        <v>1</v>
      </c>
      <c r="E358" s="242" t="s">
        <v>1614</v>
      </c>
      <c r="F358" s="243" t="s">
        <v>1627</v>
      </c>
      <c r="G358" s="117" t="s">
        <v>866</v>
      </c>
      <c r="H358" s="246" t="s">
        <v>1744</v>
      </c>
      <c r="I358" s="245"/>
      <c r="J358" s="122">
        <v>10042014</v>
      </c>
    </row>
    <row r="359" spans="1:10" ht="45" customHeight="1" x14ac:dyDescent="0.3">
      <c r="A359" s="117">
        <v>405</v>
      </c>
      <c r="B359" s="131">
        <v>1269</v>
      </c>
      <c r="C359" s="111">
        <v>1</v>
      </c>
      <c r="D359" s="111">
        <v>1</v>
      </c>
      <c r="E359" s="242" t="s">
        <v>1614</v>
      </c>
      <c r="F359" s="243" t="s">
        <v>1627</v>
      </c>
      <c r="G359" s="117" t="s">
        <v>866</v>
      </c>
      <c r="H359" s="246" t="s">
        <v>1744</v>
      </c>
      <c r="I359" s="245"/>
      <c r="J359" s="122">
        <v>10042014</v>
      </c>
    </row>
    <row r="360" spans="1:10" ht="45" customHeight="1" x14ac:dyDescent="0.3">
      <c r="A360" s="117">
        <v>406</v>
      </c>
      <c r="B360" s="131">
        <v>1270</v>
      </c>
      <c r="C360" s="111">
        <v>1</v>
      </c>
      <c r="D360" s="111">
        <v>1</v>
      </c>
      <c r="E360" s="242" t="s">
        <v>1614</v>
      </c>
      <c r="F360" s="243" t="s">
        <v>1627</v>
      </c>
      <c r="G360" s="117" t="s">
        <v>866</v>
      </c>
      <c r="H360" s="246" t="s">
        <v>1744</v>
      </c>
      <c r="I360" s="245"/>
      <c r="J360" s="122">
        <v>10042014</v>
      </c>
    </row>
    <row r="361" spans="1:10" ht="45" customHeight="1" x14ac:dyDescent="0.3">
      <c r="A361" s="117">
        <v>407</v>
      </c>
      <c r="B361" s="131">
        <v>1271</v>
      </c>
      <c r="C361" s="111">
        <v>1</v>
      </c>
      <c r="D361" s="111">
        <v>1</v>
      </c>
      <c r="E361" s="242" t="s">
        <v>1614</v>
      </c>
      <c r="F361" s="243" t="s">
        <v>1627</v>
      </c>
      <c r="G361" s="117" t="s">
        <v>866</v>
      </c>
      <c r="H361" s="246" t="s">
        <v>1744</v>
      </c>
      <c r="I361" s="245"/>
      <c r="J361" s="122">
        <v>10042014</v>
      </c>
    </row>
    <row r="362" spans="1:10" ht="45" customHeight="1" x14ac:dyDescent="0.3">
      <c r="A362" s="117">
        <v>409</v>
      </c>
      <c r="B362" s="131">
        <v>1273</v>
      </c>
      <c r="C362" s="111">
        <v>1</v>
      </c>
      <c r="D362" s="111">
        <v>1</v>
      </c>
      <c r="E362" s="242" t="s">
        <v>1614</v>
      </c>
      <c r="F362" s="243" t="s">
        <v>1627</v>
      </c>
      <c r="G362" s="117" t="s">
        <v>866</v>
      </c>
      <c r="H362" s="246" t="s">
        <v>1744</v>
      </c>
      <c r="I362" s="245"/>
      <c r="J362" s="122">
        <v>10042014</v>
      </c>
    </row>
    <row r="363" spans="1:10" ht="30" customHeight="1" x14ac:dyDescent="0.3">
      <c r="A363" s="117">
        <v>410</v>
      </c>
      <c r="B363" s="131">
        <v>1274</v>
      </c>
      <c r="C363" s="111">
        <v>8</v>
      </c>
      <c r="D363" s="111">
        <v>2</v>
      </c>
      <c r="E363" s="241" t="s">
        <v>1613</v>
      </c>
      <c r="F363" s="243" t="s">
        <v>1625</v>
      </c>
      <c r="G363" s="117" t="s">
        <v>756</v>
      </c>
      <c r="H363" s="246" t="s">
        <v>1624</v>
      </c>
      <c r="I363" s="245" t="s">
        <v>1916</v>
      </c>
      <c r="J363" s="122">
        <v>10042014</v>
      </c>
    </row>
    <row r="364" spans="1:10" ht="30" customHeight="1" x14ac:dyDescent="0.3">
      <c r="A364" s="117">
        <v>411</v>
      </c>
      <c r="B364" s="131">
        <v>1275</v>
      </c>
      <c r="C364" s="111">
        <v>8</v>
      </c>
      <c r="D364" s="111">
        <v>2</v>
      </c>
      <c r="E364" s="241" t="s">
        <v>1613</v>
      </c>
      <c r="F364" s="243" t="s">
        <v>1625</v>
      </c>
      <c r="G364" s="117" t="s">
        <v>756</v>
      </c>
      <c r="H364" s="246" t="s">
        <v>1624</v>
      </c>
      <c r="I364" s="245" t="s">
        <v>1916</v>
      </c>
      <c r="J364" s="122">
        <v>10042014</v>
      </c>
    </row>
    <row r="365" spans="1:10" ht="45" customHeight="1" x14ac:dyDescent="0.3">
      <c r="A365" s="117">
        <v>412</v>
      </c>
      <c r="B365" s="131">
        <v>1276</v>
      </c>
      <c r="C365" s="111">
        <v>1</v>
      </c>
      <c r="D365" s="111">
        <v>1</v>
      </c>
      <c r="E365" s="242" t="s">
        <v>1614</v>
      </c>
      <c r="F365" s="243" t="s">
        <v>1627</v>
      </c>
      <c r="G365" s="117" t="s">
        <v>867</v>
      </c>
      <c r="H365" s="245" t="s">
        <v>1738</v>
      </c>
      <c r="I365" s="245"/>
      <c r="J365" s="122">
        <v>10042014</v>
      </c>
    </row>
    <row r="366" spans="1:10" ht="45" customHeight="1" x14ac:dyDescent="0.3">
      <c r="A366" s="117">
        <v>413</v>
      </c>
      <c r="B366" s="131">
        <v>1277</v>
      </c>
      <c r="C366" s="111">
        <v>1</v>
      </c>
      <c r="D366" s="111">
        <v>1</v>
      </c>
      <c r="E366" s="242" t="s">
        <v>1614</v>
      </c>
      <c r="F366" s="243" t="s">
        <v>1627</v>
      </c>
      <c r="G366" s="117" t="s">
        <v>867</v>
      </c>
      <c r="H366" s="245" t="s">
        <v>1738</v>
      </c>
      <c r="I366" s="245"/>
      <c r="J366" s="122">
        <v>10042014</v>
      </c>
    </row>
    <row r="367" spans="1:10" ht="45" customHeight="1" x14ac:dyDescent="0.3">
      <c r="A367" s="117">
        <v>414</v>
      </c>
      <c r="B367" s="131">
        <v>1278</v>
      </c>
      <c r="C367" s="111">
        <v>1</v>
      </c>
      <c r="D367" s="111">
        <v>1</v>
      </c>
      <c r="E367" s="242" t="s">
        <v>1614</v>
      </c>
      <c r="F367" s="243" t="s">
        <v>1627</v>
      </c>
      <c r="G367" s="119" t="s">
        <v>867</v>
      </c>
      <c r="H367" s="245" t="s">
        <v>1738</v>
      </c>
      <c r="I367" s="245"/>
      <c r="J367" s="122">
        <v>10042014</v>
      </c>
    </row>
    <row r="368" spans="1:10" ht="45" customHeight="1" x14ac:dyDescent="0.3">
      <c r="A368" s="117">
        <v>415</v>
      </c>
      <c r="B368" s="131">
        <v>1279</v>
      </c>
      <c r="C368" s="111">
        <v>1</v>
      </c>
      <c r="D368" s="111">
        <v>1</v>
      </c>
      <c r="E368" s="242" t="s">
        <v>1614</v>
      </c>
      <c r="F368" s="243" t="s">
        <v>1627</v>
      </c>
      <c r="G368" s="119" t="s">
        <v>867</v>
      </c>
      <c r="H368" s="245" t="s">
        <v>1738</v>
      </c>
      <c r="I368" s="245"/>
      <c r="J368" s="122">
        <v>10042014</v>
      </c>
    </row>
    <row r="369" spans="1:10" ht="60" customHeight="1" x14ac:dyDescent="0.3">
      <c r="A369" s="117">
        <v>416</v>
      </c>
      <c r="B369" s="131">
        <v>1280</v>
      </c>
      <c r="C369" s="111">
        <v>1</v>
      </c>
      <c r="D369" s="111">
        <v>1</v>
      </c>
      <c r="E369" s="242" t="s">
        <v>1614</v>
      </c>
      <c r="F369" s="243" t="s">
        <v>1627</v>
      </c>
      <c r="G369" s="119" t="s">
        <v>868</v>
      </c>
      <c r="H369" s="245" t="s">
        <v>1742</v>
      </c>
      <c r="I369" s="245" t="s">
        <v>1940</v>
      </c>
      <c r="J369" s="122">
        <v>10042014</v>
      </c>
    </row>
    <row r="370" spans="1:10" ht="60" customHeight="1" x14ac:dyDescent="0.3">
      <c r="A370" s="117">
        <v>417</v>
      </c>
      <c r="B370" s="131">
        <v>1281</v>
      </c>
      <c r="C370" s="111">
        <v>1</v>
      </c>
      <c r="D370" s="111">
        <v>1</v>
      </c>
      <c r="E370" s="242" t="s">
        <v>1614</v>
      </c>
      <c r="F370" s="243" t="s">
        <v>1627</v>
      </c>
      <c r="G370" s="119" t="s">
        <v>868</v>
      </c>
      <c r="H370" s="245" t="s">
        <v>1742</v>
      </c>
      <c r="I370" s="245" t="s">
        <v>1940</v>
      </c>
      <c r="J370" s="122">
        <v>10042014</v>
      </c>
    </row>
    <row r="371" spans="1:10" ht="45" customHeight="1" x14ac:dyDescent="0.3">
      <c r="A371" s="117">
        <v>418</v>
      </c>
      <c r="B371" s="131">
        <v>1282</v>
      </c>
      <c r="C371" s="111">
        <v>16</v>
      </c>
      <c r="D371" s="111">
        <v>4</v>
      </c>
      <c r="E371" s="240" t="s">
        <v>1611</v>
      </c>
      <c r="F371" s="243" t="s">
        <v>533</v>
      </c>
      <c r="G371" s="119" t="s">
        <v>869</v>
      </c>
      <c r="H371" s="246" t="s">
        <v>1686</v>
      </c>
      <c r="I371" s="245" t="s">
        <v>1968</v>
      </c>
      <c r="J371" s="122">
        <v>10042014</v>
      </c>
    </row>
    <row r="372" spans="1:10" ht="30" customHeight="1" x14ac:dyDescent="0.3">
      <c r="A372" s="117">
        <v>419</v>
      </c>
      <c r="B372" s="131">
        <v>1283</v>
      </c>
      <c r="C372" s="111">
        <v>16</v>
      </c>
      <c r="D372" s="111">
        <v>4</v>
      </c>
      <c r="E372" s="240" t="s">
        <v>1611</v>
      </c>
      <c r="F372" s="243" t="s">
        <v>533</v>
      </c>
      <c r="G372" s="119" t="s">
        <v>870</v>
      </c>
      <c r="H372" s="246" t="s">
        <v>870</v>
      </c>
      <c r="I372" s="245" t="s">
        <v>1949</v>
      </c>
      <c r="J372" s="122">
        <v>10042014</v>
      </c>
    </row>
    <row r="373" spans="1:10" ht="30" customHeight="1" x14ac:dyDescent="0.3">
      <c r="A373" s="117">
        <v>420</v>
      </c>
      <c r="B373" s="131">
        <v>1284</v>
      </c>
      <c r="C373" s="111">
        <v>16</v>
      </c>
      <c r="D373" s="111">
        <v>4</v>
      </c>
      <c r="E373" s="240" t="s">
        <v>1611</v>
      </c>
      <c r="F373" s="243" t="s">
        <v>533</v>
      </c>
      <c r="G373" s="119" t="s">
        <v>871</v>
      </c>
      <c r="H373" s="246" t="s">
        <v>871</v>
      </c>
      <c r="I373" s="245" t="s">
        <v>1949</v>
      </c>
      <c r="J373" s="122">
        <v>10042014</v>
      </c>
    </row>
    <row r="374" spans="1:10" ht="30" customHeight="1" x14ac:dyDescent="0.3">
      <c r="A374" s="117">
        <v>421</v>
      </c>
      <c r="B374" s="131">
        <v>1285</v>
      </c>
      <c r="C374" s="111">
        <v>16</v>
      </c>
      <c r="D374" s="111">
        <v>4</v>
      </c>
      <c r="E374" s="240" t="s">
        <v>1611</v>
      </c>
      <c r="F374" s="243" t="s">
        <v>533</v>
      </c>
      <c r="G374" s="119" t="s">
        <v>872</v>
      </c>
      <c r="H374" s="246" t="s">
        <v>872</v>
      </c>
      <c r="I374" s="245" t="s">
        <v>1968</v>
      </c>
      <c r="J374" s="122">
        <v>10042014</v>
      </c>
    </row>
    <row r="375" spans="1:10" ht="45" customHeight="1" x14ac:dyDescent="0.3">
      <c r="A375" s="117">
        <v>422</v>
      </c>
      <c r="B375" s="131">
        <v>1286</v>
      </c>
      <c r="C375" s="111">
        <v>16</v>
      </c>
      <c r="D375" s="111">
        <v>4</v>
      </c>
      <c r="E375" s="240" t="s">
        <v>1611</v>
      </c>
      <c r="F375" s="243" t="s">
        <v>533</v>
      </c>
      <c r="G375" s="119" t="s">
        <v>873</v>
      </c>
      <c r="H375" s="246" t="s">
        <v>873</v>
      </c>
      <c r="I375" s="245" t="s">
        <v>1944</v>
      </c>
      <c r="J375" s="122">
        <v>10042014</v>
      </c>
    </row>
    <row r="376" spans="1:10" ht="30" customHeight="1" x14ac:dyDescent="0.3">
      <c r="A376" s="117">
        <v>423</v>
      </c>
      <c r="B376" s="131">
        <v>1287</v>
      </c>
      <c r="C376" s="111">
        <v>16</v>
      </c>
      <c r="D376" s="111">
        <v>4</v>
      </c>
      <c r="E376" s="240" t="s">
        <v>1611</v>
      </c>
      <c r="F376" s="243" t="s">
        <v>533</v>
      </c>
      <c r="G376" s="119" t="s">
        <v>872</v>
      </c>
      <c r="H376" s="246" t="s">
        <v>872</v>
      </c>
      <c r="I376" s="245" t="s">
        <v>1968</v>
      </c>
      <c r="J376" s="122">
        <v>10042014</v>
      </c>
    </row>
    <row r="377" spans="1:10" ht="30" customHeight="1" x14ac:dyDescent="0.3">
      <c r="A377" s="117">
        <v>424</v>
      </c>
      <c r="B377" s="131">
        <v>1288</v>
      </c>
      <c r="C377" s="111">
        <v>16</v>
      </c>
      <c r="D377" s="111">
        <v>4</v>
      </c>
      <c r="E377" s="240" t="s">
        <v>1611</v>
      </c>
      <c r="F377" s="243" t="s">
        <v>533</v>
      </c>
      <c r="G377" s="119" t="s">
        <v>872</v>
      </c>
      <c r="H377" s="246" t="s">
        <v>872</v>
      </c>
      <c r="I377" s="245" t="s">
        <v>1968</v>
      </c>
      <c r="J377" s="122">
        <v>10042014</v>
      </c>
    </row>
    <row r="378" spans="1:10" ht="45" customHeight="1" x14ac:dyDescent="0.3">
      <c r="A378" s="117">
        <v>425</v>
      </c>
      <c r="B378" s="131">
        <v>1289</v>
      </c>
      <c r="C378" s="111">
        <v>16</v>
      </c>
      <c r="D378" s="111">
        <v>4</v>
      </c>
      <c r="E378" s="240" t="s">
        <v>1611</v>
      </c>
      <c r="F378" s="243" t="s">
        <v>533</v>
      </c>
      <c r="G378" s="119" t="s">
        <v>874</v>
      </c>
      <c r="H378" s="246" t="s">
        <v>874</v>
      </c>
      <c r="I378" s="245" t="s">
        <v>1968</v>
      </c>
      <c r="J378" s="122">
        <v>10042014</v>
      </c>
    </row>
    <row r="379" spans="1:10" ht="30" customHeight="1" x14ac:dyDescent="0.3">
      <c r="A379" s="117">
        <v>426</v>
      </c>
      <c r="B379" s="131">
        <v>1290</v>
      </c>
      <c r="C379" s="111">
        <v>16</v>
      </c>
      <c r="D379" s="111">
        <v>4</v>
      </c>
      <c r="E379" s="240" t="s">
        <v>1611</v>
      </c>
      <c r="F379" s="243" t="s">
        <v>533</v>
      </c>
      <c r="G379" s="119" t="s">
        <v>875</v>
      </c>
      <c r="H379" s="246" t="s">
        <v>875</v>
      </c>
      <c r="I379" s="245" t="s">
        <v>1968</v>
      </c>
      <c r="J379" s="122">
        <v>10042014</v>
      </c>
    </row>
    <row r="380" spans="1:10" ht="60" customHeight="1" x14ac:dyDescent="0.3">
      <c r="A380" s="117">
        <v>427</v>
      </c>
      <c r="B380" s="131">
        <v>1291</v>
      </c>
      <c r="C380" s="111">
        <v>9</v>
      </c>
      <c r="D380" s="111">
        <v>2</v>
      </c>
      <c r="E380" s="241" t="s">
        <v>1613</v>
      </c>
      <c r="F380" s="243" t="s">
        <v>526</v>
      </c>
      <c r="G380" s="119" t="s">
        <v>1826</v>
      </c>
      <c r="H380" s="246" t="s">
        <v>1826</v>
      </c>
      <c r="I380" s="245" t="s">
        <v>1825</v>
      </c>
      <c r="J380" s="122">
        <v>10042014</v>
      </c>
    </row>
    <row r="381" spans="1:10" ht="120" customHeight="1" x14ac:dyDescent="0.3">
      <c r="A381" s="117">
        <v>428</v>
      </c>
      <c r="B381" s="131">
        <v>1292</v>
      </c>
      <c r="C381" s="111">
        <v>9</v>
      </c>
      <c r="D381" s="111">
        <v>2</v>
      </c>
      <c r="E381" s="241" t="s">
        <v>1613</v>
      </c>
      <c r="F381" s="243" t="s">
        <v>526</v>
      </c>
      <c r="G381" s="119" t="s">
        <v>1831</v>
      </c>
      <c r="H381" s="245" t="s">
        <v>1831</v>
      </c>
      <c r="I381" s="245" t="s">
        <v>1832</v>
      </c>
      <c r="J381" s="122">
        <v>10042014</v>
      </c>
    </row>
    <row r="382" spans="1:10" ht="30" customHeight="1" x14ac:dyDescent="0.3">
      <c r="A382" s="117">
        <v>429</v>
      </c>
      <c r="B382" s="131">
        <v>1293</v>
      </c>
      <c r="C382" s="111">
        <v>6</v>
      </c>
      <c r="D382" s="111">
        <v>2</v>
      </c>
      <c r="E382" s="241" t="s">
        <v>1613</v>
      </c>
      <c r="F382" s="243" t="s">
        <v>404</v>
      </c>
      <c r="G382" s="119" t="s">
        <v>750</v>
      </c>
      <c r="H382" s="246" t="s">
        <v>750</v>
      </c>
      <c r="I382" s="245"/>
      <c r="J382" s="122">
        <v>10042014</v>
      </c>
    </row>
    <row r="383" spans="1:10" ht="30" customHeight="1" x14ac:dyDescent="0.3">
      <c r="A383" s="117">
        <v>430</v>
      </c>
      <c r="B383" s="131">
        <v>1294</v>
      </c>
      <c r="C383" s="111">
        <v>17</v>
      </c>
      <c r="D383" s="111">
        <v>4</v>
      </c>
      <c r="E383" s="240" t="s">
        <v>1611</v>
      </c>
      <c r="F383" s="243" t="s">
        <v>534</v>
      </c>
      <c r="G383" s="117" t="s">
        <v>878</v>
      </c>
      <c r="H383" s="245" t="s">
        <v>878</v>
      </c>
      <c r="I383" s="245" t="s">
        <v>1883</v>
      </c>
      <c r="J383" s="122">
        <v>21052014</v>
      </c>
    </row>
    <row r="384" spans="1:10" ht="30" customHeight="1" x14ac:dyDescent="0.3">
      <c r="A384" s="117">
        <v>431</v>
      </c>
      <c r="B384" s="131">
        <v>1295</v>
      </c>
      <c r="C384" s="111">
        <v>2</v>
      </c>
      <c r="D384" s="111">
        <v>1</v>
      </c>
      <c r="E384" s="242" t="s">
        <v>1614</v>
      </c>
      <c r="F384" s="243" t="s">
        <v>1584</v>
      </c>
      <c r="G384" s="117" t="s">
        <v>1734</v>
      </c>
      <c r="H384" s="245" t="s">
        <v>1734</v>
      </c>
      <c r="I384" s="245" t="s">
        <v>1969</v>
      </c>
      <c r="J384" s="122">
        <v>3092014</v>
      </c>
    </row>
    <row r="385" spans="1:10" ht="30" customHeight="1" x14ac:dyDescent="0.3">
      <c r="A385" s="117">
        <v>433</v>
      </c>
      <c r="B385" s="131">
        <v>1297</v>
      </c>
      <c r="C385" s="111">
        <v>2</v>
      </c>
      <c r="D385" s="111">
        <v>1</v>
      </c>
      <c r="E385" s="242" t="s">
        <v>1614</v>
      </c>
      <c r="F385" s="243" t="s">
        <v>1584</v>
      </c>
      <c r="G385" s="118" t="s">
        <v>2100</v>
      </c>
      <c r="H385" s="243" t="s">
        <v>2100</v>
      </c>
      <c r="I385" s="245" t="s">
        <v>1880</v>
      </c>
      <c r="J385" s="122">
        <v>3092014</v>
      </c>
    </row>
    <row r="386" spans="1:10" ht="30" customHeight="1" x14ac:dyDescent="0.3">
      <c r="A386" s="117">
        <v>434</v>
      </c>
      <c r="B386" s="131">
        <v>1298</v>
      </c>
      <c r="C386" s="111">
        <v>2</v>
      </c>
      <c r="D386" s="111">
        <v>1</v>
      </c>
      <c r="E386" s="242" t="s">
        <v>1614</v>
      </c>
      <c r="F386" s="243" t="s">
        <v>1584</v>
      </c>
      <c r="G386" s="118" t="s">
        <v>2100</v>
      </c>
      <c r="H386" s="243" t="s">
        <v>2100</v>
      </c>
      <c r="I386" s="245" t="s">
        <v>1880</v>
      </c>
      <c r="J386" s="122">
        <v>3092014</v>
      </c>
    </row>
    <row r="387" spans="1:10" ht="30" customHeight="1" x14ac:dyDescent="0.3">
      <c r="A387" s="117">
        <v>435</v>
      </c>
      <c r="B387" s="131">
        <v>1299</v>
      </c>
      <c r="C387" s="111">
        <v>2</v>
      </c>
      <c r="D387" s="111">
        <v>1</v>
      </c>
      <c r="E387" s="242" t="s">
        <v>1614</v>
      </c>
      <c r="F387" s="243" t="s">
        <v>1584</v>
      </c>
      <c r="G387" s="118" t="s">
        <v>2100</v>
      </c>
      <c r="H387" s="243" t="s">
        <v>2100</v>
      </c>
      <c r="I387" s="245" t="s">
        <v>1880</v>
      </c>
      <c r="J387" s="122">
        <v>3092014</v>
      </c>
    </row>
    <row r="388" spans="1:10" ht="30" customHeight="1" x14ac:dyDescent="0.3">
      <c r="A388" s="117">
        <v>436</v>
      </c>
      <c r="B388" s="131">
        <v>1300</v>
      </c>
      <c r="C388" s="111">
        <v>2</v>
      </c>
      <c r="D388" s="111">
        <v>1</v>
      </c>
      <c r="E388" s="242" t="s">
        <v>1614</v>
      </c>
      <c r="F388" s="243" t="s">
        <v>1584</v>
      </c>
      <c r="G388" s="118" t="s">
        <v>2100</v>
      </c>
      <c r="H388" s="243" t="s">
        <v>2100</v>
      </c>
      <c r="I388" s="245" t="s">
        <v>1880</v>
      </c>
      <c r="J388" s="122">
        <v>3092014</v>
      </c>
    </row>
    <row r="389" spans="1:10" ht="45" customHeight="1" x14ac:dyDescent="0.3">
      <c r="A389" s="117">
        <v>437</v>
      </c>
      <c r="B389" s="131">
        <v>1301</v>
      </c>
      <c r="C389" s="111">
        <v>2</v>
      </c>
      <c r="D389" s="111">
        <v>1</v>
      </c>
      <c r="E389" s="242" t="s">
        <v>1614</v>
      </c>
      <c r="F389" s="243" t="s">
        <v>1584</v>
      </c>
      <c r="G389" s="117" t="s">
        <v>1713</v>
      </c>
      <c r="H389" s="245" t="s">
        <v>1713</v>
      </c>
      <c r="I389" s="245" t="s">
        <v>1902</v>
      </c>
      <c r="J389" s="122">
        <v>3092014</v>
      </c>
    </row>
    <row r="390" spans="1:10" ht="45" customHeight="1" x14ac:dyDescent="0.3">
      <c r="A390" s="117">
        <v>438</v>
      </c>
      <c r="B390" s="131">
        <v>1302</v>
      </c>
      <c r="C390" s="111">
        <v>2</v>
      </c>
      <c r="D390" s="111">
        <v>1</v>
      </c>
      <c r="E390" s="242" t="s">
        <v>1614</v>
      </c>
      <c r="F390" s="243" t="s">
        <v>1584</v>
      </c>
      <c r="G390" s="117" t="s">
        <v>1721</v>
      </c>
      <c r="H390" s="245" t="s">
        <v>1721</v>
      </c>
      <c r="I390" s="245" t="s">
        <v>1912</v>
      </c>
      <c r="J390" s="122">
        <v>3092014</v>
      </c>
    </row>
    <row r="391" spans="1:10" ht="45" customHeight="1" x14ac:dyDescent="0.3">
      <c r="A391" s="117">
        <v>439</v>
      </c>
      <c r="B391" s="131">
        <v>1303</v>
      </c>
      <c r="C391" s="111">
        <v>2</v>
      </c>
      <c r="D391" s="111">
        <v>1</v>
      </c>
      <c r="E391" s="242" t="s">
        <v>1614</v>
      </c>
      <c r="F391" s="243" t="s">
        <v>1584</v>
      </c>
      <c r="G391" s="117" t="s">
        <v>1721</v>
      </c>
      <c r="H391" s="245" t="s">
        <v>1721</v>
      </c>
      <c r="I391" s="245" t="s">
        <v>1912</v>
      </c>
      <c r="J391" s="122">
        <v>3092014</v>
      </c>
    </row>
    <row r="392" spans="1:10" ht="30" customHeight="1" x14ac:dyDescent="0.3">
      <c r="A392" s="117">
        <v>440</v>
      </c>
      <c r="B392" s="131">
        <v>1304</v>
      </c>
      <c r="C392" s="111">
        <v>8</v>
      </c>
      <c r="D392" s="111">
        <v>2</v>
      </c>
      <c r="E392" s="241" t="s">
        <v>1613</v>
      </c>
      <c r="F392" s="243" t="s">
        <v>1625</v>
      </c>
      <c r="G392" s="119" t="s">
        <v>1624</v>
      </c>
      <c r="H392" s="246" t="s">
        <v>1624</v>
      </c>
      <c r="I392" s="245" t="s">
        <v>1916</v>
      </c>
      <c r="J392" s="122">
        <v>26082014</v>
      </c>
    </row>
    <row r="393" spans="1:10" ht="30" customHeight="1" x14ac:dyDescent="0.3">
      <c r="A393" s="117">
        <v>441</v>
      </c>
      <c r="B393" s="131">
        <v>1305</v>
      </c>
      <c r="C393" s="111">
        <v>8</v>
      </c>
      <c r="D393" s="111">
        <v>2</v>
      </c>
      <c r="E393" s="241" t="s">
        <v>1613</v>
      </c>
      <c r="F393" s="243" t="s">
        <v>1625</v>
      </c>
      <c r="G393" s="119" t="s">
        <v>1624</v>
      </c>
      <c r="H393" s="246" t="s">
        <v>1624</v>
      </c>
      <c r="I393" s="245" t="s">
        <v>1916</v>
      </c>
      <c r="J393" s="122">
        <v>26082014</v>
      </c>
    </row>
    <row r="394" spans="1:10" ht="45" customHeight="1" x14ac:dyDescent="0.3">
      <c r="A394" s="117">
        <v>442</v>
      </c>
      <c r="B394" s="131">
        <v>1306</v>
      </c>
      <c r="C394" s="111">
        <v>1</v>
      </c>
      <c r="D394" s="111">
        <v>1</v>
      </c>
      <c r="E394" s="242" t="s">
        <v>1614</v>
      </c>
      <c r="F394" s="243" t="s">
        <v>1627</v>
      </c>
      <c r="G394" s="119" t="s">
        <v>1744</v>
      </c>
      <c r="H394" s="246" t="s">
        <v>1744</v>
      </c>
      <c r="I394" s="245" t="s">
        <v>1960</v>
      </c>
      <c r="J394" s="122">
        <v>26082014</v>
      </c>
    </row>
    <row r="395" spans="1:10" ht="60" customHeight="1" x14ac:dyDescent="0.3">
      <c r="A395" s="117">
        <v>443</v>
      </c>
      <c r="B395" s="131">
        <v>1307</v>
      </c>
      <c r="C395" s="111">
        <v>9</v>
      </c>
      <c r="D395" s="111">
        <v>2</v>
      </c>
      <c r="E395" s="241" t="s">
        <v>1613</v>
      </c>
      <c r="F395" s="243" t="s">
        <v>526</v>
      </c>
      <c r="G395" s="119" t="s">
        <v>2106</v>
      </c>
      <c r="H395" s="246" t="s">
        <v>1826</v>
      </c>
      <c r="I395" s="245" t="s">
        <v>1825</v>
      </c>
      <c r="J395" s="122">
        <v>26082014</v>
      </c>
    </row>
    <row r="396" spans="1:10" ht="75" customHeight="1" x14ac:dyDescent="0.3">
      <c r="A396" s="117">
        <v>444</v>
      </c>
      <c r="B396" s="131">
        <v>1308</v>
      </c>
      <c r="C396" s="111">
        <v>9</v>
      </c>
      <c r="D396" s="111">
        <v>2</v>
      </c>
      <c r="E396" s="241" t="s">
        <v>1613</v>
      </c>
      <c r="F396" s="243" t="s">
        <v>526</v>
      </c>
      <c r="G396" s="117" t="s">
        <v>883</v>
      </c>
      <c r="H396" s="245" t="s">
        <v>1828</v>
      </c>
      <c r="I396" s="245" t="s">
        <v>1829</v>
      </c>
      <c r="J396" s="122">
        <v>26082014</v>
      </c>
    </row>
    <row r="397" spans="1:10" ht="30" customHeight="1" x14ac:dyDescent="0.3">
      <c r="A397" s="117">
        <v>445</v>
      </c>
      <c r="B397" s="131">
        <v>1309</v>
      </c>
      <c r="C397" s="111">
        <v>6</v>
      </c>
      <c r="D397" s="111">
        <v>2</v>
      </c>
      <c r="E397" s="241" t="s">
        <v>1613</v>
      </c>
      <c r="F397" s="243" t="s">
        <v>404</v>
      </c>
      <c r="G397" s="119" t="s">
        <v>750</v>
      </c>
      <c r="H397" s="246" t="s">
        <v>1860</v>
      </c>
      <c r="I397" s="245"/>
      <c r="J397" s="122">
        <v>26082014</v>
      </c>
    </row>
    <row r="398" spans="1:10" ht="30" customHeight="1" x14ac:dyDescent="0.3">
      <c r="A398" s="117">
        <v>446</v>
      </c>
      <c r="B398" s="131">
        <v>1310</v>
      </c>
      <c r="C398" s="111">
        <v>16</v>
      </c>
      <c r="D398" s="111">
        <v>4</v>
      </c>
      <c r="E398" s="240" t="s">
        <v>1611</v>
      </c>
      <c r="F398" s="243" t="s">
        <v>533</v>
      </c>
      <c r="G398" s="117" t="s">
        <v>2107</v>
      </c>
      <c r="H398" s="245" t="s">
        <v>2107</v>
      </c>
      <c r="I398" s="245" t="s">
        <v>1949</v>
      </c>
      <c r="J398" s="122">
        <v>26082014</v>
      </c>
    </row>
    <row r="399" spans="1:10" ht="30" customHeight="1" x14ac:dyDescent="0.3">
      <c r="A399" s="117">
        <v>447</v>
      </c>
      <c r="B399" s="131">
        <v>1311</v>
      </c>
      <c r="C399" s="111">
        <v>16</v>
      </c>
      <c r="D399" s="111">
        <v>4</v>
      </c>
      <c r="E399" s="240" t="s">
        <v>1611</v>
      </c>
      <c r="F399" s="243" t="s">
        <v>533</v>
      </c>
      <c r="G399" s="117" t="s">
        <v>2108</v>
      </c>
      <c r="H399" s="245" t="s">
        <v>2108</v>
      </c>
      <c r="I399" s="245" t="s">
        <v>1970</v>
      </c>
      <c r="J399" s="122">
        <v>26082014</v>
      </c>
    </row>
    <row r="400" spans="1:10" ht="45" customHeight="1" x14ac:dyDescent="0.3">
      <c r="A400" s="117">
        <v>448</v>
      </c>
      <c r="B400" s="131">
        <v>1312</v>
      </c>
      <c r="C400" s="111">
        <v>16</v>
      </c>
      <c r="D400" s="111">
        <v>4</v>
      </c>
      <c r="E400" s="240" t="s">
        <v>1611</v>
      </c>
      <c r="F400" s="243" t="s">
        <v>533</v>
      </c>
      <c r="G400" s="117" t="s">
        <v>2109</v>
      </c>
      <c r="H400" s="245" t="s">
        <v>2110</v>
      </c>
      <c r="I400" s="245" t="s">
        <v>1944</v>
      </c>
      <c r="J400" s="122">
        <v>26082014</v>
      </c>
    </row>
    <row r="401" spans="1:10" ht="30" customHeight="1" x14ac:dyDescent="0.3">
      <c r="A401" s="117">
        <v>449</v>
      </c>
      <c r="B401" s="131">
        <v>1313</v>
      </c>
      <c r="C401" s="111">
        <v>16</v>
      </c>
      <c r="D401" s="111">
        <v>4</v>
      </c>
      <c r="E401" s="240" t="s">
        <v>1611</v>
      </c>
      <c r="F401" s="243" t="s">
        <v>533</v>
      </c>
      <c r="G401" s="117" t="s">
        <v>890</v>
      </c>
      <c r="H401" s="245" t="s">
        <v>890</v>
      </c>
      <c r="I401" s="245" t="s">
        <v>1970</v>
      </c>
      <c r="J401" s="122">
        <v>26082014</v>
      </c>
    </row>
    <row r="402" spans="1:10" ht="30" customHeight="1" x14ac:dyDescent="0.3">
      <c r="A402" s="117">
        <v>450</v>
      </c>
      <c r="B402" s="131">
        <v>1314</v>
      </c>
      <c r="C402" s="111">
        <v>16</v>
      </c>
      <c r="D402" s="111">
        <v>4</v>
      </c>
      <c r="E402" s="240" t="s">
        <v>1611</v>
      </c>
      <c r="F402" s="243" t="s">
        <v>533</v>
      </c>
      <c r="G402" s="117" t="s">
        <v>890</v>
      </c>
      <c r="H402" s="245" t="s">
        <v>890</v>
      </c>
      <c r="I402" s="245" t="s">
        <v>1970</v>
      </c>
      <c r="J402" s="122">
        <v>26082014</v>
      </c>
    </row>
    <row r="403" spans="1:10" ht="30" customHeight="1" x14ac:dyDescent="0.3">
      <c r="A403" s="117">
        <v>451</v>
      </c>
      <c r="B403" s="131">
        <v>1315</v>
      </c>
      <c r="C403" s="111">
        <v>8</v>
      </c>
      <c r="D403" s="111">
        <v>2</v>
      </c>
      <c r="E403" s="241" t="s">
        <v>1613</v>
      </c>
      <c r="F403" s="243" t="s">
        <v>1625</v>
      </c>
      <c r="G403" s="117" t="s">
        <v>1658</v>
      </c>
      <c r="H403" s="245" t="s">
        <v>1658</v>
      </c>
      <c r="I403" s="245" t="s">
        <v>1918</v>
      </c>
      <c r="J403" s="122">
        <v>11082014</v>
      </c>
    </row>
    <row r="404" spans="1:10" ht="30" customHeight="1" x14ac:dyDescent="0.3">
      <c r="A404" s="117">
        <v>452</v>
      </c>
      <c r="B404" s="131">
        <v>1316</v>
      </c>
      <c r="C404" s="111">
        <v>8</v>
      </c>
      <c r="D404" s="111">
        <v>2</v>
      </c>
      <c r="E404" s="241" t="s">
        <v>1613</v>
      </c>
      <c r="F404" s="243" t="s">
        <v>1625</v>
      </c>
      <c r="G404" s="117" t="s">
        <v>745</v>
      </c>
      <c r="H404" s="245" t="s">
        <v>745</v>
      </c>
      <c r="I404" s="245" t="s">
        <v>1919</v>
      </c>
      <c r="J404" s="122">
        <v>12082014</v>
      </c>
    </row>
    <row r="405" spans="1:10" ht="30" customHeight="1" x14ac:dyDescent="0.3">
      <c r="A405" s="117">
        <v>453</v>
      </c>
      <c r="B405" s="131">
        <v>1317</v>
      </c>
      <c r="C405" s="111">
        <v>19</v>
      </c>
      <c r="D405" s="111">
        <v>1</v>
      </c>
      <c r="E405" s="242" t="s">
        <v>1614</v>
      </c>
      <c r="F405" s="243" t="s">
        <v>1585</v>
      </c>
      <c r="G405" s="119" t="s">
        <v>1668</v>
      </c>
      <c r="H405" s="246" t="s">
        <v>1668</v>
      </c>
      <c r="I405" s="245"/>
      <c r="J405" s="122">
        <v>15082014</v>
      </c>
    </row>
    <row r="406" spans="1:10" ht="45" customHeight="1" x14ac:dyDescent="0.3">
      <c r="A406" s="117">
        <v>454</v>
      </c>
      <c r="B406" s="131">
        <v>1318</v>
      </c>
      <c r="C406" s="111">
        <v>1</v>
      </c>
      <c r="D406" s="111">
        <v>1</v>
      </c>
      <c r="E406" s="242" t="s">
        <v>1614</v>
      </c>
      <c r="F406" s="243" t="s">
        <v>1627</v>
      </c>
      <c r="G406" s="119" t="s">
        <v>1744</v>
      </c>
      <c r="H406" s="246" t="s">
        <v>1744</v>
      </c>
      <c r="I406" s="245"/>
      <c r="J406" s="122">
        <v>26082014</v>
      </c>
    </row>
    <row r="407" spans="1:10" ht="45" customHeight="1" x14ac:dyDescent="0.3">
      <c r="A407" s="117">
        <v>455</v>
      </c>
      <c r="B407" s="131">
        <v>1319</v>
      </c>
      <c r="C407" s="111">
        <v>1</v>
      </c>
      <c r="D407" s="111">
        <v>1</v>
      </c>
      <c r="E407" s="242" t="s">
        <v>1614</v>
      </c>
      <c r="F407" s="243" t="s">
        <v>1627</v>
      </c>
      <c r="G407" s="119" t="s">
        <v>1744</v>
      </c>
      <c r="H407" s="246" t="s">
        <v>1744</v>
      </c>
      <c r="I407" s="245"/>
      <c r="J407" s="122">
        <v>26082014</v>
      </c>
    </row>
    <row r="408" spans="1:10" ht="45" customHeight="1" x14ac:dyDescent="0.3">
      <c r="A408" s="117">
        <v>456</v>
      </c>
      <c r="B408" s="131">
        <v>1320</v>
      </c>
      <c r="C408" s="111">
        <v>1</v>
      </c>
      <c r="D408" s="111">
        <v>1</v>
      </c>
      <c r="E408" s="242" t="s">
        <v>1614</v>
      </c>
      <c r="F408" s="243" t="s">
        <v>1627</v>
      </c>
      <c r="G408" s="119" t="s">
        <v>1744</v>
      </c>
      <c r="H408" s="246" t="s">
        <v>1744</v>
      </c>
      <c r="I408" s="245"/>
      <c r="J408" s="122">
        <v>26082014</v>
      </c>
    </row>
    <row r="409" spans="1:10" ht="45" customHeight="1" x14ac:dyDescent="0.3">
      <c r="A409" s="117">
        <v>457</v>
      </c>
      <c r="B409" s="131">
        <v>1321</v>
      </c>
      <c r="C409" s="111">
        <v>1</v>
      </c>
      <c r="D409" s="111">
        <v>1</v>
      </c>
      <c r="E409" s="242" t="s">
        <v>1614</v>
      </c>
      <c r="F409" s="243" t="s">
        <v>1627</v>
      </c>
      <c r="G409" s="119" t="s">
        <v>1744</v>
      </c>
      <c r="H409" s="246" t="s">
        <v>1744</v>
      </c>
      <c r="I409" s="245"/>
      <c r="J409" s="122">
        <v>26082014</v>
      </c>
    </row>
    <row r="410" spans="1:10" ht="45" customHeight="1" x14ac:dyDescent="0.3">
      <c r="A410" s="117">
        <v>458</v>
      </c>
      <c r="B410" s="131">
        <v>1322</v>
      </c>
      <c r="C410" s="111">
        <v>1</v>
      </c>
      <c r="D410" s="111">
        <v>1</v>
      </c>
      <c r="E410" s="242" t="s">
        <v>1614</v>
      </c>
      <c r="F410" s="243" t="s">
        <v>1627</v>
      </c>
      <c r="G410" s="119" t="s">
        <v>1744</v>
      </c>
      <c r="H410" s="246" t="s">
        <v>1744</v>
      </c>
      <c r="I410" s="245"/>
      <c r="J410" s="122">
        <v>26082014</v>
      </c>
    </row>
    <row r="411" spans="1:10" ht="45" customHeight="1" x14ac:dyDescent="0.3">
      <c r="A411" s="117">
        <v>459</v>
      </c>
      <c r="B411" s="131">
        <v>1323</v>
      </c>
      <c r="C411" s="111">
        <v>1</v>
      </c>
      <c r="D411" s="111">
        <v>1</v>
      </c>
      <c r="E411" s="242" t="s">
        <v>1614</v>
      </c>
      <c r="F411" s="243" t="s">
        <v>1627</v>
      </c>
      <c r="G411" s="119" t="s">
        <v>1744</v>
      </c>
      <c r="H411" s="246" t="s">
        <v>1744</v>
      </c>
      <c r="I411" s="245"/>
      <c r="J411" s="122">
        <v>26082014</v>
      </c>
    </row>
    <row r="412" spans="1:10" ht="45" customHeight="1" x14ac:dyDescent="0.3">
      <c r="A412" s="117">
        <v>460</v>
      </c>
      <c r="B412" s="131">
        <v>1324</v>
      </c>
      <c r="C412" s="111">
        <v>1</v>
      </c>
      <c r="D412" s="111">
        <v>1</v>
      </c>
      <c r="E412" s="242" t="s">
        <v>1614</v>
      </c>
      <c r="F412" s="243" t="s">
        <v>1627</v>
      </c>
      <c r="G412" s="119" t="s">
        <v>1744</v>
      </c>
      <c r="H412" s="246" t="s">
        <v>1744</v>
      </c>
      <c r="I412" s="245"/>
      <c r="J412" s="122">
        <v>26082014</v>
      </c>
    </row>
    <row r="413" spans="1:10" ht="45" customHeight="1" x14ac:dyDescent="0.3">
      <c r="A413" s="117">
        <v>461</v>
      </c>
      <c r="B413" s="131">
        <v>1325</v>
      </c>
      <c r="C413" s="111">
        <v>1</v>
      </c>
      <c r="D413" s="111">
        <v>1</v>
      </c>
      <c r="E413" s="242" t="s">
        <v>1614</v>
      </c>
      <c r="F413" s="243" t="s">
        <v>1627</v>
      </c>
      <c r="G413" s="119" t="s">
        <v>1744</v>
      </c>
      <c r="H413" s="246" t="s">
        <v>1744</v>
      </c>
      <c r="I413" s="245"/>
      <c r="J413" s="122">
        <v>26082014</v>
      </c>
    </row>
    <row r="414" spans="1:10" ht="45" customHeight="1" x14ac:dyDescent="0.3">
      <c r="A414" s="117">
        <v>462</v>
      </c>
      <c r="B414" s="131">
        <v>1326</v>
      </c>
      <c r="C414" s="111">
        <v>1</v>
      </c>
      <c r="D414" s="111">
        <v>1</v>
      </c>
      <c r="E414" s="242" t="s">
        <v>1614</v>
      </c>
      <c r="F414" s="243" t="s">
        <v>1627</v>
      </c>
      <c r="G414" s="119" t="s">
        <v>1744</v>
      </c>
      <c r="H414" s="246" t="s">
        <v>1744</v>
      </c>
      <c r="I414" s="245"/>
      <c r="J414" s="122">
        <v>26082014</v>
      </c>
    </row>
    <row r="415" spans="1:10" ht="45" customHeight="1" x14ac:dyDescent="0.3">
      <c r="A415" s="117">
        <v>463</v>
      </c>
      <c r="B415" s="131">
        <v>1327</v>
      </c>
      <c r="C415" s="111">
        <v>1</v>
      </c>
      <c r="D415" s="111">
        <v>1</v>
      </c>
      <c r="E415" s="242" t="s">
        <v>1614</v>
      </c>
      <c r="F415" s="243" t="s">
        <v>1627</v>
      </c>
      <c r="G415" s="119" t="s">
        <v>1744</v>
      </c>
      <c r="H415" s="246" t="s">
        <v>1744</v>
      </c>
      <c r="I415" s="245"/>
      <c r="J415" s="122">
        <v>26082014</v>
      </c>
    </row>
    <row r="416" spans="1:10" ht="45" customHeight="1" x14ac:dyDescent="0.3">
      <c r="A416" s="117">
        <v>464</v>
      </c>
      <c r="B416" s="131">
        <v>1328</v>
      </c>
      <c r="C416" s="111">
        <v>1</v>
      </c>
      <c r="D416" s="111">
        <v>1</v>
      </c>
      <c r="E416" s="242" t="s">
        <v>1614</v>
      </c>
      <c r="F416" s="243" t="s">
        <v>1627</v>
      </c>
      <c r="G416" s="119" t="s">
        <v>1744</v>
      </c>
      <c r="H416" s="246" t="s">
        <v>1744</v>
      </c>
      <c r="I416" s="245"/>
      <c r="J416" s="122">
        <v>26082014</v>
      </c>
    </row>
    <row r="417" spans="1:10" ht="45" customHeight="1" x14ac:dyDescent="0.3">
      <c r="A417" s="117">
        <v>465</v>
      </c>
      <c r="B417" s="131">
        <v>1329</v>
      </c>
      <c r="C417" s="111">
        <v>1</v>
      </c>
      <c r="D417" s="111">
        <v>1</v>
      </c>
      <c r="E417" s="242" t="s">
        <v>1614</v>
      </c>
      <c r="F417" s="243" t="s">
        <v>1627</v>
      </c>
      <c r="G417" s="119" t="s">
        <v>1744</v>
      </c>
      <c r="H417" s="246" t="s">
        <v>1744</v>
      </c>
      <c r="I417" s="245"/>
      <c r="J417" s="122">
        <v>26082014</v>
      </c>
    </row>
    <row r="418" spans="1:10" ht="45" customHeight="1" x14ac:dyDescent="0.3">
      <c r="A418" s="117">
        <v>466</v>
      </c>
      <c r="B418" s="131">
        <v>1330</v>
      </c>
      <c r="C418" s="111">
        <v>1</v>
      </c>
      <c r="D418" s="111">
        <v>1</v>
      </c>
      <c r="E418" s="242" t="s">
        <v>1614</v>
      </c>
      <c r="F418" s="243" t="s">
        <v>1627</v>
      </c>
      <c r="G418" s="119" t="s">
        <v>1744</v>
      </c>
      <c r="H418" s="246" t="s">
        <v>1744</v>
      </c>
      <c r="I418" s="245"/>
      <c r="J418" s="122">
        <v>26082014</v>
      </c>
    </row>
    <row r="419" spans="1:10" ht="45" customHeight="1" x14ac:dyDescent="0.3">
      <c r="A419" s="117">
        <v>467</v>
      </c>
      <c r="B419" s="131">
        <v>1331</v>
      </c>
      <c r="C419" s="111">
        <v>1</v>
      </c>
      <c r="D419" s="111">
        <v>1</v>
      </c>
      <c r="E419" s="242" t="s">
        <v>1614</v>
      </c>
      <c r="F419" s="243" t="s">
        <v>1627</v>
      </c>
      <c r="G419" s="119" t="s">
        <v>1744</v>
      </c>
      <c r="H419" s="246" t="s">
        <v>1744</v>
      </c>
      <c r="I419" s="245"/>
      <c r="J419" s="122">
        <v>26082014</v>
      </c>
    </row>
    <row r="420" spans="1:10" ht="45" customHeight="1" x14ac:dyDescent="0.3">
      <c r="A420" s="117">
        <v>468</v>
      </c>
      <c r="B420" s="131">
        <v>1332</v>
      </c>
      <c r="C420" s="111">
        <v>1</v>
      </c>
      <c r="D420" s="111">
        <v>1</v>
      </c>
      <c r="E420" s="242" t="s">
        <v>1614</v>
      </c>
      <c r="F420" s="243" t="s">
        <v>1627</v>
      </c>
      <c r="G420" s="119" t="s">
        <v>1744</v>
      </c>
      <c r="H420" s="246" t="s">
        <v>1744</v>
      </c>
      <c r="I420" s="245"/>
      <c r="J420" s="122">
        <v>26082014</v>
      </c>
    </row>
    <row r="421" spans="1:10" ht="45" customHeight="1" x14ac:dyDescent="0.3">
      <c r="A421" s="117">
        <v>469</v>
      </c>
      <c r="B421" s="131">
        <v>1333</v>
      </c>
      <c r="C421" s="111">
        <v>1</v>
      </c>
      <c r="D421" s="111">
        <v>1</v>
      </c>
      <c r="E421" s="242" t="s">
        <v>1614</v>
      </c>
      <c r="F421" s="243" t="s">
        <v>1627</v>
      </c>
      <c r="G421" s="119" t="s">
        <v>1744</v>
      </c>
      <c r="H421" s="246" t="s">
        <v>1744</v>
      </c>
      <c r="I421" s="245"/>
      <c r="J421" s="122">
        <v>26082014</v>
      </c>
    </row>
    <row r="422" spans="1:10" ht="45" customHeight="1" x14ac:dyDescent="0.3">
      <c r="A422" s="117">
        <v>470</v>
      </c>
      <c r="B422" s="131">
        <v>1334</v>
      </c>
      <c r="C422" s="111">
        <v>1</v>
      </c>
      <c r="D422" s="111">
        <v>1</v>
      </c>
      <c r="E422" s="242" t="s">
        <v>1614</v>
      </c>
      <c r="F422" s="243" t="s">
        <v>1627</v>
      </c>
      <c r="G422" s="119" t="s">
        <v>1744</v>
      </c>
      <c r="H422" s="246" t="s">
        <v>1744</v>
      </c>
      <c r="I422" s="245"/>
      <c r="J422" s="122">
        <v>26082014</v>
      </c>
    </row>
    <row r="423" spans="1:10" ht="45" customHeight="1" x14ac:dyDescent="0.3">
      <c r="A423" s="117">
        <v>471</v>
      </c>
      <c r="B423" s="131">
        <v>1335</v>
      </c>
      <c r="C423" s="111">
        <v>1</v>
      </c>
      <c r="D423" s="111">
        <v>1</v>
      </c>
      <c r="E423" s="242" t="s">
        <v>1614</v>
      </c>
      <c r="F423" s="243" t="s">
        <v>1627</v>
      </c>
      <c r="G423" s="119" t="s">
        <v>889</v>
      </c>
      <c r="H423" s="246" t="s">
        <v>1744</v>
      </c>
      <c r="I423" s="245"/>
      <c r="J423" s="122">
        <v>26082014</v>
      </c>
    </row>
    <row r="424" spans="1:10" ht="45" customHeight="1" x14ac:dyDescent="0.3">
      <c r="A424" s="117">
        <v>472</v>
      </c>
      <c r="B424" s="131">
        <v>1336</v>
      </c>
      <c r="C424" s="111">
        <v>1</v>
      </c>
      <c r="D424" s="111">
        <v>1</v>
      </c>
      <c r="E424" s="242" t="s">
        <v>1614</v>
      </c>
      <c r="F424" s="243" t="s">
        <v>1627</v>
      </c>
      <c r="G424" s="119" t="s">
        <v>1744</v>
      </c>
      <c r="H424" s="246" t="s">
        <v>1744</v>
      </c>
      <c r="I424" s="245"/>
      <c r="J424" s="122">
        <v>26082014</v>
      </c>
    </row>
    <row r="425" spans="1:10" ht="45" customHeight="1" x14ac:dyDescent="0.3">
      <c r="A425" s="117">
        <v>473</v>
      </c>
      <c r="B425" s="131">
        <v>1337</v>
      </c>
      <c r="C425" s="111">
        <v>1</v>
      </c>
      <c r="D425" s="111">
        <v>1</v>
      </c>
      <c r="E425" s="242" t="s">
        <v>1614</v>
      </c>
      <c r="F425" s="243" t="s">
        <v>1627</v>
      </c>
      <c r="G425" s="119" t="s">
        <v>1744</v>
      </c>
      <c r="H425" s="246" t="s">
        <v>1744</v>
      </c>
      <c r="I425" s="245"/>
      <c r="J425" s="122">
        <v>26082014</v>
      </c>
    </row>
    <row r="426" spans="1:10" ht="45" customHeight="1" x14ac:dyDescent="0.3">
      <c r="A426" s="117">
        <v>474</v>
      </c>
      <c r="B426" s="131">
        <v>1338</v>
      </c>
      <c r="C426" s="111">
        <v>1</v>
      </c>
      <c r="D426" s="111">
        <v>1</v>
      </c>
      <c r="E426" s="242" t="s">
        <v>1614</v>
      </c>
      <c r="F426" s="243" t="s">
        <v>1627</v>
      </c>
      <c r="G426" s="119" t="s">
        <v>1744</v>
      </c>
      <c r="H426" s="246" t="s">
        <v>1744</v>
      </c>
      <c r="I426" s="245"/>
      <c r="J426" s="122">
        <v>26082014</v>
      </c>
    </row>
    <row r="427" spans="1:10" ht="45" customHeight="1" x14ac:dyDescent="0.3">
      <c r="A427" s="117">
        <v>475</v>
      </c>
      <c r="B427" s="131">
        <v>1339</v>
      </c>
      <c r="C427" s="111">
        <v>1</v>
      </c>
      <c r="D427" s="111">
        <v>1</v>
      </c>
      <c r="E427" s="242" t="s">
        <v>1614</v>
      </c>
      <c r="F427" s="243" t="s">
        <v>1627</v>
      </c>
      <c r="G427" s="119" t="s">
        <v>1744</v>
      </c>
      <c r="H427" s="246" t="s">
        <v>1744</v>
      </c>
      <c r="I427" s="245"/>
      <c r="J427" s="122">
        <v>26082014</v>
      </c>
    </row>
    <row r="428" spans="1:10" ht="45" customHeight="1" x14ac:dyDescent="0.3">
      <c r="A428" s="117">
        <v>476</v>
      </c>
      <c r="B428" s="131">
        <v>1340</v>
      </c>
      <c r="C428" s="111">
        <v>1</v>
      </c>
      <c r="D428" s="111">
        <v>1</v>
      </c>
      <c r="E428" s="242" t="s">
        <v>1614</v>
      </c>
      <c r="F428" s="243" t="s">
        <v>1627</v>
      </c>
      <c r="G428" s="119" t="s">
        <v>1744</v>
      </c>
      <c r="H428" s="246" t="s">
        <v>1744</v>
      </c>
      <c r="I428" s="245"/>
      <c r="J428" s="122">
        <v>26082014</v>
      </c>
    </row>
    <row r="429" spans="1:10" ht="45" customHeight="1" x14ac:dyDescent="0.3">
      <c r="A429" s="117">
        <v>477</v>
      </c>
      <c r="B429" s="131">
        <v>1341</v>
      </c>
      <c r="C429" s="111">
        <v>1</v>
      </c>
      <c r="D429" s="111">
        <v>1</v>
      </c>
      <c r="E429" s="242" t="s">
        <v>1614</v>
      </c>
      <c r="F429" s="243" t="s">
        <v>1627</v>
      </c>
      <c r="G429" s="119" t="s">
        <v>1744</v>
      </c>
      <c r="H429" s="246" t="s">
        <v>1744</v>
      </c>
      <c r="I429" s="245"/>
      <c r="J429" s="122">
        <v>26082014</v>
      </c>
    </row>
    <row r="430" spans="1:10" ht="45" customHeight="1" x14ac:dyDescent="0.3">
      <c r="A430" s="117">
        <v>478</v>
      </c>
      <c r="B430" s="131">
        <v>1342</v>
      </c>
      <c r="C430" s="111">
        <v>1</v>
      </c>
      <c r="D430" s="111">
        <v>1</v>
      </c>
      <c r="E430" s="242" t="s">
        <v>1614</v>
      </c>
      <c r="F430" s="243" t="s">
        <v>1627</v>
      </c>
      <c r="G430" s="119" t="s">
        <v>1744</v>
      </c>
      <c r="H430" s="246" t="s">
        <v>1744</v>
      </c>
      <c r="I430" s="245"/>
      <c r="J430" s="122">
        <v>26082014</v>
      </c>
    </row>
    <row r="431" spans="1:10" ht="45" customHeight="1" x14ac:dyDescent="0.3">
      <c r="A431" s="117">
        <v>479</v>
      </c>
      <c r="B431" s="131">
        <v>1343</v>
      </c>
      <c r="C431" s="111">
        <v>1</v>
      </c>
      <c r="D431" s="111">
        <v>1</v>
      </c>
      <c r="E431" s="242" t="s">
        <v>1614</v>
      </c>
      <c r="F431" s="243" t="s">
        <v>1627</v>
      </c>
      <c r="G431" s="119" t="s">
        <v>1744</v>
      </c>
      <c r="H431" s="246" t="s">
        <v>1744</v>
      </c>
      <c r="I431" s="245"/>
      <c r="J431" s="122">
        <v>26082014</v>
      </c>
    </row>
    <row r="432" spans="1:10" ht="45" customHeight="1" x14ac:dyDescent="0.3">
      <c r="A432" s="117">
        <v>480</v>
      </c>
      <c r="B432" s="131">
        <v>1344</v>
      </c>
      <c r="C432" s="111">
        <v>1</v>
      </c>
      <c r="D432" s="111">
        <v>1</v>
      </c>
      <c r="E432" s="242" t="s">
        <v>1614</v>
      </c>
      <c r="F432" s="243" t="s">
        <v>1627</v>
      </c>
      <c r="G432" s="119" t="s">
        <v>1744</v>
      </c>
      <c r="H432" s="246" t="s">
        <v>1744</v>
      </c>
      <c r="I432" s="245"/>
      <c r="J432" s="122">
        <v>26082014</v>
      </c>
    </row>
    <row r="433" spans="1:10" ht="45" customHeight="1" x14ac:dyDescent="0.3">
      <c r="A433" s="117">
        <v>481</v>
      </c>
      <c r="B433" s="131">
        <v>1345</v>
      </c>
      <c r="C433" s="111">
        <v>1</v>
      </c>
      <c r="D433" s="111">
        <v>1</v>
      </c>
      <c r="E433" s="242" t="s">
        <v>1614</v>
      </c>
      <c r="F433" s="243" t="s">
        <v>1627</v>
      </c>
      <c r="G433" s="119" t="s">
        <v>1744</v>
      </c>
      <c r="H433" s="246" t="s">
        <v>1744</v>
      </c>
      <c r="I433" s="245"/>
      <c r="J433" s="122">
        <v>26082014</v>
      </c>
    </row>
    <row r="434" spans="1:10" ht="45" customHeight="1" x14ac:dyDescent="0.3">
      <c r="A434" s="117">
        <v>482</v>
      </c>
      <c r="B434" s="131">
        <v>1346</v>
      </c>
      <c r="C434" s="111">
        <v>1</v>
      </c>
      <c r="D434" s="111">
        <v>1</v>
      </c>
      <c r="E434" s="242" t="s">
        <v>1614</v>
      </c>
      <c r="F434" s="243" t="s">
        <v>1627</v>
      </c>
      <c r="G434" s="119" t="s">
        <v>1744</v>
      </c>
      <c r="H434" s="246" t="s">
        <v>1744</v>
      </c>
      <c r="I434" s="245"/>
      <c r="J434" s="122">
        <v>26082014</v>
      </c>
    </row>
    <row r="435" spans="1:10" ht="30" customHeight="1" x14ac:dyDescent="0.3">
      <c r="A435" s="117">
        <v>483</v>
      </c>
      <c r="B435" s="131">
        <v>1347</v>
      </c>
      <c r="C435" s="111">
        <v>16</v>
      </c>
      <c r="D435" s="111">
        <v>4</v>
      </c>
      <c r="E435" s="240" t="s">
        <v>1611</v>
      </c>
      <c r="F435" s="243" t="s">
        <v>533</v>
      </c>
      <c r="G435" s="117" t="s">
        <v>890</v>
      </c>
      <c r="H435" s="245" t="s">
        <v>890</v>
      </c>
      <c r="I435" s="245" t="s">
        <v>1949</v>
      </c>
      <c r="J435" s="122">
        <v>26082014</v>
      </c>
    </row>
    <row r="436" spans="1:10" ht="30" customHeight="1" x14ac:dyDescent="0.3">
      <c r="A436" s="117">
        <v>484</v>
      </c>
      <c r="B436" s="131">
        <v>1348</v>
      </c>
      <c r="C436" s="111">
        <v>16</v>
      </c>
      <c r="D436" s="111">
        <v>4</v>
      </c>
      <c r="E436" s="240" t="s">
        <v>1611</v>
      </c>
      <c r="F436" s="243" t="s">
        <v>533</v>
      </c>
      <c r="G436" s="117" t="s">
        <v>890</v>
      </c>
      <c r="H436" s="245" t="s">
        <v>890</v>
      </c>
      <c r="I436" s="245" t="s">
        <v>1970</v>
      </c>
      <c r="J436" s="122">
        <v>26082014</v>
      </c>
    </row>
    <row r="437" spans="1:10" ht="30" customHeight="1" x14ac:dyDescent="0.3">
      <c r="A437" s="117">
        <v>485</v>
      </c>
      <c r="B437" s="131">
        <v>1349</v>
      </c>
      <c r="C437" s="111">
        <v>16</v>
      </c>
      <c r="D437" s="111">
        <v>4</v>
      </c>
      <c r="E437" s="240" t="s">
        <v>1611</v>
      </c>
      <c r="F437" s="243" t="s">
        <v>533</v>
      </c>
      <c r="G437" s="117" t="s">
        <v>891</v>
      </c>
      <c r="H437" s="245" t="s">
        <v>891</v>
      </c>
      <c r="I437" s="245" t="s">
        <v>1970</v>
      </c>
      <c r="J437" s="122">
        <v>26082014</v>
      </c>
    </row>
    <row r="438" spans="1:10" ht="45" customHeight="1" x14ac:dyDescent="0.3">
      <c r="A438" s="117">
        <v>486</v>
      </c>
      <c r="B438" s="131">
        <v>1350</v>
      </c>
      <c r="C438" s="111">
        <v>16</v>
      </c>
      <c r="D438" s="111">
        <v>4</v>
      </c>
      <c r="E438" s="240" t="s">
        <v>1611</v>
      </c>
      <c r="F438" s="243" t="s">
        <v>533</v>
      </c>
      <c r="G438" s="117" t="s">
        <v>892</v>
      </c>
      <c r="H438" s="245" t="s">
        <v>892</v>
      </c>
      <c r="I438" s="245" t="s">
        <v>1971</v>
      </c>
      <c r="J438" s="122">
        <v>26082014</v>
      </c>
    </row>
    <row r="439" spans="1:10" ht="45" customHeight="1" x14ac:dyDescent="0.3">
      <c r="A439" s="117">
        <v>487</v>
      </c>
      <c r="B439" s="131">
        <v>1351</v>
      </c>
      <c r="C439" s="111">
        <v>1</v>
      </c>
      <c r="D439" s="111">
        <v>1</v>
      </c>
      <c r="E439" s="242" t="s">
        <v>1614</v>
      </c>
      <c r="F439" s="243" t="s">
        <v>1627</v>
      </c>
      <c r="G439" s="117" t="s">
        <v>1743</v>
      </c>
      <c r="H439" s="245" t="s">
        <v>1743</v>
      </c>
      <c r="I439" s="245" t="s">
        <v>1577</v>
      </c>
      <c r="J439" s="122">
        <v>26082014</v>
      </c>
    </row>
    <row r="440" spans="1:10" ht="60" customHeight="1" x14ac:dyDescent="0.3">
      <c r="A440" s="117">
        <v>488</v>
      </c>
      <c r="B440" s="131">
        <v>1352</v>
      </c>
      <c r="C440" s="111">
        <v>1</v>
      </c>
      <c r="D440" s="111">
        <v>1</v>
      </c>
      <c r="E440" s="242" t="s">
        <v>1614</v>
      </c>
      <c r="F440" s="243" t="s">
        <v>1627</v>
      </c>
      <c r="G440" s="117" t="s">
        <v>1742</v>
      </c>
      <c r="H440" s="245" t="s">
        <v>1742</v>
      </c>
      <c r="I440" s="245" t="s">
        <v>1972</v>
      </c>
      <c r="J440" s="122">
        <v>26082014</v>
      </c>
    </row>
    <row r="441" spans="1:10" ht="45" customHeight="1" x14ac:dyDescent="0.3">
      <c r="A441" s="117">
        <v>489</v>
      </c>
      <c r="B441" s="131">
        <v>1353</v>
      </c>
      <c r="C441" s="111">
        <v>1</v>
      </c>
      <c r="D441" s="111">
        <v>1</v>
      </c>
      <c r="E441" s="242" t="s">
        <v>1614</v>
      </c>
      <c r="F441" s="243" t="s">
        <v>1627</v>
      </c>
      <c r="G441" s="117" t="s">
        <v>1738</v>
      </c>
      <c r="H441" s="245" t="s">
        <v>1738</v>
      </c>
      <c r="I441" s="245" t="s">
        <v>1596</v>
      </c>
      <c r="J441" s="122">
        <v>26082014</v>
      </c>
    </row>
    <row r="442" spans="1:10" ht="60" customHeight="1" x14ac:dyDescent="0.3">
      <c r="A442" s="117">
        <v>490</v>
      </c>
      <c r="B442" s="131">
        <v>1354</v>
      </c>
      <c r="C442" s="111">
        <v>9</v>
      </c>
      <c r="D442" s="111">
        <v>2</v>
      </c>
      <c r="E442" s="241" t="s">
        <v>1613</v>
      </c>
      <c r="F442" s="243" t="s">
        <v>526</v>
      </c>
      <c r="G442" s="117" t="s">
        <v>1820</v>
      </c>
      <c r="H442" s="245" t="s">
        <v>1820</v>
      </c>
      <c r="I442" s="245" t="s">
        <v>1973</v>
      </c>
      <c r="J442" s="122">
        <v>26082014</v>
      </c>
    </row>
    <row r="443" spans="1:10" ht="45" customHeight="1" x14ac:dyDescent="0.3">
      <c r="A443" s="117">
        <v>491</v>
      </c>
      <c r="B443" s="131">
        <v>1355</v>
      </c>
      <c r="C443" s="111">
        <v>1</v>
      </c>
      <c r="D443" s="111">
        <v>1</v>
      </c>
      <c r="E443" s="242" t="s">
        <v>1614</v>
      </c>
      <c r="F443" s="243" t="s">
        <v>1627</v>
      </c>
      <c r="G443" s="119" t="s">
        <v>1744</v>
      </c>
      <c r="H443" s="246" t="s">
        <v>1744</v>
      </c>
      <c r="I443" s="245"/>
      <c r="J443" s="122">
        <v>26082014</v>
      </c>
    </row>
    <row r="444" spans="1:10" ht="30" customHeight="1" x14ac:dyDescent="0.3">
      <c r="A444" s="117">
        <v>492</v>
      </c>
      <c r="B444" s="131">
        <v>1356</v>
      </c>
      <c r="C444" s="111">
        <v>23</v>
      </c>
      <c r="D444" s="111">
        <v>1</v>
      </c>
      <c r="E444" s="242" t="s">
        <v>1614</v>
      </c>
      <c r="F444" s="243" t="s">
        <v>1586</v>
      </c>
      <c r="G444" s="117" t="s">
        <v>1619</v>
      </c>
      <c r="H444" s="245" t="s">
        <v>1619</v>
      </c>
      <c r="I444" s="245"/>
      <c r="J444" s="122">
        <v>18092014</v>
      </c>
    </row>
    <row r="445" spans="1:10" ht="45" customHeight="1" x14ac:dyDescent="0.3">
      <c r="A445" s="117">
        <v>493</v>
      </c>
      <c r="B445" s="131">
        <v>1357</v>
      </c>
      <c r="C445" s="111">
        <v>30</v>
      </c>
      <c r="D445" s="111">
        <v>3</v>
      </c>
      <c r="E445" s="243" t="s">
        <v>1610</v>
      </c>
      <c r="F445" s="243" t="s">
        <v>1633</v>
      </c>
      <c r="G445" s="117" t="s">
        <v>1801</v>
      </c>
      <c r="H445" s="245" t="s">
        <v>1801</v>
      </c>
      <c r="I445" s="245"/>
      <c r="J445" s="122">
        <v>27012015</v>
      </c>
    </row>
    <row r="446" spans="1:10" ht="30" customHeight="1" x14ac:dyDescent="0.3">
      <c r="A446" s="117">
        <v>494</v>
      </c>
      <c r="B446" s="131">
        <v>1358</v>
      </c>
      <c r="C446" s="111">
        <v>28</v>
      </c>
      <c r="D446" s="111">
        <v>3</v>
      </c>
      <c r="E446" s="243" t="s">
        <v>1610</v>
      </c>
      <c r="F446" s="243" t="s">
        <v>1642</v>
      </c>
      <c r="G446" s="117" t="s">
        <v>1834</v>
      </c>
      <c r="H446" s="245" t="s">
        <v>1834</v>
      </c>
      <c r="I446" s="245" t="s">
        <v>1835</v>
      </c>
      <c r="J446" s="122">
        <v>19012015</v>
      </c>
    </row>
    <row r="447" spans="1:10" ht="45" customHeight="1" x14ac:dyDescent="0.3">
      <c r="A447" s="117">
        <v>495</v>
      </c>
      <c r="B447" s="131">
        <v>1359</v>
      </c>
      <c r="C447" s="111">
        <v>54</v>
      </c>
      <c r="D447" s="111">
        <v>3</v>
      </c>
      <c r="E447" s="243" t="s">
        <v>1610</v>
      </c>
      <c r="F447" s="243" t="s">
        <v>1602</v>
      </c>
      <c r="G447" s="117" t="s">
        <v>1867</v>
      </c>
      <c r="H447" s="245" t="s">
        <v>1867</v>
      </c>
      <c r="I447" s="245"/>
      <c r="J447" s="122">
        <v>11022015</v>
      </c>
    </row>
    <row r="448" spans="1:10" ht="30" customHeight="1" x14ac:dyDescent="0.3">
      <c r="A448" s="117">
        <v>498</v>
      </c>
      <c r="B448" s="110">
        <v>1362</v>
      </c>
      <c r="C448" s="111">
        <v>2</v>
      </c>
      <c r="D448" s="111">
        <v>1</v>
      </c>
      <c r="E448" s="242" t="s">
        <v>1614</v>
      </c>
      <c r="F448" s="243" t="s">
        <v>1584</v>
      </c>
      <c r="G448" s="117" t="s">
        <v>639</v>
      </c>
      <c r="H448" s="245" t="s">
        <v>1715</v>
      </c>
      <c r="I448" s="245" t="s">
        <v>1974</v>
      </c>
      <c r="J448" s="122">
        <v>18052015</v>
      </c>
    </row>
    <row r="449" spans="1:10" ht="45" customHeight="1" x14ac:dyDescent="0.3">
      <c r="A449" s="117">
        <v>499</v>
      </c>
      <c r="B449" s="110">
        <v>1367</v>
      </c>
      <c r="C449" s="111">
        <v>49</v>
      </c>
      <c r="D449" s="111">
        <v>5</v>
      </c>
      <c r="E449" s="243" t="s">
        <v>1612</v>
      </c>
      <c r="F449" s="243" t="s">
        <v>1608</v>
      </c>
      <c r="G449" s="117" t="s">
        <v>1804</v>
      </c>
      <c r="H449" s="245" t="s">
        <v>1804</v>
      </c>
      <c r="I449" s="245"/>
      <c r="J449" s="122">
        <v>8092015</v>
      </c>
    </row>
    <row r="450" spans="1:10" ht="30" customHeight="1" x14ac:dyDescent="0.3">
      <c r="A450" s="117">
        <v>500</v>
      </c>
      <c r="B450" s="110">
        <v>1371</v>
      </c>
      <c r="C450" s="111">
        <v>10</v>
      </c>
      <c r="D450" s="111">
        <v>2</v>
      </c>
      <c r="E450" s="241" t="s">
        <v>1613</v>
      </c>
      <c r="F450" s="243" t="s">
        <v>527</v>
      </c>
      <c r="G450" s="117" t="s">
        <v>641</v>
      </c>
      <c r="H450" s="245" t="s">
        <v>1768</v>
      </c>
      <c r="I450" s="245" t="s">
        <v>1975</v>
      </c>
      <c r="J450" s="122">
        <v>18122015</v>
      </c>
    </row>
    <row r="451" spans="1:10" ht="60" customHeight="1" x14ac:dyDescent="0.3">
      <c r="A451" s="117">
        <v>501</v>
      </c>
      <c r="B451" s="110">
        <v>1375</v>
      </c>
      <c r="C451" s="111">
        <v>24</v>
      </c>
      <c r="D451" s="111">
        <v>1</v>
      </c>
      <c r="E451" s="242" t="s">
        <v>1614</v>
      </c>
      <c r="F451" s="243" t="s">
        <v>1630</v>
      </c>
      <c r="G451" s="117" t="s">
        <v>642</v>
      </c>
      <c r="H451" s="245" t="s">
        <v>642</v>
      </c>
      <c r="I451" s="245" t="s">
        <v>2111</v>
      </c>
      <c r="J451" s="122">
        <v>6012016</v>
      </c>
    </row>
    <row r="452" spans="1:10" ht="45" customHeight="1" x14ac:dyDescent="0.3">
      <c r="A452" s="117">
        <v>502</v>
      </c>
      <c r="B452" s="110">
        <v>1378</v>
      </c>
      <c r="C452" s="111">
        <v>4</v>
      </c>
      <c r="D452" s="111">
        <v>3</v>
      </c>
      <c r="E452" s="243" t="s">
        <v>1610</v>
      </c>
      <c r="F452" s="243" t="s">
        <v>1628</v>
      </c>
      <c r="G452" s="117" t="s">
        <v>807</v>
      </c>
      <c r="H452" s="245" t="s">
        <v>1762</v>
      </c>
      <c r="I452" s="245" t="s">
        <v>1923</v>
      </c>
      <c r="J452" s="122">
        <v>3022016</v>
      </c>
    </row>
    <row r="453" spans="1:10" ht="60" customHeight="1" x14ac:dyDescent="0.3">
      <c r="A453" s="117">
        <v>503</v>
      </c>
      <c r="B453" s="110">
        <v>1379</v>
      </c>
      <c r="C453" s="111">
        <v>11</v>
      </c>
      <c r="D453" s="111">
        <v>3</v>
      </c>
      <c r="E453" s="243" t="s">
        <v>1610</v>
      </c>
      <c r="F453" s="243" t="s">
        <v>1646</v>
      </c>
      <c r="G453" s="118" t="s">
        <v>644</v>
      </c>
      <c r="H453" s="246" t="s">
        <v>1889</v>
      </c>
      <c r="I453" s="245" t="s">
        <v>1890</v>
      </c>
      <c r="J453" s="122">
        <v>31032016</v>
      </c>
    </row>
    <row r="454" spans="1:10" ht="60" customHeight="1" x14ac:dyDescent="0.3">
      <c r="A454" s="117">
        <v>504</v>
      </c>
      <c r="B454" s="110">
        <v>1380</v>
      </c>
      <c r="C454" s="111">
        <v>11</v>
      </c>
      <c r="D454" s="111">
        <v>3</v>
      </c>
      <c r="E454" s="243" t="s">
        <v>1610</v>
      </c>
      <c r="F454" s="243" t="s">
        <v>1646</v>
      </c>
      <c r="G454" s="118" t="s">
        <v>651</v>
      </c>
      <c r="H454" s="246" t="s">
        <v>1889</v>
      </c>
      <c r="I454" s="245" t="s">
        <v>1890</v>
      </c>
      <c r="J454" s="122">
        <v>31032016</v>
      </c>
    </row>
    <row r="455" spans="1:10" ht="45" customHeight="1" x14ac:dyDescent="0.3">
      <c r="A455" s="117">
        <v>505</v>
      </c>
      <c r="B455" s="110">
        <v>1381</v>
      </c>
      <c r="C455" s="111">
        <v>31</v>
      </c>
      <c r="D455" s="111">
        <v>3</v>
      </c>
      <c r="E455" s="243" t="s">
        <v>1610</v>
      </c>
      <c r="F455" s="243" t="s">
        <v>1599</v>
      </c>
      <c r="G455" s="117" t="s">
        <v>645</v>
      </c>
      <c r="H455" s="245" t="s">
        <v>2112</v>
      </c>
      <c r="I455" s="245"/>
      <c r="J455" s="122">
        <v>9052016</v>
      </c>
    </row>
    <row r="456" spans="1:10" ht="30" customHeight="1" x14ac:dyDescent="0.3">
      <c r="A456" s="117">
        <v>507</v>
      </c>
      <c r="B456" s="110">
        <v>1383</v>
      </c>
      <c r="C456" s="111">
        <v>16</v>
      </c>
      <c r="D456" s="111">
        <v>4</v>
      </c>
      <c r="E456" s="240" t="s">
        <v>1611</v>
      </c>
      <c r="F456" s="243" t="s">
        <v>533</v>
      </c>
      <c r="G456" s="117" t="s">
        <v>2113</v>
      </c>
      <c r="H456" s="245" t="s">
        <v>2113</v>
      </c>
      <c r="I456" s="245" t="s">
        <v>1943</v>
      </c>
      <c r="J456" s="122">
        <v>18052016</v>
      </c>
    </row>
    <row r="457" spans="1:10" ht="30" customHeight="1" x14ac:dyDescent="0.3">
      <c r="A457" s="117">
        <v>508</v>
      </c>
      <c r="B457" s="110">
        <v>1384</v>
      </c>
      <c r="C457" s="111">
        <v>16</v>
      </c>
      <c r="D457" s="111">
        <v>4</v>
      </c>
      <c r="E457" s="240" t="s">
        <v>1611</v>
      </c>
      <c r="F457" s="243" t="s">
        <v>533</v>
      </c>
      <c r="G457" s="117" t="s">
        <v>2113</v>
      </c>
      <c r="H457" s="245" t="s">
        <v>2113</v>
      </c>
      <c r="I457" s="245" t="s">
        <v>1943</v>
      </c>
      <c r="J457" s="122">
        <v>18052016</v>
      </c>
    </row>
    <row r="458" spans="1:10" ht="30" customHeight="1" x14ac:dyDescent="0.3">
      <c r="A458" s="117">
        <v>509</v>
      </c>
      <c r="B458" s="110">
        <v>1385</v>
      </c>
      <c r="C458" s="111">
        <v>2</v>
      </c>
      <c r="D458" s="111">
        <v>1</v>
      </c>
      <c r="E458" s="242" t="s">
        <v>1614</v>
      </c>
      <c r="F458" s="243" t="s">
        <v>1584</v>
      </c>
      <c r="G458" s="118" t="s">
        <v>2100</v>
      </c>
      <c r="H458" s="243" t="s">
        <v>2100</v>
      </c>
      <c r="I458" s="245" t="s">
        <v>1880</v>
      </c>
      <c r="J458" s="122">
        <v>26052016</v>
      </c>
    </row>
    <row r="459" spans="1:10" ht="30" customHeight="1" x14ac:dyDescent="0.3">
      <c r="A459" s="117">
        <v>510</v>
      </c>
      <c r="B459" s="110">
        <v>1386</v>
      </c>
      <c r="C459" s="111">
        <v>2</v>
      </c>
      <c r="D459" s="111">
        <v>1</v>
      </c>
      <c r="E459" s="242" t="s">
        <v>1614</v>
      </c>
      <c r="F459" s="243" t="s">
        <v>1584</v>
      </c>
      <c r="G459" s="118" t="s">
        <v>2100</v>
      </c>
      <c r="H459" s="243" t="s">
        <v>2100</v>
      </c>
      <c r="I459" s="245" t="s">
        <v>1880</v>
      </c>
      <c r="J459" s="122">
        <v>26052016</v>
      </c>
    </row>
    <row r="460" spans="1:10" ht="45" customHeight="1" x14ac:dyDescent="0.3">
      <c r="A460" s="117">
        <v>511</v>
      </c>
      <c r="B460" s="110">
        <v>1387</v>
      </c>
      <c r="C460" s="111">
        <v>10</v>
      </c>
      <c r="D460" s="111">
        <v>2</v>
      </c>
      <c r="E460" s="241" t="s">
        <v>1613</v>
      </c>
      <c r="F460" s="243" t="s">
        <v>527</v>
      </c>
      <c r="G460" s="117" t="s">
        <v>1764</v>
      </c>
      <c r="H460" s="245" t="s">
        <v>1764</v>
      </c>
      <c r="I460" s="245" t="s">
        <v>1976</v>
      </c>
      <c r="J460" s="122">
        <v>21072016</v>
      </c>
    </row>
    <row r="461" spans="1:10" ht="45" customHeight="1" x14ac:dyDescent="0.3">
      <c r="A461" s="117">
        <v>512</v>
      </c>
      <c r="B461" s="110">
        <v>1388</v>
      </c>
      <c r="C461" s="111">
        <v>5</v>
      </c>
      <c r="D461" s="111">
        <v>2</v>
      </c>
      <c r="E461" s="241" t="s">
        <v>1613</v>
      </c>
      <c r="F461" s="243" t="s">
        <v>403</v>
      </c>
      <c r="G461" s="118" t="s">
        <v>649</v>
      </c>
      <c r="H461" s="243" t="s">
        <v>649</v>
      </c>
      <c r="I461" s="245" t="s">
        <v>1899</v>
      </c>
      <c r="J461" s="122">
        <v>3082016</v>
      </c>
    </row>
    <row r="462" spans="1:10" ht="45" customHeight="1" x14ac:dyDescent="0.3">
      <c r="A462" s="117">
        <v>514</v>
      </c>
      <c r="B462" s="110">
        <v>1392</v>
      </c>
      <c r="C462" s="111">
        <v>52</v>
      </c>
      <c r="D462" s="111">
        <v>3</v>
      </c>
      <c r="E462" s="243" t="s">
        <v>1610</v>
      </c>
      <c r="F462" s="243" t="s">
        <v>1644</v>
      </c>
      <c r="G462" s="117" t="s">
        <v>2114</v>
      </c>
      <c r="H462" s="245" t="s">
        <v>2114</v>
      </c>
      <c r="I462" s="245"/>
      <c r="J462" s="122">
        <v>28112016</v>
      </c>
    </row>
    <row r="463" spans="1:10" ht="45" customHeight="1" x14ac:dyDescent="0.3">
      <c r="A463" s="117">
        <v>515</v>
      </c>
      <c r="B463" s="132">
        <v>1393</v>
      </c>
      <c r="C463" s="111">
        <v>5</v>
      </c>
      <c r="D463" s="111">
        <v>2</v>
      </c>
      <c r="E463" s="241" t="s">
        <v>1613</v>
      </c>
      <c r="F463" s="243" t="s">
        <v>403</v>
      </c>
      <c r="G463" s="117" t="s">
        <v>653</v>
      </c>
      <c r="H463" s="245" t="s">
        <v>1796</v>
      </c>
      <c r="I463" s="245" t="s">
        <v>1795</v>
      </c>
      <c r="J463" s="122">
        <v>28022017</v>
      </c>
    </row>
    <row r="464" spans="1:10" ht="90" customHeight="1" x14ac:dyDescent="0.3">
      <c r="A464" s="117">
        <v>516</v>
      </c>
      <c r="B464" s="110">
        <v>1394</v>
      </c>
      <c r="C464" s="111">
        <v>8</v>
      </c>
      <c r="D464" s="111">
        <v>2</v>
      </c>
      <c r="E464" s="241" t="s">
        <v>1613</v>
      </c>
      <c r="F464" s="243" t="s">
        <v>1625</v>
      </c>
      <c r="G464" s="117" t="s">
        <v>1786</v>
      </c>
      <c r="H464" s="245" t="s">
        <v>1786</v>
      </c>
      <c r="I464" s="245" t="s">
        <v>1977</v>
      </c>
      <c r="J464" s="122">
        <v>23032017</v>
      </c>
    </row>
    <row r="465" spans="1:10" ht="30" customHeight="1" x14ac:dyDescent="0.3">
      <c r="A465" s="117">
        <v>517</v>
      </c>
      <c r="B465" s="132">
        <v>1395</v>
      </c>
      <c r="C465" s="111">
        <v>19</v>
      </c>
      <c r="D465" s="111">
        <v>1</v>
      </c>
      <c r="E465" s="242" t="s">
        <v>1614</v>
      </c>
      <c r="F465" s="243" t="s">
        <v>1585</v>
      </c>
      <c r="G465" s="119" t="s">
        <v>1668</v>
      </c>
      <c r="H465" s="246" t="s">
        <v>1668</v>
      </c>
      <c r="I465" s="245"/>
      <c r="J465" s="122">
        <v>29032017</v>
      </c>
    </row>
    <row r="466" spans="1:10" ht="90" customHeight="1" x14ac:dyDescent="0.3">
      <c r="A466" s="117">
        <v>518</v>
      </c>
      <c r="B466" s="132">
        <v>1396</v>
      </c>
      <c r="C466" s="111">
        <v>8</v>
      </c>
      <c r="D466" s="111">
        <v>2</v>
      </c>
      <c r="E466" s="241" t="s">
        <v>1613</v>
      </c>
      <c r="F466" s="243" t="s">
        <v>1625</v>
      </c>
      <c r="G466" s="117" t="s">
        <v>1786</v>
      </c>
      <c r="H466" s="245" t="s">
        <v>1786</v>
      </c>
      <c r="I466" s="245" t="s">
        <v>1787</v>
      </c>
      <c r="J466" s="122">
        <v>4042017</v>
      </c>
    </row>
    <row r="467" spans="1:10" ht="75" customHeight="1" x14ac:dyDescent="0.3">
      <c r="A467" s="117">
        <v>519</v>
      </c>
      <c r="B467" s="133">
        <v>1397</v>
      </c>
      <c r="C467" s="111">
        <v>33</v>
      </c>
      <c r="D467" s="111">
        <v>6</v>
      </c>
      <c r="E467" s="241" t="s">
        <v>1615</v>
      </c>
      <c r="F467" s="243" t="s">
        <v>1609</v>
      </c>
      <c r="G467" s="117" t="s">
        <v>1663</v>
      </c>
      <c r="H467" s="245" t="s">
        <v>1663</v>
      </c>
      <c r="I467" s="245" t="s">
        <v>1930</v>
      </c>
      <c r="J467" s="122">
        <v>3052017</v>
      </c>
    </row>
    <row r="468" spans="1:10" ht="75.75" customHeight="1" x14ac:dyDescent="0.3">
      <c r="A468" s="117">
        <v>520</v>
      </c>
      <c r="B468" s="134">
        <v>1399</v>
      </c>
      <c r="C468" s="111">
        <v>2</v>
      </c>
      <c r="D468" s="111">
        <v>1</v>
      </c>
      <c r="E468" s="242" t="s">
        <v>1614</v>
      </c>
      <c r="F468" s="243" t="s">
        <v>1584</v>
      </c>
      <c r="G468" s="117" t="s">
        <v>1904</v>
      </c>
      <c r="H468" s="245" t="s">
        <v>1904</v>
      </c>
      <c r="I468" s="245" t="s">
        <v>1905</v>
      </c>
      <c r="J468" s="122">
        <v>14062017</v>
      </c>
    </row>
    <row r="469" spans="1:10" ht="30" customHeight="1" x14ac:dyDescent="0.3">
      <c r="A469" s="117">
        <v>521</v>
      </c>
      <c r="B469" s="110">
        <v>1400</v>
      </c>
      <c r="C469" s="111">
        <v>2</v>
      </c>
      <c r="D469" s="111">
        <v>1</v>
      </c>
      <c r="E469" s="242" t="s">
        <v>1614</v>
      </c>
      <c r="F469" s="243" t="s">
        <v>1584</v>
      </c>
      <c r="G469" s="117" t="s">
        <v>1904</v>
      </c>
      <c r="H469" s="245" t="s">
        <v>1904</v>
      </c>
      <c r="I469" s="245" t="s">
        <v>1905</v>
      </c>
      <c r="J469" s="122">
        <v>14062017</v>
      </c>
    </row>
    <row r="470" spans="1:10" ht="90" customHeight="1" x14ac:dyDescent="0.3">
      <c r="A470" s="117">
        <v>522</v>
      </c>
      <c r="B470" s="135">
        <v>1401</v>
      </c>
      <c r="C470" s="111">
        <v>7</v>
      </c>
      <c r="D470" s="111">
        <v>3</v>
      </c>
      <c r="E470" s="243" t="s">
        <v>1610</v>
      </c>
      <c r="F470" s="243" t="s">
        <v>524</v>
      </c>
      <c r="G470" s="117" t="s">
        <v>2115</v>
      </c>
      <c r="H470" s="245" t="s">
        <v>2115</v>
      </c>
      <c r="I470" s="245" t="s">
        <v>1848</v>
      </c>
      <c r="J470" s="122">
        <v>19062017</v>
      </c>
    </row>
    <row r="471" spans="1:10" ht="90" customHeight="1" x14ac:dyDescent="0.3">
      <c r="A471" s="117">
        <v>523</v>
      </c>
      <c r="B471" s="136">
        <v>1402</v>
      </c>
      <c r="C471" s="111">
        <v>8</v>
      </c>
      <c r="D471" s="111">
        <v>2</v>
      </c>
      <c r="E471" s="241" t="s">
        <v>1613</v>
      </c>
      <c r="F471" s="243" t="s">
        <v>1625</v>
      </c>
      <c r="G471" s="117" t="s">
        <v>1786</v>
      </c>
      <c r="H471" s="245" t="s">
        <v>1786</v>
      </c>
      <c r="I471" s="245" t="s">
        <v>1977</v>
      </c>
      <c r="J471" s="122">
        <v>26062017</v>
      </c>
    </row>
    <row r="472" spans="1:10" ht="45" customHeight="1" x14ac:dyDescent="0.3">
      <c r="A472" s="117">
        <v>525</v>
      </c>
      <c r="B472" s="110">
        <v>1405</v>
      </c>
      <c r="C472" s="111">
        <v>1</v>
      </c>
      <c r="D472" s="111">
        <v>1</v>
      </c>
      <c r="E472" s="242" t="s">
        <v>1614</v>
      </c>
      <c r="F472" s="243" t="s">
        <v>1627</v>
      </c>
      <c r="G472" s="117" t="s">
        <v>1750</v>
      </c>
      <c r="H472" s="245" t="s">
        <v>1750</v>
      </c>
      <c r="I472" s="245" t="s">
        <v>1578</v>
      </c>
      <c r="J472" s="122">
        <v>12092017</v>
      </c>
    </row>
    <row r="473" spans="1:10" ht="45" customHeight="1" x14ac:dyDescent="0.3">
      <c r="A473" s="117">
        <v>526</v>
      </c>
      <c r="B473" s="110">
        <v>1409</v>
      </c>
      <c r="C473" s="111">
        <v>5</v>
      </c>
      <c r="D473" s="111">
        <v>2</v>
      </c>
      <c r="E473" s="241" t="s">
        <v>1613</v>
      </c>
      <c r="F473" s="243" t="s">
        <v>403</v>
      </c>
      <c r="G473" s="118" t="s">
        <v>1780</v>
      </c>
      <c r="H473" s="243" t="s">
        <v>1780</v>
      </c>
      <c r="I473" s="245" t="s">
        <v>1899</v>
      </c>
      <c r="J473" s="122">
        <v>12042018</v>
      </c>
    </row>
    <row r="474" spans="1:10" ht="45" customHeight="1" x14ac:dyDescent="0.3">
      <c r="A474" s="117">
        <v>527</v>
      </c>
      <c r="B474" s="110">
        <v>1410</v>
      </c>
      <c r="C474" s="111">
        <v>5</v>
      </c>
      <c r="D474" s="111">
        <v>2</v>
      </c>
      <c r="E474" s="241" t="s">
        <v>1613</v>
      </c>
      <c r="F474" s="243" t="s">
        <v>403</v>
      </c>
      <c r="G474" s="118" t="s">
        <v>1780</v>
      </c>
      <c r="H474" s="243" t="s">
        <v>1780</v>
      </c>
      <c r="I474" s="245" t="s">
        <v>1899</v>
      </c>
      <c r="J474" s="122">
        <v>20042018</v>
      </c>
    </row>
    <row r="475" spans="1:10" ht="30" customHeight="1" x14ac:dyDescent="0.3">
      <c r="A475" s="117">
        <v>528</v>
      </c>
      <c r="B475" s="132">
        <v>1414</v>
      </c>
      <c r="C475" s="111">
        <v>2</v>
      </c>
      <c r="D475" s="111">
        <v>1</v>
      </c>
      <c r="E475" s="242" t="s">
        <v>1614</v>
      </c>
      <c r="F475" s="243" t="s">
        <v>1584</v>
      </c>
      <c r="G475" s="117" t="s">
        <v>1904</v>
      </c>
      <c r="H475" s="245" t="s">
        <v>1904</v>
      </c>
      <c r="I475" s="245" t="s">
        <v>1905</v>
      </c>
      <c r="J475" s="126">
        <v>43269</v>
      </c>
    </row>
    <row r="476" spans="1:10" ht="30" customHeight="1" x14ac:dyDescent="0.3">
      <c r="A476" s="117">
        <v>529</v>
      </c>
      <c r="B476" s="132">
        <v>1418</v>
      </c>
      <c r="C476" s="111">
        <v>23</v>
      </c>
      <c r="D476" s="111">
        <v>1</v>
      </c>
      <c r="E476" s="242" t="s">
        <v>1614</v>
      </c>
      <c r="F476" s="243" t="s">
        <v>1586</v>
      </c>
      <c r="G476" s="117" t="s">
        <v>1620</v>
      </c>
      <c r="H476" s="245" t="s">
        <v>1620</v>
      </c>
      <c r="I476" s="245"/>
      <c r="J476" s="111"/>
    </row>
    <row r="477" spans="1:10" ht="30" customHeight="1" x14ac:dyDescent="0.3">
      <c r="A477" s="117">
        <v>530</v>
      </c>
      <c r="B477" s="138">
        <v>1421</v>
      </c>
      <c r="C477" s="111">
        <v>19</v>
      </c>
      <c r="D477" s="111">
        <v>1</v>
      </c>
      <c r="E477" s="242" t="s">
        <v>1614</v>
      </c>
      <c r="F477" s="243" t="s">
        <v>1585</v>
      </c>
      <c r="G477" s="117" t="s">
        <v>1667</v>
      </c>
      <c r="H477" s="245" t="s">
        <v>1667</v>
      </c>
      <c r="I477" s="245"/>
      <c r="J477" s="120">
        <v>43346</v>
      </c>
    </row>
    <row r="478" spans="1:10" ht="45" customHeight="1" x14ac:dyDescent="0.3">
      <c r="A478" s="117">
        <v>531</v>
      </c>
      <c r="B478" s="110">
        <v>1466</v>
      </c>
      <c r="C478" s="111">
        <v>20</v>
      </c>
      <c r="D478" s="111">
        <v>1</v>
      </c>
      <c r="E478" s="242" t="s">
        <v>1614</v>
      </c>
      <c r="F478" s="243" t="s">
        <v>537</v>
      </c>
      <c r="G478" s="117" t="s">
        <v>1842</v>
      </c>
      <c r="H478" s="245" t="s">
        <v>1842</v>
      </c>
      <c r="I478" s="245" t="s">
        <v>1843</v>
      </c>
      <c r="J478" s="120">
        <v>43427</v>
      </c>
    </row>
    <row r="479" spans="1:10" ht="75" customHeight="1" x14ac:dyDescent="0.3">
      <c r="A479" s="117">
        <v>532</v>
      </c>
      <c r="B479" s="110">
        <v>1479</v>
      </c>
      <c r="C479" s="111">
        <v>33</v>
      </c>
      <c r="D479" s="111">
        <v>6</v>
      </c>
      <c r="E479" s="241" t="s">
        <v>1615</v>
      </c>
      <c r="F479" s="243" t="s">
        <v>1609</v>
      </c>
      <c r="G479" s="117" t="s">
        <v>1978</v>
      </c>
      <c r="H479" s="245" t="s">
        <v>1978</v>
      </c>
      <c r="I479" s="245" t="s">
        <v>1979</v>
      </c>
      <c r="J479" s="120">
        <v>43446</v>
      </c>
    </row>
    <row r="480" spans="1:10" ht="75" customHeight="1" x14ac:dyDescent="0.3">
      <c r="A480" s="117">
        <v>533</v>
      </c>
      <c r="B480" s="110">
        <v>1480</v>
      </c>
      <c r="C480" s="111">
        <v>33</v>
      </c>
      <c r="D480" s="111">
        <v>6</v>
      </c>
      <c r="E480" s="241" t="s">
        <v>1615</v>
      </c>
      <c r="F480" s="243" t="s">
        <v>1609</v>
      </c>
      <c r="G480" s="117" t="s">
        <v>667</v>
      </c>
      <c r="H480" s="245" t="s">
        <v>667</v>
      </c>
      <c r="I480" s="245" t="s">
        <v>2116</v>
      </c>
      <c r="J480" s="120">
        <v>43446</v>
      </c>
    </row>
    <row r="481" spans="1:10" ht="30" customHeight="1" x14ac:dyDescent="0.3">
      <c r="A481" s="117">
        <v>534</v>
      </c>
      <c r="B481" s="110">
        <v>1481</v>
      </c>
      <c r="C481" s="111">
        <v>28</v>
      </c>
      <c r="D481" s="111">
        <v>3</v>
      </c>
      <c r="E481" s="243" t="s">
        <v>1610</v>
      </c>
      <c r="F481" s="243" t="s">
        <v>1642</v>
      </c>
      <c r="G481" s="117" t="s">
        <v>1840</v>
      </c>
      <c r="H481" s="245" t="s">
        <v>2117</v>
      </c>
      <c r="I481" s="245" t="s">
        <v>1835</v>
      </c>
      <c r="J481" s="120">
        <v>43445</v>
      </c>
    </row>
    <row r="482" spans="1:10" ht="75" customHeight="1" x14ac:dyDescent="0.3">
      <c r="A482" s="117">
        <v>536</v>
      </c>
      <c r="B482" s="131">
        <v>1499</v>
      </c>
      <c r="C482" s="111">
        <v>55</v>
      </c>
      <c r="D482" s="111">
        <v>6</v>
      </c>
      <c r="E482" s="241" t="s">
        <v>1615</v>
      </c>
      <c r="F482" s="250" t="s">
        <v>1638</v>
      </c>
      <c r="G482" s="119" t="s">
        <v>1811</v>
      </c>
      <c r="H482" s="246" t="s">
        <v>1811</v>
      </c>
      <c r="I482" s="245"/>
      <c r="J482" s="122"/>
    </row>
    <row r="483" spans="1:10" ht="45" customHeight="1" x14ac:dyDescent="0.3">
      <c r="A483" s="117">
        <v>537</v>
      </c>
      <c r="B483" s="110">
        <v>1514</v>
      </c>
      <c r="C483" s="111">
        <v>42</v>
      </c>
      <c r="D483" s="111">
        <v>2</v>
      </c>
      <c r="E483" s="241" t="s">
        <v>1613</v>
      </c>
      <c r="F483" s="243" t="s">
        <v>1647</v>
      </c>
      <c r="G483" s="117" t="s">
        <v>1891</v>
      </c>
      <c r="H483" s="245" t="s">
        <v>1891</v>
      </c>
      <c r="I483" s="245" t="s">
        <v>1896</v>
      </c>
      <c r="J483" s="120">
        <v>43762</v>
      </c>
    </row>
    <row r="484" spans="1:10" ht="63.75" customHeight="1" x14ac:dyDescent="0.3">
      <c r="A484" s="117">
        <v>538</v>
      </c>
      <c r="B484" s="110">
        <v>1515</v>
      </c>
      <c r="C484" s="111">
        <v>42</v>
      </c>
      <c r="D484" s="111">
        <v>2</v>
      </c>
      <c r="E484" s="241" t="s">
        <v>1613</v>
      </c>
      <c r="F484" s="243" t="s">
        <v>1647</v>
      </c>
      <c r="G484" s="117" t="s">
        <v>1891</v>
      </c>
      <c r="H484" s="245" t="s">
        <v>1891</v>
      </c>
      <c r="I484" s="245" t="s">
        <v>1897</v>
      </c>
      <c r="J484" s="120">
        <v>43762</v>
      </c>
    </row>
    <row r="485" spans="1:10" ht="60" customHeight="1" x14ac:dyDescent="0.3">
      <c r="A485" s="117">
        <v>539</v>
      </c>
      <c r="B485" s="132">
        <v>1516</v>
      </c>
      <c r="C485" s="111">
        <v>9</v>
      </c>
      <c r="D485" s="111">
        <v>2</v>
      </c>
      <c r="E485" s="241" t="s">
        <v>1613</v>
      </c>
      <c r="F485" s="243" t="s">
        <v>526</v>
      </c>
      <c r="G485" s="117" t="s">
        <v>673</v>
      </c>
      <c r="H485" s="245" t="s">
        <v>1828</v>
      </c>
      <c r="I485" s="245" t="s">
        <v>1830</v>
      </c>
      <c r="J485" s="120">
        <v>43690</v>
      </c>
    </row>
    <row r="486" spans="1:10" ht="60" customHeight="1" x14ac:dyDescent="0.3">
      <c r="A486" s="117">
        <v>540</v>
      </c>
      <c r="B486" s="110">
        <v>1520</v>
      </c>
      <c r="C486" s="111">
        <v>9</v>
      </c>
      <c r="D486" s="111">
        <v>2</v>
      </c>
      <c r="E486" s="241" t="s">
        <v>1613</v>
      </c>
      <c r="F486" s="243" t="s">
        <v>526</v>
      </c>
      <c r="G486" s="117" t="s">
        <v>673</v>
      </c>
      <c r="H486" s="245" t="s">
        <v>1828</v>
      </c>
      <c r="I486" s="245" t="s">
        <v>1830</v>
      </c>
      <c r="J486" s="120">
        <v>43745</v>
      </c>
    </row>
    <row r="487" spans="1:10" ht="30" customHeight="1" x14ac:dyDescent="0.3">
      <c r="A487" s="117">
        <v>541</v>
      </c>
      <c r="B487" s="110">
        <v>1547</v>
      </c>
      <c r="C487" s="111">
        <v>11</v>
      </c>
      <c r="D487" s="111">
        <v>3</v>
      </c>
      <c r="E487" s="243" t="s">
        <v>1610</v>
      </c>
      <c r="F487" s="243" t="s">
        <v>1646</v>
      </c>
      <c r="G487" s="118" t="s">
        <v>674</v>
      </c>
      <c r="H487" s="245" t="s">
        <v>1893</v>
      </c>
      <c r="I487" s="245" t="s">
        <v>1892</v>
      </c>
      <c r="J487" s="120">
        <v>43908</v>
      </c>
    </row>
    <row r="488" spans="1:10" ht="45" customHeight="1" x14ac:dyDescent="0.3">
      <c r="A488" s="117">
        <v>542</v>
      </c>
      <c r="B488" s="110">
        <v>1548</v>
      </c>
      <c r="C488" s="111">
        <v>7</v>
      </c>
      <c r="D488" s="111">
        <v>3</v>
      </c>
      <c r="E488" s="243" t="s">
        <v>1610</v>
      </c>
      <c r="F488" s="243" t="s">
        <v>524</v>
      </c>
      <c r="G488" s="117" t="s">
        <v>675</v>
      </c>
      <c r="H488" s="245" t="s">
        <v>1653</v>
      </c>
      <c r="I488" s="245" t="s">
        <v>2118</v>
      </c>
      <c r="J488" s="120">
        <v>43908</v>
      </c>
    </row>
    <row r="489" spans="1:10" ht="59.25" customHeight="1" x14ac:dyDescent="0.3">
      <c r="A489" s="117">
        <v>543</v>
      </c>
      <c r="B489" s="110">
        <v>1549</v>
      </c>
      <c r="C489" s="111">
        <v>42</v>
      </c>
      <c r="D489" s="111">
        <v>2</v>
      </c>
      <c r="E489" s="241" t="s">
        <v>1613</v>
      </c>
      <c r="F489" s="243" t="s">
        <v>1647</v>
      </c>
      <c r="G489" s="117" t="s">
        <v>1891</v>
      </c>
      <c r="H489" s="245" t="s">
        <v>1891</v>
      </c>
      <c r="I489" s="245" t="s">
        <v>1897</v>
      </c>
      <c r="J489" s="120">
        <v>43875</v>
      </c>
    </row>
    <row r="490" spans="1:10" ht="45" customHeight="1" x14ac:dyDescent="0.3">
      <c r="A490" s="117">
        <v>544</v>
      </c>
      <c r="B490" s="110">
        <v>1550</v>
      </c>
      <c r="C490" s="111">
        <v>42</v>
      </c>
      <c r="D490" s="111">
        <v>2</v>
      </c>
      <c r="E490" s="241" t="s">
        <v>1613</v>
      </c>
      <c r="F490" s="243" t="s">
        <v>1647</v>
      </c>
      <c r="G490" s="117" t="s">
        <v>1891</v>
      </c>
      <c r="H490" s="245" t="s">
        <v>1891</v>
      </c>
      <c r="I490" s="245" t="s">
        <v>1897</v>
      </c>
      <c r="J490" s="120">
        <v>43875</v>
      </c>
    </row>
    <row r="491" spans="1:10" ht="45" customHeight="1" x14ac:dyDescent="0.3">
      <c r="A491" s="117">
        <v>545</v>
      </c>
      <c r="B491" s="110">
        <v>1551</v>
      </c>
      <c r="C491" s="111">
        <v>42</v>
      </c>
      <c r="D491" s="111">
        <v>2</v>
      </c>
      <c r="E491" s="241" t="s">
        <v>1613</v>
      </c>
      <c r="F491" s="243" t="s">
        <v>1647</v>
      </c>
      <c r="G491" s="117" t="s">
        <v>1891</v>
      </c>
      <c r="H491" s="245" t="s">
        <v>1891</v>
      </c>
      <c r="I491" s="245" t="s">
        <v>1897</v>
      </c>
      <c r="J491" s="120">
        <v>43875</v>
      </c>
    </row>
    <row r="492" spans="1:10" ht="45" customHeight="1" x14ac:dyDescent="0.3">
      <c r="A492" s="117">
        <v>546</v>
      </c>
      <c r="B492" s="110">
        <v>1552</v>
      </c>
      <c r="C492" s="111">
        <v>42</v>
      </c>
      <c r="D492" s="111">
        <v>2</v>
      </c>
      <c r="E492" s="241" t="s">
        <v>1613</v>
      </c>
      <c r="F492" s="243" t="s">
        <v>1647</v>
      </c>
      <c r="G492" s="117" t="s">
        <v>1891</v>
      </c>
      <c r="H492" s="245" t="s">
        <v>1891</v>
      </c>
      <c r="I492" s="245" t="s">
        <v>1897</v>
      </c>
      <c r="J492" s="120">
        <v>43875</v>
      </c>
    </row>
    <row r="493" spans="1:10" ht="45" customHeight="1" x14ac:dyDescent="0.3">
      <c r="A493" s="117">
        <v>547</v>
      </c>
      <c r="B493" s="110">
        <v>1553</v>
      </c>
      <c r="C493" s="111">
        <v>42</v>
      </c>
      <c r="D493" s="111">
        <v>2</v>
      </c>
      <c r="E493" s="241" t="s">
        <v>1613</v>
      </c>
      <c r="F493" s="243" t="s">
        <v>1647</v>
      </c>
      <c r="G493" s="117" t="s">
        <v>1891</v>
      </c>
      <c r="H493" s="245" t="s">
        <v>1891</v>
      </c>
      <c r="I493" s="245" t="s">
        <v>1897</v>
      </c>
      <c r="J493" s="120">
        <v>43875</v>
      </c>
    </row>
    <row r="494" spans="1:10" ht="45" customHeight="1" x14ac:dyDescent="0.3">
      <c r="A494" s="117">
        <v>548</v>
      </c>
      <c r="B494" s="110">
        <v>1554</v>
      </c>
      <c r="C494" s="111">
        <v>42</v>
      </c>
      <c r="D494" s="111">
        <v>2</v>
      </c>
      <c r="E494" s="241" t="s">
        <v>1613</v>
      </c>
      <c r="F494" s="243" t="s">
        <v>1647</v>
      </c>
      <c r="G494" s="117" t="s">
        <v>1891</v>
      </c>
      <c r="H494" s="245" t="s">
        <v>1891</v>
      </c>
      <c r="I494" s="245" t="s">
        <v>1897</v>
      </c>
      <c r="J494" s="120">
        <v>43875</v>
      </c>
    </row>
    <row r="495" spans="1:10" ht="45.75" customHeight="1" x14ac:dyDescent="0.3">
      <c r="A495" s="117">
        <v>549</v>
      </c>
      <c r="B495" s="110">
        <v>1555</v>
      </c>
      <c r="C495" s="111">
        <v>42</v>
      </c>
      <c r="D495" s="111">
        <v>2</v>
      </c>
      <c r="E495" s="241" t="s">
        <v>1613</v>
      </c>
      <c r="F495" s="243" t="s">
        <v>1647</v>
      </c>
      <c r="G495" s="118" t="s">
        <v>2119</v>
      </c>
      <c r="H495" s="245" t="s">
        <v>1891</v>
      </c>
      <c r="I495" s="245" t="s">
        <v>1897</v>
      </c>
      <c r="J495" s="120">
        <v>43875</v>
      </c>
    </row>
    <row r="496" spans="1:10" ht="40.5" customHeight="1" x14ac:dyDescent="0.3">
      <c r="A496" s="117">
        <v>550</v>
      </c>
      <c r="B496" s="110">
        <v>1567</v>
      </c>
      <c r="C496" s="111">
        <v>10</v>
      </c>
      <c r="D496" s="111">
        <v>2</v>
      </c>
      <c r="E496" s="241" t="s">
        <v>1613</v>
      </c>
      <c r="F496" s="243" t="s">
        <v>527</v>
      </c>
      <c r="G496" s="117" t="s">
        <v>641</v>
      </c>
      <c r="H496" s="251" t="s">
        <v>1768</v>
      </c>
      <c r="I496" s="245" t="s">
        <v>2120</v>
      </c>
      <c r="J496" s="120">
        <v>44105</v>
      </c>
    </row>
    <row r="497" spans="1:10" ht="90" customHeight="1" x14ac:dyDescent="0.3">
      <c r="A497" s="117">
        <v>551</v>
      </c>
      <c r="B497" s="110">
        <v>1570</v>
      </c>
      <c r="C497" s="111">
        <v>7</v>
      </c>
      <c r="D497" s="111">
        <v>3</v>
      </c>
      <c r="E497" s="243" t="s">
        <v>1610</v>
      </c>
      <c r="F497" s="243" t="s">
        <v>524</v>
      </c>
      <c r="G497" s="117" t="s">
        <v>2121</v>
      </c>
      <c r="H497" s="251" t="s">
        <v>2121</v>
      </c>
      <c r="I497" s="245" t="s">
        <v>1848</v>
      </c>
      <c r="J497" s="120">
        <v>44228</v>
      </c>
    </row>
    <row r="498" spans="1:10" ht="90" customHeight="1" x14ac:dyDescent="0.3">
      <c r="A498" s="117">
        <v>552</v>
      </c>
      <c r="B498" s="110">
        <v>1571</v>
      </c>
      <c r="C498" s="111">
        <v>7</v>
      </c>
      <c r="D498" s="111">
        <v>3</v>
      </c>
      <c r="E498" s="243" t="s">
        <v>1610</v>
      </c>
      <c r="F498" s="243" t="s">
        <v>524</v>
      </c>
      <c r="G498" s="117" t="s">
        <v>2122</v>
      </c>
      <c r="H498" s="251" t="s">
        <v>2122</v>
      </c>
      <c r="I498" s="245" t="s">
        <v>1848</v>
      </c>
      <c r="J498" s="120">
        <v>44228</v>
      </c>
    </row>
    <row r="499" spans="1:10" ht="90" customHeight="1" x14ac:dyDescent="0.3">
      <c r="A499" s="117">
        <v>553</v>
      </c>
      <c r="B499" s="110">
        <v>1572</v>
      </c>
      <c r="C499" s="111">
        <v>7</v>
      </c>
      <c r="D499" s="111">
        <v>3</v>
      </c>
      <c r="E499" s="243" t="s">
        <v>1610</v>
      </c>
      <c r="F499" s="243" t="s">
        <v>524</v>
      </c>
      <c r="G499" s="117" t="s">
        <v>2123</v>
      </c>
      <c r="H499" s="251" t="s">
        <v>2123</v>
      </c>
      <c r="I499" s="245" t="s">
        <v>1850</v>
      </c>
      <c r="J499" s="120">
        <v>44228</v>
      </c>
    </row>
    <row r="500" spans="1:10" ht="45" customHeight="1" x14ac:dyDescent="0.3">
      <c r="A500" s="117">
        <v>554</v>
      </c>
      <c r="B500" s="110">
        <v>1573</v>
      </c>
      <c r="C500" s="111">
        <v>2</v>
      </c>
      <c r="D500" s="111">
        <v>1</v>
      </c>
      <c r="E500" s="242" t="s">
        <v>1614</v>
      </c>
      <c r="F500" s="243" t="s">
        <v>1584</v>
      </c>
      <c r="G500" s="117" t="s">
        <v>1722</v>
      </c>
      <c r="H500" s="245" t="s">
        <v>1722</v>
      </c>
      <c r="I500" s="245" t="s">
        <v>1913</v>
      </c>
      <c r="J500" s="120">
        <v>44232</v>
      </c>
    </row>
    <row r="501" spans="1:10" ht="30" customHeight="1" x14ac:dyDescent="0.3">
      <c r="A501" s="117">
        <v>555</v>
      </c>
      <c r="B501" s="110">
        <v>1575</v>
      </c>
      <c r="C501" s="111">
        <v>2</v>
      </c>
      <c r="D501" s="111">
        <v>1</v>
      </c>
      <c r="E501" s="242" t="s">
        <v>1614</v>
      </c>
      <c r="F501" s="243" t="s">
        <v>1584</v>
      </c>
      <c r="G501" s="117" t="s">
        <v>1714</v>
      </c>
      <c r="H501" s="245" t="s">
        <v>1714</v>
      </c>
      <c r="I501" s="245" t="s">
        <v>1902</v>
      </c>
      <c r="J501" s="120">
        <v>44314</v>
      </c>
    </row>
    <row r="502" spans="1:10" ht="30" customHeight="1" x14ac:dyDescent="0.3">
      <c r="A502" s="117">
        <v>556</v>
      </c>
      <c r="B502" s="110">
        <v>1576</v>
      </c>
      <c r="C502" s="111">
        <v>2</v>
      </c>
      <c r="D502" s="111">
        <v>1</v>
      </c>
      <c r="E502" s="242" t="s">
        <v>1614</v>
      </c>
      <c r="F502" s="243" t="s">
        <v>1584</v>
      </c>
      <c r="G502" s="117" t="s">
        <v>1714</v>
      </c>
      <c r="H502" s="245" t="s">
        <v>1714</v>
      </c>
      <c r="I502" s="245" t="s">
        <v>1902</v>
      </c>
      <c r="J502" s="120">
        <v>44314</v>
      </c>
    </row>
    <row r="503" spans="1:10" ht="30" customHeight="1" x14ac:dyDescent="0.3">
      <c r="A503" s="117">
        <v>557</v>
      </c>
      <c r="B503" s="110">
        <v>1577</v>
      </c>
      <c r="C503" s="111">
        <v>2</v>
      </c>
      <c r="D503" s="111">
        <v>1</v>
      </c>
      <c r="E503" s="242" t="s">
        <v>1614</v>
      </c>
      <c r="F503" s="243" t="s">
        <v>1584</v>
      </c>
      <c r="G503" s="117" t="s">
        <v>1714</v>
      </c>
      <c r="H503" s="245" t="s">
        <v>1714</v>
      </c>
      <c r="I503" s="245" t="s">
        <v>1902</v>
      </c>
      <c r="J503" s="120">
        <v>44314</v>
      </c>
    </row>
    <row r="504" spans="1:10" ht="30" customHeight="1" x14ac:dyDescent="0.3">
      <c r="A504" s="117">
        <v>558</v>
      </c>
      <c r="B504" s="110">
        <v>1578</v>
      </c>
      <c r="C504" s="111">
        <v>2</v>
      </c>
      <c r="D504" s="111">
        <v>1</v>
      </c>
      <c r="E504" s="242" t="s">
        <v>1614</v>
      </c>
      <c r="F504" s="243" t="s">
        <v>1584</v>
      </c>
      <c r="G504" s="117" t="s">
        <v>1714</v>
      </c>
      <c r="H504" s="245" t="s">
        <v>1714</v>
      </c>
      <c r="I504" s="245" t="s">
        <v>1902</v>
      </c>
      <c r="J504" s="120">
        <v>44314</v>
      </c>
    </row>
    <row r="505" spans="1:10" ht="30" customHeight="1" x14ac:dyDescent="0.3">
      <c r="A505" s="117">
        <v>559</v>
      </c>
      <c r="B505" s="110">
        <v>1579</v>
      </c>
      <c r="C505" s="111">
        <v>2</v>
      </c>
      <c r="D505" s="111">
        <v>1</v>
      </c>
      <c r="E505" s="242" t="s">
        <v>1614</v>
      </c>
      <c r="F505" s="243" t="s">
        <v>1584</v>
      </c>
      <c r="G505" s="117" t="s">
        <v>1714</v>
      </c>
      <c r="H505" s="245" t="s">
        <v>1714</v>
      </c>
      <c r="I505" s="245" t="s">
        <v>1902</v>
      </c>
      <c r="J505" s="120">
        <v>44314</v>
      </c>
    </row>
    <row r="506" spans="1:10" ht="30" customHeight="1" x14ac:dyDescent="0.3">
      <c r="A506" s="117">
        <v>560</v>
      </c>
      <c r="B506" s="110">
        <v>1580</v>
      </c>
      <c r="C506" s="111">
        <v>2</v>
      </c>
      <c r="D506" s="111">
        <v>1</v>
      </c>
      <c r="E506" s="242" t="s">
        <v>1614</v>
      </c>
      <c r="F506" s="243" t="s">
        <v>1584</v>
      </c>
      <c r="G506" s="117" t="s">
        <v>1714</v>
      </c>
      <c r="H506" s="245" t="s">
        <v>1714</v>
      </c>
      <c r="I506" s="245" t="s">
        <v>1902</v>
      </c>
      <c r="J506" s="120">
        <v>44314</v>
      </c>
    </row>
    <row r="507" spans="1:10" ht="30" customHeight="1" x14ac:dyDescent="0.3">
      <c r="A507" s="117">
        <v>561</v>
      </c>
      <c r="B507" s="110">
        <v>1581</v>
      </c>
      <c r="C507" s="111">
        <v>2</v>
      </c>
      <c r="D507" s="111">
        <v>1</v>
      </c>
      <c r="E507" s="242" t="s">
        <v>1614</v>
      </c>
      <c r="F507" s="243" t="s">
        <v>1584</v>
      </c>
      <c r="G507" s="117" t="s">
        <v>1714</v>
      </c>
      <c r="H507" s="245" t="s">
        <v>1714</v>
      </c>
      <c r="I507" s="245" t="s">
        <v>1902</v>
      </c>
      <c r="J507" s="120">
        <v>44314</v>
      </c>
    </row>
    <row r="508" spans="1:10" ht="30" customHeight="1" x14ac:dyDescent="0.3">
      <c r="A508" s="117">
        <v>562</v>
      </c>
      <c r="B508" s="110">
        <v>1582</v>
      </c>
      <c r="C508" s="111">
        <v>2</v>
      </c>
      <c r="D508" s="111">
        <v>1</v>
      </c>
      <c r="E508" s="242" t="s">
        <v>1614</v>
      </c>
      <c r="F508" s="243" t="s">
        <v>1584</v>
      </c>
      <c r="G508" s="117" t="s">
        <v>1714</v>
      </c>
      <c r="H508" s="245" t="s">
        <v>1714</v>
      </c>
      <c r="I508" s="245" t="s">
        <v>1902</v>
      </c>
      <c r="J508" s="120">
        <v>44314</v>
      </c>
    </row>
    <row r="509" spans="1:10" ht="30" customHeight="1" x14ac:dyDescent="0.3">
      <c r="A509" s="117">
        <v>563</v>
      </c>
      <c r="B509" s="110">
        <v>1583</v>
      </c>
      <c r="C509" s="111">
        <v>2</v>
      </c>
      <c r="D509" s="111">
        <v>1</v>
      </c>
      <c r="E509" s="242" t="s">
        <v>1614</v>
      </c>
      <c r="F509" s="243" t="s">
        <v>1584</v>
      </c>
      <c r="G509" s="117" t="s">
        <v>1714</v>
      </c>
      <c r="H509" s="245" t="s">
        <v>1714</v>
      </c>
      <c r="I509" s="245" t="s">
        <v>1902</v>
      </c>
      <c r="J509" s="120">
        <v>44292</v>
      </c>
    </row>
    <row r="510" spans="1:10" ht="45" customHeight="1" x14ac:dyDescent="0.3">
      <c r="A510" s="117">
        <v>564</v>
      </c>
      <c r="B510" s="110">
        <v>1584</v>
      </c>
      <c r="C510" s="111">
        <v>2</v>
      </c>
      <c r="D510" s="111">
        <v>1</v>
      </c>
      <c r="E510" s="242" t="s">
        <v>1614</v>
      </c>
      <c r="F510" s="243" t="s">
        <v>1584</v>
      </c>
      <c r="G510" s="117" t="s">
        <v>1714</v>
      </c>
      <c r="H510" s="245" t="s">
        <v>1714</v>
      </c>
      <c r="I510" s="245" t="s">
        <v>1906</v>
      </c>
      <c r="J510" s="120">
        <v>44292</v>
      </c>
    </row>
    <row r="511" spans="1:10" ht="55.5" customHeight="1" x14ac:dyDescent="0.3">
      <c r="A511" s="117">
        <v>565</v>
      </c>
      <c r="B511" s="110">
        <v>1586</v>
      </c>
      <c r="C511" s="111">
        <v>11</v>
      </c>
      <c r="D511" s="111">
        <v>3</v>
      </c>
      <c r="E511" s="243" t="s">
        <v>1610</v>
      </c>
      <c r="F511" s="243" t="s">
        <v>1646</v>
      </c>
      <c r="G511" s="119" t="s">
        <v>680</v>
      </c>
      <c r="H511" s="246" t="s">
        <v>1894</v>
      </c>
      <c r="I511" s="245" t="s">
        <v>1898</v>
      </c>
      <c r="J511" s="120">
        <v>44448</v>
      </c>
    </row>
    <row r="512" spans="1:10" ht="45" customHeight="1" x14ac:dyDescent="0.3">
      <c r="A512" s="117">
        <v>566</v>
      </c>
      <c r="B512" s="110">
        <v>1587</v>
      </c>
      <c r="C512" s="111">
        <v>11</v>
      </c>
      <c r="D512" s="111">
        <v>3</v>
      </c>
      <c r="E512" s="243" t="s">
        <v>1610</v>
      </c>
      <c r="F512" s="243" t="s">
        <v>1646</v>
      </c>
      <c r="G512" s="119" t="s">
        <v>680</v>
      </c>
      <c r="H512" s="246" t="s">
        <v>1894</v>
      </c>
      <c r="I512" s="245" t="s">
        <v>1898</v>
      </c>
      <c r="J512" s="120">
        <v>44448</v>
      </c>
    </row>
    <row r="513" spans="1:10" ht="45" customHeight="1" x14ac:dyDescent="0.3">
      <c r="A513" s="117">
        <v>567</v>
      </c>
      <c r="B513" s="110">
        <v>1588</v>
      </c>
      <c r="C513" s="111">
        <v>42</v>
      </c>
      <c r="D513" s="111">
        <v>2</v>
      </c>
      <c r="E513" s="241" t="s">
        <v>1613</v>
      </c>
      <c r="F513" s="243" t="s">
        <v>1647</v>
      </c>
      <c r="G513" s="118" t="s">
        <v>2124</v>
      </c>
      <c r="H513" s="243" t="s">
        <v>2124</v>
      </c>
      <c r="I513" s="245" t="s">
        <v>1980</v>
      </c>
      <c r="J513" s="128">
        <v>44456</v>
      </c>
    </row>
    <row r="514" spans="1:10" ht="45" customHeight="1" x14ac:dyDescent="0.3">
      <c r="A514" s="117">
        <v>568</v>
      </c>
      <c r="B514" s="110">
        <v>1589</v>
      </c>
      <c r="C514" s="111">
        <v>42</v>
      </c>
      <c r="D514" s="111">
        <v>2</v>
      </c>
      <c r="E514" s="241" t="s">
        <v>1613</v>
      </c>
      <c r="F514" s="243" t="s">
        <v>1647</v>
      </c>
      <c r="G514" s="118" t="s">
        <v>2124</v>
      </c>
      <c r="H514" s="243" t="s">
        <v>2124</v>
      </c>
      <c r="I514" s="245" t="s">
        <v>1980</v>
      </c>
      <c r="J514" s="128">
        <v>44456</v>
      </c>
    </row>
    <row r="515" spans="1:10" ht="45" customHeight="1" x14ac:dyDescent="0.3">
      <c r="A515" s="117">
        <v>569</v>
      </c>
      <c r="B515" s="110">
        <v>1590</v>
      </c>
      <c r="C515" s="111">
        <v>42</v>
      </c>
      <c r="D515" s="111">
        <v>2</v>
      </c>
      <c r="E515" s="241" t="s">
        <v>1613</v>
      </c>
      <c r="F515" s="243" t="s">
        <v>1647</v>
      </c>
      <c r="G515" s="118" t="s">
        <v>2124</v>
      </c>
      <c r="H515" s="243" t="s">
        <v>2124</v>
      </c>
      <c r="I515" s="245" t="s">
        <v>1980</v>
      </c>
      <c r="J515" s="128">
        <v>44456</v>
      </c>
    </row>
    <row r="516" spans="1:10" ht="60" customHeight="1" x14ac:dyDescent="0.3">
      <c r="A516" s="117">
        <v>570</v>
      </c>
      <c r="B516" s="110">
        <v>1591</v>
      </c>
      <c r="C516" s="111">
        <v>26</v>
      </c>
      <c r="D516" s="111">
        <v>5</v>
      </c>
      <c r="E516" s="243" t="s">
        <v>1612</v>
      </c>
      <c r="F516" s="243" t="s">
        <v>1635</v>
      </c>
      <c r="G516" s="117" t="s">
        <v>1790</v>
      </c>
      <c r="H516" s="245" t="s">
        <v>1790</v>
      </c>
      <c r="I516" s="245" t="s">
        <v>1791</v>
      </c>
      <c r="J516" s="120">
        <v>44468</v>
      </c>
    </row>
    <row r="517" spans="1:10" ht="45" customHeight="1" x14ac:dyDescent="0.3">
      <c r="A517" s="117">
        <v>571</v>
      </c>
      <c r="B517" s="110">
        <v>1594</v>
      </c>
      <c r="C517" s="111">
        <v>42</v>
      </c>
      <c r="D517" s="111">
        <v>2</v>
      </c>
      <c r="E517" s="241" t="s">
        <v>1613</v>
      </c>
      <c r="F517" s="243" t="s">
        <v>1647</v>
      </c>
      <c r="G517" s="118" t="s">
        <v>683</v>
      </c>
      <c r="H517" s="243" t="s">
        <v>2124</v>
      </c>
      <c r="I517" s="245" t="s">
        <v>1980</v>
      </c>
      <c r="J517" s="120">
        <v>44526</v>
      </c>
    </row>
    <row r="518" spans="1:10" ht="48.75" customHeight="1" x14ac:dyDescent="0.3">
      <c r="A518" s="117">
        <v>572</v>
      </c>
      <c r="B518" s="110">
        <v>1595</v>
      </c>
      <c r="C518" s="111">
        <v>10</v>
      </c>
      <c r="D518" s="111">
        <v>2</v>
      </c>
      <c r="E518" s="241" t="s">
        <v>1613</v>
      </c>
      <c r="F518" s="243" t="s">
        <v>527</v>
      </c>
      <c r="G518" s="117" t="s">
        <v>684</v>
      </c>
      <c r="H518" s="245" t="s">
        <v>1768</v>
      </c>
      <c r="I518" s="245" t="s">
        <v>1981</v>
      </c>
      <c r="J518" s="120">
        <v>44526</v>
      </c>
    </row>
    <row r="519" spans="1:10" ht="75" customHeight="1" x14ac:dyDescent="0.3">
      <c r="A519" s="117">
        <v>573</v>
      </c>
      <c r="B519" s="110">
        <v>1596</v>
      </c>
      <c r="C519" s="111">
        <v>33</v>
      </c>
      <c r="D519" s="111">
        <v>6</v>
      </c>
      <c r="E519" s="241" t="s">
        <v>1615</v>
      </c>
      <c r="F519" s="243" t="s">
        <v>1609</v>
      </c>
      <c r="G519" s="117" t="s">
        <v>1665</v>
      </c>
      <c r="H519" s="245" t="s">
        <v>1665</v>
      </c>
      <c r="I519" s="245" t="s">
        <v>1930</v>
      </c>
      <c r="J519" s="120">
        <v>44533</v>
      </c>
    </row>
    <row r="520" spans="1:10" ht="45" customHeight="1" x14ac:dyDescent="0.3">
      <c r="A520" s="117">
        <v>574</v>
      </c>
      <c r="B520" s="110">
        <v>1597</v>
      </c>
      <c r="C520" s="111">
        <v>38</v>
      </c>
      <c r="D520" s="111">
        <v>1</v>
      </c>
      <c r="E520" s="242" t="s">
        <v>1614</v>
      </c>
      <c r="F520" s="243" t="s">
        <v>1588</v>
      </c>
      <c r="G520" s="117" t="s">
        <v>2125</v>
      </c>
      <c r="H520" s="245" t="s">
        <v>2126</v>
      </c>
      <c r="I520" s="245" t="s">
        <v>2127</v>
      </c>
      <c r="J520" s="120">
        <v>44549</v>
      </c>
    </row>
    <row r="521" spans="1:10" ht="30" customHeight="1" x14ac:dyDescent="0.3">
      <c r="A521" s="117">
        <v>575</v>
      </c>
      <c r="B521" s="110">
        <v>1598</v>
      </c>
      <c r="C521" s="111">
        <v>17</v>
      </c>
      <c r="D521" s="111">
        <v>4</v>
      </c>
      <c r="E521" s="240" t="s">
        <v>1611</v>
      </c>
      <c r="F521" s="243" t="s">
        <v>534</v>
      </c>
      <c r="G521" s="117" t="s">
        <v>687</v>
      </c>
      <c r="H521" s="245" t="s">
        <v>1863</v>
      </c>
      <c r="I521" s="245" t="s">
        <v>1605</v>
      </c>
      <c r="J521" s="120">
        <v>44549</v>
      </c>
    </row>
    <row r="522" spans="1:10" ht="45" customHeight="1" x14ac:dyDescent="0.3">
      <c r="A522" s="117">
        <v>576</v>
      </c>
      <c r="B522" s="110">
        <v>1600</v>
      </c>
      <c r="C522" s="111">
        <v>8</v>
      </c>
      <c r="D522" s="111">
        <v>2</v>
      </c>
      <c r="E522" s="241" t="s">
        <v>1613</v>
      </c>
      <c r="F522" s="243" t="s">
        <v>1625</v>
      </c>
      <c r="G522" s="117" t="s">
        <v>2128</v>
      </c>
      <c r="H522" s="245" t="s">
        <v>1661</v>
      </c>
      <c r="I522" s="245" t="s">
        <v>1982</v>
      </c>
      <c r="J522" s="120">
        <v>44648</v>
      </c>
    </row>
    <row r="523" spans="1:10" ht="60" customHeight="1" x14ac:dyDescent="0.3">
      <c r="A523" s="117">
        <v>577</v>
      </c>
      <c r="B523" s="110">
        <v>1603</v>
      </c>
      <c r="C523" s="111">
        <v>26</v>
      </c>
      <c r="D523" s="111">
        <v>5</v>
      </c>
      <c r="E523" s="243" t="s">
        <v>1612</v>
      </c>
      <c r="F523" s="243" t="s">
        <v>1635</v>
      </c>
      <c r="G523" s="117" t="s">
        <v>689</v>
      </c>
      <c r="H523" s="245" t="s">
        <v>1784</v>
      </c>
      <c r="I523" s="245" t="s">
        <v>1782</v>
      </c>
      <c r="J523" s="120">
        <v>44882</v>
      </c>
    </row>
    <row r="524" spans="1:10" ht="30" customHeight="1" x14ac:dyDescent="0.3">
      <c r="A524" s="117">
        <v>578</v>
      </c>
      <c r="B524" s="110">
        <v>1604</v>
      </c>
      <c r="C524" s="111">
        <v>53</v>
      </c>
      <c r="D524" s="111">
        <v>5</v>
      </c>
      <c r="E524" s="243" t="s">
        <v>1612</v>
      </c>
      <c r="F524" s="243" t="s">
        <v>903</v>
      </c>
      <c r="G524" s="117" t="s">
        <v>690</v>
      </c>
      <c r="H524" s="245" t="s">
        <v>2129</v>
      </c>
      <c r="I524" s="245"/>
      <c r="J524" s="120">
        <v>44907</v>
      </c>
    </row>
    <row r="525" spans="1:10" ht="45" customHeight="1" x14ac:dyDescent="0.3">
      <c r="A525" s="117">
        <v>579</v>
      </c>
      <c r="B525" s="110">
        <v>1605</v>
      </c>
      <c r="C525" s="111">
        <v>5</v>
      </c>
      <c r="D525" s="111">
        <v>2</v>
      </c>
      <c r="E525" s="241" t="s">
        <v>1613</v>
      </c>
      <c r="F525" s="243" t="s">
        <v>403</v>
      </c>
      <c r="G525" s="118" t="s">
        <v>691</v>
      </c>
      <c r="H525" s="243" t="s">
        <v>1779</v>
      </c>
      <c r="I525" s="247" t="s">
        <v>1776</v>
      </c>
      <c r="J525" s="120">
        <v>44930</v>
      </c>
    </row>
    <row r="526" spans="1:10" ht="45" customHeight="1" x14ac:dyDescent="0.3">
      <c r="A526" s="117">
        <v>581</v>
      </c>
      <c r="B526" s="110">
        <v>1607</v>
      </c>
      <c r="C526" s="111">
        <v>27</v>
      </c>
      <c r="D526" s="111">
        <v>2</v>
      </c>
      <c r="E526" s="241" t="s">
        <v>1613</v>
      </c>
      <c r="F526" s="243" t="s">
        <v>1594</v>
      </c>
      <c r="G526" s="117" t="s">
        <v>693</v>
      </c>
      <c r="H526" s="245" t="s">
        <v>1872</v>
      </c>
      <c r="I526" s="245"/>
      <c r="J526" s="120">
        <v>45000</v>
      </c>
    </row>
    <row r="527" spans="1:10" ht="45" customHeight="1" x14ac:dyDescent="0.3">
      <c r="A527" s="117">
        <v>582</v>
      </c>
      <c r="B527" s="110">
        <v>1608</v>
      </c>
      <c r="C527" s="111">
        <v>27</v>
      </c>
      <c r="D527" s="111">
        <v>2</v>
      </c>
      <c r="E527" s="241" t="s">
        <v>1613</v>
      </c>
      <c r="F527" s="243" t="s">
        <v>1594</v>
      </c>
      <c r="G527" s="118" t="s">
        <v>693</v>
      </c>
      <c r="H527" s="245" t="s">
        <v>1872</v>
      </c>
      <c r="I527" s="245"/>
      <c r="J527" s="120">
        <v>45000</v>
      </c>
    </row>
    <row r="528" spans="1:10" ht="30" customHeight="1" x14ac:dyDescent="0.3">
      <c r="A528" s="117">
        <v>583</v>
      </c>
      <c r="B528" s="110">
        <v>1612</v>
      </c>
      <c r="C528" s="111">
        <v>20</v>
      </c>
      <c r="D528" s="111">
        <v>1</v>
      </c>
      <c r="E528" s="242" t="s">
        <v>1614</v>
      </c>
      <c r="F528" s="243" t="s">
        <v>537</v>
      </c>
      <c r="G528" s="118" t="s">
        <v>694</v>
      </c>
      <c r="H528" s="243" t="s">
        <v>694</v>
      </c>
      <c r="I528" s="245" t="s">
        <v>1583</v>
      </c>
      <c r="J528" s="120">
        <v>45021</v>
      </c>
    </row>
    <row r="529" spans="1:10" ht="45" customHeight="1" x14ac:dyDescent="0.3">
      <c r="A529" s="117">
        <v>584</v>
      </c>
      <c r="B529" s="110">
        <v>1613</v>
      </c>
      <c r="C529" s="111">
        <v>49</v>
      </c>
      <c r="D529" s="111">
        <v>5</v>
      </c>
      <c r="E529" s="243" t="s">
        <v>1612</v>
      </c>
      <c r="F529" s="243" t="s">
        <v>1608</v>
      </c>
      <c r="G529" s="118" t="s">
        <v>1803</v>
      </c>
      <c r="H529" s="243" t="s">
        <v>1803</v>
      </c>
      <c r="I529" s="245"/>
      <c r="J529" s="120">
        <v>45049</v>
      </c>
    </row>
    <row r="530" spans="1:10" ht="45" customHeight="1" x14ac:dyDescent="0.3">
      <c r="A530" s="117">
        <v>586</v>
      </c>
      <c r="B530" s="110">
        <v>1622</v>
      </c>
      <c r="C530" s="111">
        <v>2</v>
      </c>
      <c r="D530" s="111">
        <v>1</v>
      </c>
      <c r="E530" s="242" t="s">
        <v>1614</v>
      </c>
      <c r="F530" s="243" t="s">
        <v>1584</v>
      </c>
      <c r="G530" s="117" t="s">
        <v>697</v>
      </c>
      <c r="H530" s="245" t="s">
        <v>1723</v>
      </c>
      <c r="I530" s="245" t="s">
        <v>1912</v>
      </c>
      <c r="J530" s="120">
        <v>45148</v>
      </c>
    </row>
    <row r="531" spans="1:10" ht="45" customHeight="1" x14ac:dyDescent="0.3">
      <c r="A531" s="117">
        <v>587</v>
      </c>
      <c r="B531" s="110">
        <v>1641</v>
      </c>
      <c r="C531" s="111">
        <v>11</v>
      </c>
      <c r="D531" s="111">
        <v>3</v>
      </c>
      <c r="E531" s="243" t="s">
        <v>1610</v>
      </c>
      <c r="F531" s="243" t="s">
        <v>1646</v>
      </c>
      <c r="G531" s="119" t="s">
        <v>698</v>
      </c>
      <c r="H531" s="246" t="s">
        <v>1895</v>
      </c>
      <c r="I531" s="245" t="s">
        <v>1898</v>
      </c>
      <c r="J531" s="120">
        <v>45335</v>
      </c>
    </row>
    <row r="532" spans="1:10" ht="45" customHeight="1" x14ac:dyDescent="0.3">
      <c r="A532" s="117">
        <v>588</v>
      </c>
      <c r="B532" s="139">
        <v>1642</v>
      </c>
      <c r="C532" s="111">
        <v>11</v>
      </c>
      <c r="D532" s="111">
        <v>3</v>
      </c>
      <c r="E532" s="243" t="s">
        <v>1610</v>
      </c>
      <c r="F532" s="243" t="s">
        <v>1646</v>
      </c>
      <c r="G532" s="119" t="s">
        <v>698</v>
      </c>
      <c r="H532" s="246" t="s">
        <v>1895</v>
      </c>
      <c r="I532" s="245" t="s">
        <v>1898</v>
      </c>
      <c r="J532" s="120">
        <v>45335</v>
      </c>
    </row>
    <row r="533" spans="1:10" ht="45" customHeight="1" x14ac:dyDescent="0.3">
      <c r="A533" s="117">
        <v>589</v>
      </c>
      <c r="B533" s="110">
        <v>1644</v>
      </c>
      <c r="C533" s="111">
        <v>1</v>
      </c>
      <c r="D533" s="111">
        <v>1</v>
      </c>
      <c r="E533" s="242" t="s">
        <v>1614</v>
      </c>
      <c r="F533" s="243" t="s">
        <v>1627</v>
      </c>
      <c r="G533" s="117" t="s">
        <v>1862</v>
      </c>
      <c r="H533" s="245" t="s">
        <v>1862</v>
      </c>
      <c r="I533" s="245"/>
      <c r="J533" s="120">
        <v>45484</v>
      </c>
    </row>
    <row r="534" spans="1:10" ht="45" customHeight="1" x14ac:dyDescent="0.3">
      <c r="A534" s="117">
        <v>590</v>
      </c>
      <c r="B534" s="110">
        <v>1661</v>
      </c>
      <c r="C534" s="111">
        <v>16</v>
      </c>
      <c r="D534" s="111">
        <v>4</v>
      </c>
      <c r="E534" s="240" t="s">
        <v>1611</v>
      </c>
      <c r="F534" s="243" t="s">
        <v>533</v>
      </c>
      <c r="G534" s="117" t="s">
        <v>700</v>
      </c>
      <c r="H534" s="245" t="s">
        <v>1692</v>
      </c>
      <c r="I534" s="245" t="s">
        <v>1983</v>
      </c>
      <c r="J534" s="118"/>
    </row>
    <row r="535" spans="1:10" ht="45" customHeight="1" x14ac:dyDescent="0.3">
      <c r="A535" s="117">
        <v>591</v>
      </c>
      <c r="B535" s="131">
        <v>1934</v>
      </c>
      <c r="C535" s="111">
        <v>1</v>
      </c>
      <c r="D535" s="111">
        <v>1</v>
      </c>
      <c r="E535" s="242" t="s">
        <v>1614</v>
      </c>
      <c r="F535" s="243" t="s">
        <v>1627</v>
      </c>
      <c r="G535" s="119" t="s">
        <v>701</v>
      </c>
      <c r="H535" s="246" t="s">
        <v>1748</v>
      </c>
      <c r="I535" s="245" t="s">
        <v>1960</v>
      </c>
      <c r="J535" s="122">
        <v>16052013</v>
      </c>
    </row>
    <row r="536" spans="1:10" ht="45" customHeight="1" x14ac:dyDescent="0.3">
      <c r="A536" s="117">
        <v>592</v>
      </c>
      <c r="B536" s="131">
        <v>1935</v>
      </c>
      <c r="C536" s="111">
        <v>1</v>
      </c>
      <c r="D536" s="111">
        <v>1</v>
      </c>
      <c r="E536" s="242" t="s">
        <v>1614</v>
      </c>
      <c r="F536" s="243" t="s">
        <v>1627</v>
      </c>
      <c r="G536" s="117" t="s">
        <v>701</v>
      </c>
      <c r="H536" s="246" t="s">
        <v>1748</v>
      </c>
      <c r="I536" s="245" t="s">
        <v>1960</v>
      </c>
      <c r="J536" s="122">
        <v>16052013</v>
      </c>
    </row>
    <row r="537" spans="1:10" ht="45" customHeight="1" x14ac:dyDescent="0.3">
      <c r="A537" s="117">
        <v>593</v>
      </c>
      <c r="B537" s="131">
        <v>1936</v>
      </c>
      <c r="C537" s="111">
        <v>1</v>
      </c>
      <c r="D537" s="111">
        <v>1</v>
      </c>
      <c r="E537" s="242" t="s">
        <v>1614</v>
      </c>
      <c r="F537" s="243" t="s">
        <v>1627</v>
      </c>
      <c r="G537" s="119" t="s">
        <v>701</v>
      </c>
      <c r="H537" s="246" t="s">
        <v>1748</v>
      </c>
      <c r="I537" s="245" t="s">
        <v>1960</v>
      </c>
      <c r="J537" s="122">
        <v>16052013</v>
      </c>
    </row>
    <row r="538" spans="1:10" ht="45" customHeight="1" x14ac:dyDescent="0.3">
      <c r="A538" s="117">
        <v>594</v>
      </c>
      <c r="B538" s="131">
        <v>1937</v>
      </c>
      <c r="C538" s="111">
        <v>1</v>
      </c>
      <c r="D538" s="111">
        <v>1</v>
      </c>
      <c r="E538" s="242" t="s">
        <v>1614</v>
      </c>
      <c r="F538" s="243" t="s">
        <v>1627</v>
      </c>
      <c r="G538" s="119" t="s">
        <v>701</v>
      </c>
      <c r="H538" s="246" t="s">
        <v>1748</v>
      </c>
      <c r="I538" s="245" t="s">
        <v>1960</v>
      </c>
      <c r="J538" s="122">
        <v>16052013</v>
      </c>
    </row>
    <row r="539" spans="1:10" ht="45" customHeight="1" x14ac:dyDescent="0.3">
      <c r="A539" s="117">
        <v>595</v>
      </c>
      <c r="B539" s="131">
        <v>1938</v>
      </c>
      <c r="C539" s="111">
        <v>1</v>
      </c>
      <c r="D539" s="111">
        <v>1</v>
      </c>
      <c r="E539" s="242" t="s">
        <v>1614</v>
      </c>
      <c r="F539" s="243" t="s">
        <v>1627</v>
      </c>
      <c r="G539" s="119" t="s">
        <v>701</v>
      </c>
      <c r="H539" s="246" t="s">
        <v>1748</v>
      </c>
      <c r="I539" s="245" t="s">
        <v>1960</v>
      </c>
      <c r="J539" s="122">
        <v>16052013</v>
      </c>
    </row>
    <row r="540" spans="1:10" ht="45" customHeight="1" x14ac:dyDescent="0.3">
      <c r="A540" s="117">
        <v>596</v>
      </c>
      <c r="B540" s="131">
        <v>1939</v>
      </c>
      <c r="C540" s="111">
        <v>1</v>
      </c>
      <c r="D540" s="111">
        <v>1</v>
      </c>
      <c r="E540" s="242" t="s">
        <v>1614</v>
      </c>
      <c r="F540" s="243" t="s">
        <v>1627</v>
      </c>
      <c r="G540" s="119" t="s">
        <v>701</v>
      </c>
      <c r="H540" s="246" t="s">
        <v>1748</v>
      </c>
      <c r="I540" s="245" t="s">
        <v>1960</v>
      </c>
      <c r="J540" s="122">
        <v>16052013</v>
      </c>
    </row>
    <row r="541" spans="1:10" ht="45" customHeight="1" x14ac:dyDescent="0.3">
      <c r="A541" s="117">
        <v>597</v>
      </c>
      <c r="B541" s="131">
        <v>1940</v>
      </c>
      <c r="C541" s="111">
        <v>1</v>
      </c>
      <c r="D541" s="111">
        <v>1</v>
      </c>
      <c r="E541" s="242" t="s">
        <v>1614</v>
      </c>
      <c r="F541" s="243" t="s">
        <v>1627</v>
      </c>
      <c r="G541" s="119" t="s">
        <v>1748</v>
      </c>
      <c r="H541" s="246" t="s">
        <v>1748</v>
      </c>
      <c r="I541" s="245" t="s">
        <v>1960</v>
      </c>
      <c r="J541" s="122">
        <v>16052013</v>
      </c>
    </row>
    <row r="542" spans="1:10" ht="45" customHeight="1" x14ac:dyDescent="0.3">
      <c r="A542" s="117">
        <v>598</v>
      </c>
      <c r="B542" s="131">
        <v>1941</v>
      </c>
      <c r="C542" s="111">
        <v>1</v>
      </c>
      <c r="D542" s="111">
        <v>1</v>
      </c>
      <c r="E542" s="242" t="s">
        <v>1614</v>
      </c>
      <c r="F542" s="243" t="s">
        <v>1627</v>
      </c>
      <c r="G542" s="119" t="s">
        <v>1748</v>
      </c>
      <c r="H542" s="246" t="s">
        <v>1748</v>
      </c>
      <c r="I542" s="245" t="s">
        <v>1960</v>
      </c>
      <c r="J542" s="122">
        <v>16052013</v>
      </c>
    </row>
    <row r="543" spans="1:10" ht="45" customHeight="1" x14ac:dyDescent="0.3">
      <c r="A543" s="117">
        <v>599</v>
      </c>
      <c r="B543" s="131">
        <v>1942</v>
      </c>
      <c r="C543" s="111">
        <v>4</v>
      </c>
      <c r="D543" s="111">
        <v>3</v>
      </c>
      <c r="E543" s="243" t="s">
        <v>1610</v>
      </c>
      <c r="F543" s="243" t="s">
        <v>1628</v>
      </c>
      <c r="G543" s="117" t="s">
        <v>1762</v>
      </c>
      <c r="H543" s="245" t="s">
        <v>1762</v>
      </c>
      <c r="I543" s="245" t="s">
        <v>1923</v>
      </c>
      <c r="J543" s="122">
        <v>16052013</v>
      </c>
    </row>
    <row r="544" spans="1:10" ht="45" customHeight="1" x14ac:dyDescent="0.3">
      <c r="A544" s="117">
        <v>600</v>
      </c>
      <c r="B544" s="131">
        <v>1943</v>
      </c>
      <c r="C544" s="111">
        <v>4</v>
      </c>
      <c r="D544" s="111">
        <v>3</v>
      </c>
      <c r="E544" s="243" t="s">
        <v>1610</v>
      </c>
      <c r="F544" s="243" t="s">
        <v>1628</v>
      </c>
      <c r="G544" s="117" t="s">
        <v>1762</v>
      </c>
      <c r="H544" s="245" t="s">
        <v>1762</v>
      </c>
      <c r="I544" s="245" t="s">
        <v>1923</v>
      </c>
      <c r="J544" s="122">
        <v>16052013</v>
      </c>
    </row>
    <row r="545" spans="1:10" ht="45" customHeight="1" x14ac:dyDescent="0.3">
      <c r="A545" s="117">
        <v>601</v>
      </c>
      <c r="B545" s="131">
        <v>1944</v>
      </c>
      <c r="C545" s="111">
        <v>4</v>
      </c>
      <c r="D545" s="111">
        <v>3</v>
      </c>
      <c r="E545" s="243" t="s">
        <v>1610</v>
      </c>
      <c r="F545" s="243" t="s">
        <v>1628</v>
      </c>
      <c r="G545" s="117" t="s">
        <v>1762</v>
      </c>
      <c r="H545" s="245" t="s">
        <v>1762</v>
      </c>
      <c r="I545" s="245" t="s">
        <v>1923</v>
      </c>
      <c r="J545" s="122">
        <v>16052013</v>
      </c>
    </row>
    <row r="546" spans="1:10" ht="45" customHeight="1" x14ac:dyDescent="0.3">
      <c r="A546" s="117">
        <v>602</v>
      </c>
      <c r="B546" s="131">
        <v>1945</v>
      </c>
      <c r="C546" s="111">
        <v>4</v>
      </c>
      <c r="D546" s="111">
        <v>3</v>
      </c>
      <c r="E546" s="243" t="s">
        <v>1610</v>
      </c>
      <c r="F546" s="243" t="s">
        <v>1628</v>
      </c>
      <c r="G546" s="117" t="s">
        <v>1762</v>
      </c>
      <c r="H546" s="245" t="s">
        <v>1762</v>
      </c>
      <c r="I546" s="245" t="s">
        <v>1923</v>
      </c>
      <c r="J546" s="122">
        <v>16052013</v>
      </c>
    </row>
    <row r="547" spans="1:10" ht="60" customHeight="1" x14ac:dyDescent="0.3">
      <c r="A547" s="117">
        <v>603</v>
      </c>
      <c r="B547" s="131">
        <v>1946</v>
      </c>
      <c r="C547" s="111">
        <v>7</v>
      </c>
      <c r="D547" s="111">
        <v>3</v>
      </c>
      <c r="E547" s="243" t="s">
        <v>1610</v>
      </c>
      <c r="F547" s="243" t="s">
        <v>524</v>
      </c>
      <c r="G547" s="117" t="s">
        <v>1852</v>
      </c>
      <c r="H547" s="245" t="s">
        <v>1852</v>
      </c>
      <c r="I547" s="245" t="s">
        <v>1853</v>
      </c>
      <c r="J547" s="122">
        <v>16052013</v>
      </c>
    </row>
    <row r="548" spans="1:10" ht="60" customHeight="1" x14ac:dyDescent="0.3">
      <c r="A548" s="117">
        <v>605</v>
      </c>
      <c r="B548" s="131">
        <v>1948</v>
      </c>
      <c r="C548" s="111">
        <v>3</v>
      </c>
      <c r="D548" s="111">
        <v>3</v>
      </c>
      <c r="E548" s="243" t="s">
        <v>1610</v>
      </c>
      <c r="F548" s="243" t="s">
        <v>1626</v>
      </c>
      <c r="G548" s="117" t="s">
        <v>1725</v>
      </c>
      <c r="H548" s="245" t="s">
        <v>1725</v>
      </c>
      <c r="I548" s="245" t="s">
        <v>1596</v>
      </c>
      <c r="J548" s="122">
        <v>16052013</v>
      </c>
    </row>
    <row r="549" spans="1:10" ht="60" customHeight="1" x14ac:dyDescent="0.3">
      <c r="A549" s="117">
        <v>606</v>
      </c>
      <c r="B549" s="131">
        <v>1949</v>
      </c>
      <c r="C549" s="111">
        <v>3</v>
      </c>
      <c r="D549" s="111">
        <v>3</v>
      </c>
      <c r="E549" s="243" t="s">
        <v>1610</v>
      </c>
      <c r="F549" s="243" t="s">
        <v>1626</v>
      </c>
      <c r="G549" s="117" t="s">
        <v>1725</v>
      </c>
      <c r="H549" s="245" t="s">
        <v>1725</v>
      </c>
      <c r="I549" s="245"/>
      <c r="J549" s="122">
        <v>16052013</v>
      </c>
    </row>
    <row r="550" spans="1:10" ht="60" customHeight="1" x14ac:dyDescent="0.3">
      <c r="A550" s="117">
        <v>609</v>
      </c>
      <c r="B550" s="131">
        <v>1952</v>
      </c>
      <c r="C550" s="111">
        <v>3</v>
      </c>
      <c r="D550" s="111">
        <v>3</v>
      </c>
      <c r="E550" s="243" t="s">
        <v>1610</v>
      </c>
      <c r="F550" s="243" t="s">
        <v>1626</v>
      </c>
      <c r="G550" s="119" t="s">
        <v>703</v>
      </c>
      <c r="H550" s="245" t="s">
        <v>1725</v>
      </c>
      <c r="I550" s="245"/>
      <c r="J550" s="122">
        <v>16052013</v>
      </c>
    </row>
    <row r="551" spans="1:10" ht="60" customHeight="1" x14ac:dyDescent="0.3">
      <c r="A551" s="117">
        <v>613</v>
      </c>
      <c r="B551" s="131">
        <v>1956</v>
      </c>
      <c r="C551" s="111">
        <v>3</v>
      </c>
      <c r="D551" s="111">
        <v>3</v>
      </c>
      <c r="E551" s="243" t="s">
        <v>1610</v>
      </c>
      <c r="F551" s="243" t="s">
        <v>1626</v>
      </c>
      <c r="G551" s="119" t="s">
        <v>703</v>
      </c>
      <c r="H551" s="245" t="s">
        <v>1725</v>
      </c>
      <c r="I551" s="245"/>
      <c r="J551" s="122">
        <v>16052013</v>
      </c>
    </row>
    <row r="552" spans="1:10" ht="30" customHeight="1" x14ac:dyDescent="0.3">
      <c r="A552" s="117">
        <v>614</v>
      </c>
      <c r="B552" s="131">
        <v>1957</v>
      </c>
      <c r="C552" s="111">
        <v>8</v>
      </c>
      <c r="D552" s="111">
        <v>2</v>
      </c>
      <c r="E552" s="241" t="s">
        <v>1613</v>
      </c>
      <c r="F552" s="243" t="s">
        <v>1625</v>
      </c>
      <c r="G552" s="117" t="s">
        <v>704</v>
      </c>
      <c r="H552" s="245" t="s">
        <v>1660</v>
      </c>
      <c r="I552" s="245" t="s">
        <v>1984</v>
      </c>
      <c r="J552" s="122">
        <v>16052013</v>
      </c>
    </row>
    <row r="553" spans="1:10" ht="30" customHeight="1" x14ac:dyDescent="0.3">
      <c r="A553" s="117">
        <v>615</v>
      </c>
      <c r="B553" s="131">
        <v>1958</v>
      </c>
      <c r="C553" s="111">
        <v>8</v>
      </c>
      <c r="D553" s="111">
        <v>2</v>
      </c>
      <c r="E553" s="241" t="s">
        <v>1613</v>
      </c>
      <c r="F553" s="243" t="s">
        <v>1625</v>
      </c>
      <c r="G553" s="117" t="s">
        <v>704</v>
      </c>
      <c r="H553" s="245" t="s">
        <v>1660</v>
      </c>
      <c r="I553" s="245" t="s">
        <v>1984</v>
      </c>
      <c r="J553" s="122">
        <v>16052013</v>
      </c>
    </row>
    <row r="554" spans="1:10" ht="30" customHeight="1" x14ac:dyDescent="0.3">
      <c r="A554" s="117">
        <v>616</v>
      </c>
      <c r="B554" s="131">
        <v>1959</v>
      </c>
      <c r="C554" s="111">
        <v>8</v>
      </c>
      <c r="D554" s="111">
        <v>2</v>
      </c>
      <c r="E554" s="241" t="s">
        <v>1613</v>
      </c>
      <c r="F554" s="243" t="s">
        <v>1625</v>
      </c>
      <c r="G554" s="117" t="s">
        <v>704</v>
      </c>
      <c r="H554" s="245" t="s">
        <v>1660</v>
      </c>
      <c r="I554" s="245" t="s">
        <v>1984</v>
      </c>
      <c r="J554" s="122">
        <v>16052013</v>
      </c>
    </row>
    <row r="555" spans="1:10" ht="30" customHeight="1" x14ac:dyDescent="0.3">
      <c r="A555" s="117">
        <v>617</v>
      </c>
      <c r="B555" s="131">
        <v>1960</v>
      </c>
      <c r="C555" s="111">
        <v>8</v>
      </c>
      <c r="D555" s="111">
        <v>2</v>
      </c>
      <c r="E555" s="241" t="s">
        <v>1613</v>
      </c>
      <c r="F555" s="243" t="s">
        <v>1625</v>
      </c>
      <c r="G555" s="117" t="s">
        <v>704</v>
      </c>
      <c r="H555" s="245" t="s">
        <v>1660</v>
      </c>
      <c r="I555" s="245" t="s">
        <v>1984</v>
      </c>
      <c r="J555" s="122">
        <v>16052013</v>
      </c>
    </row>
    <row r="556" spans="1:10" ht="30" customHeight="1" x14ac:dyDescent="0.3">
      <c r="A556" s="117">
        <v>618</v>
      </c>
      <c r="B556" s="131">
        <v>1961</v>
      </c>
      <c r="C556" s="111">
        <v>8</v>
      </c>
      <c r="D556" s="111">
        <v>2</v>
      </c>
      <c r="E556" s="241" t="s">
        <v>1613</v>
      </c>
      <c r="F556" s="243" t="s">
        <v>1625</v>
      </c>
      <c r="G556" s="117" t="s">
        <v>704</v>
      </c>
      <c r="H556" s="245" t="s">
        <v>1660</v>
      </c>
      <c r="I556" s="245" t="s">
        <v>1984</v>
      </c>
      <c r="J556" s="122">
        <v>16052013</v>
      </c>
    </row>
    <row r="557" spans="1:10" ht="30" customHeight="1" x14ac:dyDescent="0.3">
      <c r="A557" s="117">
        <v>619</v>
      </c>
      <c r="B557" s="131">
        <v>1962</v>
      </c>
      <c r="C557" s="111">
        <v>8</v>
      </c>
      <c r="D557" s="111">
        <v>2</v>
      </c>
      <c r="E557" s="241" t="s">
        <v>1613</v>
      </c>
      <c r="F557" s="243" t="s">
        <v>1625</v>
      </c>
      <c r="G557" s="117" t="s">
        <v>704</v>
      </c>
      <c r="H557" s="245" t="s">
        <v>1660</v>
      </c>
      <c r="I557" s="245" t="s">
        <v>1984</v>
      </c>
      <c r="J557" s="122">
        <v>16052013</v>
      </c>
    </row>
    <row r="558" spans="1:10" ht="105" customHeight="1" x14ac:dyDescent="0.3">
      <c r="A558" s="117">
        <v>620</v>
      </c>
      <c r="B558" s="131">
        <v>1963</v>
      </c>
      <c r="C558" s="111">
        <v>2</v>
      </c>
      <c r="D558" s="111">
        <v>1</v>
      </c>
      <c r="E558" s="242" t="s">
        <v>1614</v>
      </c>
      <c r="F558" s="243" t="s">
        <v>1584</v>
      </c>
      <c r="G558" s="117" t="s">
        <v>705</v>
      </c>
      <c r="H558" s="245" t="s">
        <v>2130</v>
      </c>
      <c r="I558" s="245" t="s">
        <v>1985</v>
      </c>
      <c r="J558" s="122">
        <v>7052013</v>
      </c>
    </row>
    <row r="559" spans="1:10" ht="105" customHeight="1" x14ac:dyDescent="0.3">
      <c r="A559" s="117">
        <v>621</v>
      </c>
      <c r="B559" s="131">
        <v>1964</v>
      </c>
      <c r="C559" s="111">
        <v>2</v>
      </c>
      <c r="D559" s="111">
        <v>1</v>
      </c>
      <c r="E559" s="242" t="s">
        <v>1614</v>
      </c>
      <c r="F559" s="243" t="s">
        <v>1584</v>
      </c>
      <c r="G559" s="119" t="s">
        <v>705</v>
      </c>
      <c r="H559" s="245" t="s">
        <v>1856</v>
      </c>
      <c r="I559" s="245" t="s">
        <v>1857</v>
      </c>
      <c r="J559" s="122">
        <v>7052013</v>
      </c>
    </row>
    <row r="560" spans="1:10" ht="105" customHeight="1" x14ac:dyDescent="0.3">
      <c r="A560" s="117">
        <v>622</v>
      </c>
      <c r="B560" s="131">
        <v>1965</v>
      </c>
      <c r="C560" s="111">
        <v>2</v>
      </c>
      <c r="D560" s="111">
        <v>1</v>
      </c>
      <c r="E560" s="242" t="s">
        <v>1614</v>
      </c>
      <c r="F560" s="243" t="s">
        <v>1584</v>
      </c>
      <c r="G560" s="119" t="s">
        <v>705</v>
      </c>
      <c r="H560" s="245" t="s">
        <v>1856</v>
      </c>
      <c r="I560" s="245" t="s">
        <v>1985</v>
      </c>
      <c r="J560" s="122">
        <v>7052013</v>
      </c>
    </row>
    <row r="561" spans="1:10" ht="105" customHeight="1" x14ac:dyDescent="0.3">
      <c r="A561" s="117">
        <v>623</v>
      </c>
      <c r="B561" s="131">
        <v>1966</v>
      </c>
      <c r="C561" s="111">
        <v>2</v>
      </c>
      <c r="D561" s="111">
        <v>1</v>
      </c>
      <c r="E561" s="242" t="s">
        <v>1614</v>
      </c>
      <c r="F561" s="243" t="s">
        <v>1584</v>
      </c>
      <c r="G561" s="119" t="s">
        <v>705</v>
      </c>
      <c r="H561" s="245" t="s">
        <v>1856</v>
      </c>
      <c r="I561" s="245" t="s">
        <v>1857</v>
      </c>
      <c r="J561" s="122">
        <v>7052013</v>
      </c>
    </row>
    <row r="562" spans="1:10" ht="105" customHeight="1" x14ac:dyDescent="0.3">
      <c r="A562" s="117">
        <v>624</v>
      </c>
      <c r="B562" s="131">
        <v>1967</v>
      </c>
      <c r="C562" s="111">
        <v>2</v>
      </c>
      <c r="D562" s="111">
        <v>1</v>
      </c>
      <c r="E562" s="242" t="s">
        <v>1614</v>
      </c>
      <c r="F562" s="243" t="s">
        <v>1584</v>
      </c>
      <c r="G562" s="119" t="s">
        <v>705</v>
      </c>
      <c r="H562" s="245" t="s">
        <v>1856</v>
      </c>
      <c r="I562" s="245" t="s">
        <v>1857</v>
      </c>
      <c r="J562" s="122">
        <v>7052013</v>
      </c>
    </row>
    <row r="563" spans="1:10" ht="105" customHeight="1" x14ac:dyDescent="0.3">
      <c r="A563" s="117">
        <v>625</v>
      </c>
      <c r="B563" s="131">
        <v>1968</v>
      </c>
      <c r="C563" s="111">
        <v>2</v>
      </c>
      <c r="D563" s="111">
        <v>1</v>
      </c>
      <c r="E563" s="242" t="s">
        <v>1614</v>
      </c>
      <c r="F563" s="243" t="s">
        <v>1584</v>
      </c>
      <c r="G563" s="119" t="s">
        <v>705</v>
      </c>
      <c r="H563" s="245" t="s">
        <v>1856</v>
      </c>
      <c r="I563" s="245" t="s">
        <v>1857</v>
      </c>
      <c r="J563" s="122">
        <v>7052013</v>
      </c>
    </row>
    <row r="564" spans="1:10" ht="105" customHeight="1" x14ac:dyDescent="0.3">
      <c r="A564" s="117">
        <v>626</v>
      </c>
      <c r="B564" s="131">
        <v>1969</v>
      </c>
      <c r="C564" s="111">
        <v>2</v>
      </c>
      <c r="D564" s="111">
        <v>1</v>
      </c>
      <c r="E564" s="242" t="s">
        <v>1614</v>
      </c>
      <c r="F564" s="243" t="s">
        <v>1584</v>
      </c>
      <c r="G564" s="119" t="s">
        <v>705</v>
      </c>
      <c r="H564" s="245" t="s">
        <v>1856</v>
      </c>
      <c r="I564" s="245" t="s">
        <v>1857</v>
      </c>
      <c r="J564" s="122">
        <v>7052013</v>
      </c>
    </row>
    <row r="565" spans="1:10" ht="105" customHeight="1" x14ac:dyDescent="0.3">
      <c r="A565" s="117">
        <v>627</v>
      </c>
      <c r="B565" s="131">
        <v>1970</v>
      </c>
      <c r="C565" s="111">
        <v>2</v>
      </c>
      <c r="D565" s="111">
        <v>1</v>
      </c>
      <c r="E565" s="242" t="s">
        <v>1614</v>
      </c>
      <c r="F565" s="243" t="s">
        <v>1584</v>
      </c>
      <c r="G565" s="119" t="s">
        <v>705</v>
      </c>
      <c r="H565" s="245" t="s">
        <v>1856</v>
      </c>
      <c r="I565" s="245" t="s">
        <v>1857</v>
      </c>
      <c r="J565" s="122">
        <v>7052013</v>
      </c>
    </row>
    <row r="566" spans="1:10" ht="30" customHeight="1" x14ac:dyDescent="0.3">
      <c r="A566" s="117">
        <v>628</v>
      </c>
      <c r="B566" s="131">
        <v>1971</v>
      </c>
      <c r="C566" s="111">
        <v>10</v>
      </c>
      <c r="D566" s="111">
        <v>2</v>
      </c>
      <c r="E566" s="241" t="s">
        <v>1613</v>
      </c>
      <c r="F566" s="243" t="s">
        <v>527</v>
      </c>
      <c r="G566" s="117" t="s">
        <v>1767</v>
      </c>
      <c r="H566" s="245" t="s">
        <v>1767</v>
      </c>
      <c r="I566" s="245" t="s">
        <v>1928</v>
      </c>
      <c r="J566" s="122">
        <v>7052013</v>
      </c>
    </row>
    <row r="567" spans="1:10" ht="30" customHeight="1" x14ac:dyDescent="0.3">
      <c r="A567" s="117">
        <v>629</v>
      </c>
      <c r="B567" s="131">
        <v>1972</v>
      </c>
      <c r="C567" s="111">
        <v>10</v>
      </c>
      <c r="D567" s="111">
        <v>2</v>
      </c>
      <c r="E567" s="241" t="s">
        <v>1613</v>
      </c>
      <c r="F567" s="243" t="s">
        <v>527</v>
      </c>
      <c r="G567" s="119" t="s">
        <v>1766</v>
      </c>
      <c r="H567" s="246" t="s">
        <v>1766</v>
      </c>
      <c r="I567" s="245" t="s">
        <v>1928</v>
      </c>
      <c r="J567" s="122">
        <v>7052013</v>
      </c>
    </row>
    <row r="568" spans="1:10" ht="30" customHeight="1" x14ac:dyDescent="0.3">
      <c r="A568" s="117">
        <v>630</v>
      </c>
      <c r="B568" s="131">
        <v>1973</v>
      </c>
      <c r="C568" s="111">
        <v>10</v>
      </c>
      <c r="D568" s="111">
        <v>2</v>
      </c>
      <c r="E568" s="241" t="s">
        <v>1613</v>
      </c>
      <c r="F568" s="243" t="s">
        <v>527</v>
      </c>
      <c r="G568" s="119" t="s">
        <v>1766</v>
      </c>
      <c r="H568" s="246" t="s">
        <v>1766</v>
      </c>
      <c r="I568" s="245" t="s">
        <v>1928</v>
      </c>
      <c r="J568" s="122">
        <v>7052013</v>
      </c>
    </row>
    <row r="569" spans="1:10" ht="45" customHeight="1" x14ac:dyDescent="0.3">
      <c r="A569" s="117">
        <v>631</v>
      </c>
      <c r="B569" s="131">
        <v>1974</v>
      </c>
      <c r="C569" s="111">
        <v>1</v>
      </c>
      <c r="D569" s="111">
        <v>1</v>
      </c>
      <c r="E569" s="242" t="s">
        <v>1614</v>
      </c>
      <c r="F569" s="243" t="s">
        <v>1627</v>
      </c>
      <c r="G569" s="119" t="s">
        <v>709</v>
      </c>
      <c r="H569" s="245" t="s">
        <v>1742</v>
      </c>
      <c r="I569" s="245" t="s">
        <v>1986</v>
      </c>
      <c r="J569" s="122">
        <v>7052013</v>
      </c>
    </row>
    <row r="570" spans="1:10" ht="45" customHeight="1" x14ac:dyDescent="0.3">
      <c r="A570" s="117">
        <v>632</v>
      </c>
      <c r="B570" s="131">
        <v>1975</v>
      </c>
      <c r="C570" s="111">
        <v>1</v>
      </c>
      <c r="D570" s="111">
        <v>1</v>
      </c>
      <c r="E570" s="242" t="s">
        <v>1614</v>
      </c>
      <c r="F570" s="243" t="s">
        <v>1627</v>
      </c>
      <c r="G570" s="119" t="s">
        <v>709</v>
      </c>
      <c r="H570" s="245" t="s">
        <v>1742</v>
      </c>
      <c r="I570" s="245" t="s">
        <v>1986</v>
      </c>
      <c r="J570" s="122">
        <v>7052013</v>
      </c>
    </row>
    <row r="571" spans="1:10" ht="45" customHeight="1" x14ac:dyDescent="0.3">
      <c r="A571" s="117">
        <v>633</v>
      </c>
      <c r="B571" s="131">
        <v>1976</v>
      </c>
      <c r="C571" s="111">
        <v>1</v>
      </c>
      <c r="D571" s="111">
        <v>1</v>
      </c>
      <c r="E571" s="242" t="s">
        <v>1614</v>
      </c>
      <c r="F571" s="243" t="s">
        <v>1627</v>
      </c>
      <c r="G571" s="117" t="s">
        <v>1742</v>
      </c>
      <c r="H571" s="245" t="s">
        <v>1742</v>
      </c>
      <c r="I571" s="245" t="s">
        <v>1986</v>
      </c>
      <c r="J571" s="122">
        <v>7052013</v>
      </c>
    </row>
    <row r="572" spans="1:10" ht="45" customHeight="1" x14ac:dyDescent="0.3">
      <c r="A572" s="117">
        <v>634</v>
      </c>
      <c r="B572" s="131">
        <v>1977</v>
      </c>
      <c r="C572" s="111">
        <v>1</v>
      </c>
      <c r="D572" s="111">
        <v>1</v>
      </c>
      <c r="E572" s="242" t="s">
        <v>1614</v>
      </c>
      <c r="F572" s="243" t="s">
        <v>1627</v>
      </c>
      <c r="G572" s="117" t="s">
        <v>1742</v>
      </c>
      <c r="H572" s="245" t="s">
        <v>1742</v>
      </c>
      <c r="I572" s="245" t="s">
        <v>1986</v>
      </c>
      <c r="J572" s="122">
        <v>7052013</v>
      </c>
    </row>
    <row r="573" spans="1:10" ht="45" customHeight="1" x14ac:dyDescent="0.3">
      <c r="A573" s="117">
        <v>635</v>
      </c>
      <c r="B573" s="131">
        <v>1978</v>
      </c>
      <c r="C573" s="111">
        <v>1</v>
      </c>
      <c r="D573" s="111">
        <v>1</v>
      </c>
      <c r="E573" s="242" t="s">
        <v>1614</v>
      </c>
      <c r="F573" s="243" t="s">
        <v>1627</v>
      </c>
      <c r="G573" s="117" t="s">
        <v>1742</v>
      </c>
      <c r="H573" s="245" t="s">
        <v>1742</v>
      </c>
      <c r="I573" s="245" t="s">
        <v>1986</v>
      </c>
      <c r="J573" s="122">
        <v>7052013</v>
      </c>
    </row>
    <row r="574" spans="1:10" ht="45" customHeight="1" x14ac:dyDescent="0.3">
      <c r="A574" s="117">
        <v>636</v>
      </c>
      <c r="B574" s="131">
        <v>1979</v>
      </c>
      <c r="C574" s="111">
        <v>12</v>
      </c>
      <c r="D574" s="111">
        <v>2</v>
      </c>
      <c r="E574" s="241" t="s">
        <v>1613</v>
      </c>
      <c r="F574" s="243" t="s">
        <v>1645</v>
      </c>
      <c r="G574" s="119" t="s">
        <v>1885</v>
      </c>
      <c r="H574" s="246" t="s">
        <v>1885</v>
      </c>
      <c r="I574" s="245" t="s">
        <v>1987</v>
      </c>
      <c r="J574" s="122">
        <v>7052013</v>
      </c>
    </row>
    <row r="575" spans="1:10" ht="45" customHeight="1" x14ac:dyDescent="0.3">
      <c r="A575" s="117">
        <v>637</v>
      </c>
      <c r="B575" s="131">
        <v>1980</v>
      </c>
      <c r="C575" s="111">
        <v>12</v>
      </c>
      <c r="D575" s="111">
        <v>2</v>
      </c>
      <c r="E575" s="241" t="s">
        <v>1613</v>
      </c>
      <c r="F575" s="243" t="s">
        <v>1645</v>
      </c>
      <c r="G575" s="119" t="s">
        <v>1885</v>
      </c>
      <c r="H575" s="246" t="s">
        <v>1885</v>
      </c>
      <c r="I575" s="245" t="s">
        <v>1987</v>
      </c>
      <c r="J575" s="122">
        <v>7052013</v>
      </c>
    </row>
    <row r="576" spans="1:10" ht="45" customHeight="1" x14ac:dyDescent="0.3">
      <c r="A576" s="117">
        <v>638</v>
      </c>
      <c r="B576" s="131">
        <v>1981</v>
      </c>
      <c r="C576" s="111">
        <v>15</v>
      </c>
      <c r="D576" s="111">
        <v>2</v>
      </c>
      <c r="E576" s="241" t="s">
        <v>1613</v>
      </c>
      <c r="F576" s="243" t="s">
        <v>1592</v>
      </c>
      <c r="G576" s="117" t="s">
        <v>1800</v>
      </c>
      <c r="H576" s="245" t="s">
        <v>1800</v>
      </c>
      <c r="I576" s="245"/>
      <c r="J576" s="122">
        <v>7052013</v>
      </c>
    </row>
    <row r="577" spans="1:10" ht="45" customHeight="1" x14ac:dyDescent="0.3">
      <c r="A577" s="117">
        <v>639</v>
      </c>
      <c r="B577" s="131">
        <v>1982</v>
      </c>
      <c r="C577" s="111">
        <v>12</v>
      </c>
      <c r="D577" s="111">
        <v>2</v>
      </c>
      <c r="E577" s="241" t="s">
        <v>1613</v>
      </c>
      <c r="F577" s="243" t="s">
        <v>1645</v>
      </c>
      <c r="G577" s="119" t="s">
        <v>1956</v>
      </c>
      <c r="H577" s="246" t="s">
        <v>1956</v>
      </c>
      <c r="I577" s="245" t="s">
        <v>2140</v>
      </c>
      <c r="J577" s="122">
        <v>7052013</v>
      </c>
    </row>
    <row r="578" spans="1:10" ht="30" customHeight="1" x14ac:dyDescent="0.3">
      <c r="A578" s="117">
        <v>641</v>
      </c>
      <c r="B578" s="131">
        <v>1984</v>
      </c>
      <c r="C578" s="111">
        <v>8</v>
      </c>
      <c r="D578" s="111">
        <v>2</v>
      </c>
      <c r="E578" s="241" t="s">
        <v>1613</v>
      </c>
      <c r="F578" s="243" t="s">
        <v>1625</v>
      </c>
      <c r="G578" s="117" t="s">
        <v>741</v>
      </c>
      <c r="H578" s="245" t="s">
        <v>741</v>
      </c>
      <c r="I578" s="245" t="s">
        <v>1919</v>
      </c>
      <c r="J578" s="122">
        <v>7052013</v>
      </c>
    </row>
    <row r="579" spans="1:10" ht="30" customHeight="1" x14ac:dyDescent="0.3">
      <c r="A579" s="117">
        <v>642</v>
      </c>
      <c r="B579" s="131">
        <v>1985</v>
      </c>
      <c r="C579" s="111">
        <v>8</v>
      </c>
      <c r="D579" s="111">
        <v>2</v>
      </c>
      <c r="E579" s="241" t="s">
        <v>1613</v>
      </c>
      <c r="F579" s="243" t="s">
        <v>1625</v>
      </c>
      <c r="G579" s="117" t="s">
        <v>741</v>
      </c>
      <c r="H579" s="245" t="s">
        <v>741</v>
      </c>
      <c r="I579" s="245" t="s">
        <v>1919</v>
      </c>
      <c r="J579" s="122">
        <v>7052013</v>
      </c>
    </row>
    <row r="580" spans="1:10" ht="30" customHeight="1" x14ac:dyDescent="0.3">
      <c r="A580" s="117">
        <v>643</v>
      </c>
      <c r="B580" s="131">
        <v>1986</v>
      </c>
      <c r="C580" s="111">
        <v>8</v>
      </c>
      <c r="D580" s="111">
        <v>2</v>
      </c>
      <c r="E580" s="241" t="s">
        <v>1613</v>
      </c>
      <c r="F580" s="243" t="s">
        <v>1625</v>
      </c>
      <c r="G580" s="117" t="s">
        <v>741</v>
      </c>
      <c r="H580" s="245" t="s">
        <v>741</v>
      </c>
      <c r="I580" s="245" t="s">
        <v>1919</v>
      </c>
      <c r="J580" s="122">
        <v>7052013</v>
      </c>
    </row>
    <row r="581" spans="1:10" ht="60" customHeight="1" x14ac:dyDescent="0.3">
      <c r="A581" s="117">
        <v>645</v>
      </c>
      <c r="B581" s="131">
        <v>1988</v>
      </c>
      <c r="C581" s="111">
        <v>1</v>
      </c>
      <c r="D581" s="111">
        <v>1</v>
      </c>
      <c r="E581" s="242" t="s">
        <v>1614</v>
      </c>
      <c r="F581" s="243" t="s">
        <v>1627</v>
      </c>
      <c r="G581" s="119" t="s">
        <v>709</v>
      </c>
      <c r="H581" s="245" t="s">
        <v>1742</v>
      </c>
      <c r="I581" s="245" t="s">
        <v>1940</v>
      </c>
      <c r="J581" s="122">
        <v>7052013</v>
      </c>
    </row>
    <row r="582" spans="1:10" ht="45" customHeight="1" x14ac:dyDescent="0.3">
      <c r="A582" s="117">
        <v>646</v>
      </c>
      <c r="B582" s="131">
        <v>1989</v>
      </c>
      <c r="C582" s="111">
        <v>17</v>
      </c>
      <c r="D582" s="111">
        <v>4</v>
      </c>
      <c r="E582" s="240" t="s">
        <v>1611</v>
      </c>
      <c r="F582" s="243" t="s">
        <v>534</v>
      </c>
      <c r="G582" s="117" t="s">
        <v>2131</v>
      </c>
      <c r="H582" s="245" t="s">
        <v>1706</v>
      </c>
      <c r="I582" s="245" t="s">
        <v>1603</v>
      </c>
      <c r="J582" s="122">
        <v>7052013</v>
      </c>
    </row>
    <row r="583" spans="1:10" ht="45" customHeight="1" x14ac:dyDescent="0.3">
      <c r="A583" s="117">
        <v>647</v>
      </c>
      <c r="B583" s="131">
        <v>1990</v>
      </c>
      <c r="C583" s="111">
        <v>17</v>
      </c>
      <c r="D583" s="111">
        <v>4</v>
      </c>
      <c r="E583" s="240" t="s">
        <v>1611</v>
      </c>
      <c r="F583" s="243" t="s">
        <v>534</v>
      </c>
      <c r="G583" s="117" t="s">
        <v>712</v>
      </c>
      <c r="H583" s="245" t="s">
        <v>1706</v>
      </c>
      <c r="I583" s="245" t="s">
        <v>1603</v>
      </c>
      <c r="J583" s="122">
        <v>7052013</v>
      </c>
    </row>
    <row r="584" spans="1:10" ht="45" customHeight="1" x14ac:dyDescent="0.3">
      <c r="A584" s="117">
        <v>648</v>
      </c>
      <c r="B584" s="131">
        <v>1991</v>
      </c>
      <c r="C584" s="111">
        <v>16</v>
      </c>
      <c r="D584" s="111">
        <v>4</v>
      </c>
      <c r="E584" s="240" t="s">
        <v>1611</v>
      </c>
      <c r="F584" s="243" t="s">
        <v>533</v>
      </c>
      <c r="G584" s="117" t="s">
        <v>713</v>
      </c>
      <c r="H584" s="246" t="s">
        <v>2132</v>
      </c>
      <c r="I584" s="245" t="s">
        <v>1944</v>
      </c>
      <c r="J584" s="122">
        <v>7052013</v>
      </c>
    </row>
    <row r="585" spans="1:10" ht="45" customHeight="1" x14ac:dyDescent="0.3">
      <c r="A585" s="117">
        <v>649</v>
      </c>
      <c r="B585" s="131">
        <v>1992</v>
      </c>
      <c r="C585" s="111">
        <v>16</v>
      </c>
      <c r="D585" s="111">
        <v>4</v>
      </c>
      <c r="E585" s="240" t="s">
        <v>1611</v>
      </c>
      <c r="F585" s="243" t="s">
        <v>533</v>
      </c>
      <c r="G585" s="119" t="s">
        <v>713</v>
      </c>
      <c r="H585" s="246" t="s">
        <v>2132</v>
      </c>
      <c r="I585" s="245" t="s">
        <v>1944</v>
      </c>
      <c r="J585" s="122">
        <v>7052013</v>
      </c>
    </row>
    <row r="586" spans="1:10" ht="45" customHeight="1" x14ac:dyDescent="0.3">
      <c r="A586" s="117">
        <v>650</v>
      </c>
      <c r="B586" s="131">
        <v>1993</v>
      </c>
      <c r="C586" s="111">
        <v>16</v>
      </c>
      <c r="D586" s="111">
        <v>4</v>
      </c>
      <c r="E586" s="240" t="s">
        <v>1611</v>
      </c>
      <c r="F586" s="243" t="s">
        <v>533</v>
      </c>
      <c r="G586" s="119" t="s">
        <v>713</v>
      </c>
      <c r="H586" s="246" t="s">
        <v>2132</v>
      </c>
      <c r="I586" s="245" t="s">
        <v>1944</v>
      </c>
      <c r="J586" s="122">
        <v>7052013</v>
      </c>
    </row>
    <row r="587" spans="1:10" ht="45" customHeight="1" x14ac:dyDescent="0.3">
      <c r="A587" s="117">
        <v>651</v>
      </c>
      <c r="B587" s="131">
        <v>1994</v>
      </c>
      <c r="C587" s="111">
        <v>16</v>
      </c>
      <c r="D587" s="111">
        <v>4</v>
      </c>
      <c r="E587" s="240" t="s">
        <v>1611</v>
      </c>
      <c r="F587" s="243" t="s">
        <v>533</v>
      </c>
      <c r="G587" s="119" t="s">
        <v>713</v>
      </c>
      <c r="H587" s="246" t="s">
        <v>2132</v>
      </c>
      <c r="I587" s="245" t="s">
        <v>1944</v>
      </c>
      <c r="J587" s="122">
        <v>7052013</v>
      </c>
    </row>
    <row r="588" spans="1:10" ht="45" customHeight="1" x14ac:dyDescent="0.3">
      <c r="A588" s="117">
        <v>652</v>
      </c>
      <c r="B588" s="131">
        <v>1995</v>
      </c>
      <c r="C588" s="111">
        <v>16</v>
      </c>
      <c r="D588" s="111">
        <v>4</v>
      </c>
      <c r="E588" s="240" t="s">
        <v>1611</v>
      </c>
      <c r="F588" s="243" t="s">
        <v>533</v>
      </c>
      <c r="G588" s="119" t="s">
        <v>713</v>
      </c>
      <c r="H588" s="246" t="s">
        <v>2132</v>
      </c>
      <c r="I588" s="245" t="s">
        <v>1944</v>
      </c>
      <c r="J588" s="122">
        <v>7052013</v>
      </c>
    </row>
    <row r="589" spans="1:10" ht="45" customHeight="1" x14ac:dyDescent="0.3">
      <c r="A589" s="117">
        <v>653</v>
      </c>
      <c r="B589" s="131">
        <v>1997</v>
      </c>
      <c r="C589" s="111">
        <v>16</v>
      </c>
      <c r="D589" s="111">
        <v>4</v>
      </c>
      <c r="E589" s="240" t="s">
        <v>1611</v>
      </c>
      <c r="F589" s="243" t="s">
        <v>533</v>
      </c>
      <c r="G589" s="119" t="s">
        <v>713</v>
      </c>
      <c r="H589" s="246" t="s">
        <v>2132</v>
      </c>
      <c r="I589" s="245" t="s">
        <v>1944</v>
      </c>
      <c r="J589" s="122">
        <v>7052013</v>
      </c>
    </row>
    <row r="590" spans="1:10" ht="45" customHeight="1" x14ac:dyDescent="0.3">
      <c r="A590" s="117">
        <v>654</v>
      </c>
      <c r="B590" s="131">
        <v>1998</v>
      </c>
      <c r="C590" s="111">
        <v>16</v>
      </c>
      <c r="D590" s="111">
        <v>4</v>
      </c>
      <c r="E590" s="240" t="s">
        <v>1611</v>
      </c>
      <c r="F590" s="243" t="s">
        <v>533</v>
      </c>
      <c r="G590" s="119" t="s">
        <v>713</v>
      </c>
      <c r="H590" s="246" t="s">
        <v>2132</v>
      </c>
      <c r="I590" s="245" t="s">
        <v>1944</v>
      </c>
      <c r="J590" s="122">
        <v>7052013</v>
      </c>
    </row>
    <row r="591" spans="1:10" ht="30" customHeight="1" x14ac:dyDescent="0.3">
      <c r="A591" s="117">
        <v>655</v>
      </c>
      <c r="B591" s="131">
        <v>1999</v>
      </c>
      <c r="C591" s="111">
        <v>17</v>
      </c>
      <c r="D591" s="111">
        <v>4</v>
      </c>
      <c r="E591" s="240" t="s">
        <v>1611</v>
      </c>
      <c r="F591" s="243" t="s">
        <v>534</v>
      </c>
      <c r="G591" s="119" t="s">
        <v>714</v>
      </c>
      <c r="H591" s="246" t="s">
        <v>1704</v>
      </c>
      <c r="I591" s="245" t="s">
        <v>1606</v>
      </c>
      <c r="J591" s="122">
        <v>7052013</v>
      </c>
    </row>
    <row r="592" spans="1:10" ht="30" customHeight="1" x14ac:dyDescent="0.3">
      <c r="A592" s="117">
        <v>656</v>
      </c>
      <c r="B592" s="131">
        <v>2000</v>
      </c>
      <c r="C592" s="111">
        <v>17</v>
      </c>
      <c r="D592" s="111">
        <v>4</v>
      </c>
      <c r="E592" s="240" t="s">
        <v>1611</v>
      </c>
      <c r="F592" s="243" t="s">
        <v>534</v>
      </c>
      <c r="G592" s="117" t="s">
        <v>715</v>
      </c>
      <c r="H592" s="245" t="s">
        <v>1709</v>
      </c>
      <c r="I592" s="245" t="s">
        <v>1604</v>
      </c>
      <c r="J592" s="122">
        <v>7052013</v>
      </c>
    </row>
    <row r="593" spans="1:10" ht="45" customHeight="1" x14ac:dyDescent="0.3">
      <c r="A593" s="117">
        <v>657</v>
      </c>
      <c r="B593" s="131">
        <v>2001</v>
      </c>
      <c r="C593" s="111">
        <v>17</v>
      </c>
      <c r="D593" s="111">
        <v>4</v>
      </c>
      <c r="E593" s="240" t="s">
        <v>1611</v>
      </c>
      <c r="F593" s="243" t="s">
        <v>534</v>
      </c>
      <c r="G593" s="117" t="s">
        <v>716</v>
      </c>
      <c r="H593" s="245" t="s">
        <v>1669</v>
      </c>
      <c r="I593" s="245" t="s">
        <v>1993</v>
      </c>
      <c r="J593" s="122">
        <v>7052013</v>
      </c>
    </row>
    <row r="594" spans="1:10" ht="45" customHeight="1" x14ac:dyDescent="0.3">
      <c r="A594" s="117">
        <v>658</v>
      </c>
      <c r="B594" s="131">
        <v>2002</v>
      </c>
      <c r="C594" s="111">
        <v>17</v>
      </c>
      <c r="D594" s="111">
        <v>4</v>
      </c>
      <c r="E594" s="240" t="s">
        <v>1611</v>
      </c>
      <c r="F594" s="243" t="s">
        <v>534</v>
      </c>
      <c r="G594" s="119" t="s">
        <v>716</v>
      </c>
      <c r="H594" s="246" t="s">
        <v>1701</v>
      </c>
      <c r="I594" s="245" t="s">
        <v>1607</v>
      </c>
      <c r="J594" s="122">
        <v>7052013</v>
      </c>
    </row>
    <row r="595" spans="1:10" ht="30" customHeight="1" x14ac:dyDescent="0.3">
      <c r="A595" s="117">
        <v>659</v>
      </c>
      <c r="B595" s="131">
        <v>2003</v>
      </c>
      <c r="C595" s="111">
        <v>17</v>
      </c>
      <c r="D595" s="111">
        <v>4</v>
      </c>
      <c r="E595" s="240" t="s">
        <v>1611</v>
      </c>
      <c r="F595" s="243" t="s">
        <v>534</v>
      </c>
      <c r="G595" s="117" t="s">
        <v>717</v>
      </c>
      <c r="H595" s="245" t="s">
        <v>1706</v>
      </c>
      <c r="I595" s="245" t="s">
        <v>1994</v>
      </c>
      <c r="J595" s="122">
        <v>7052013</v>
      </c>
    </row>
    <row r="596" spans="1:10" ht="45" customHeight="1" x14ac:dyDescent="0.3">
      <c r="A596" s="117">
        <v>660</v>
      </c>
      <c r="B596" s="131">
        <v>2004</v>
      </c>
      <c r="C596" s="111">
        <v>17</v>
      </c>
      <c r="D596" s="111">
        <v>4</v>
      </c>
      <c r="E596" s="240" t="s">
        <v>1611</v>
      </c>
      <c r="F596" s="243" t="s">
        <v>534</v>
      </c>
      <c r="G596" s="117" t="s">
        <v>718</v>
      </c>
      <c r="H596" s="245" t="s">
        <v>1711</v>
      </c>
      <c r="I596" s="245" t="s">
        <v>1953</v>
      </c>
      <c r="J596" s="122">
        <v>7052013</v>
      </c>
    </row>
    <row r="597" spans="1:10" ht="45" customHeight="1" x14ac:dyDescent="0.3">
      <c r="A597" s="117">
        <v>661</v>
      </c>
      <c r="B597" s="131">
        <v>2005</v>
      </c>
      <c r="C597" s="111">
        <v>17</v>
      </c>
      <c r="D597" s="111">
        <v>4</v>
      </c>
      <c r="E597" s="240" t="s">
        <v>1611</v>
      </c>
      <c r="F597" s="243" t="s">
        <v>534</v>
      </c>
      <c r="G597" s="119" t="s">
        <v>718</v>
      </c>
      <c r="H597" s="245" t="s">
        <v>1711</v>
      </c>
      <c r="I597" s="245" t="s">
        <v>1953</v>
      </c>
      <c r="J597" s="122">
        <v>7052013</v>
      </c>
    </row>
    <row r="598" spans="1:10" ht="30" customHeight="1" x14ac:dyDescent="0.3">
      <c r="A598" s="117">
        <v>663</v>
      </c>
      <c r="B598" s="131">
        <v>2007</v>
      </c>
      <c r="C598" s="111">
        <v>17</v>
      </c>
      <c r="D598" s="111">
        <v>4</v>
      </c>
      <c r="E598" s="240" t="s">
        <v>1611</v>
      </c>
      <c r="F598" s="243" t="s">
        <v>534</v>
      </c>
      <c r="G598" s="117" t="s">
        <v>719</v>
      </c>
      <c r="H598" s="245" t="s">
        <v>1702</v>
      </c>
      <c r="I598" s="245" t="s">
        <v>1929</v>
      </c>
      <c r="J598" s="122">
        <v>7052013</v>
      </c>
    </row>
    <row r="599" spans="1:10" ht="45" customHeight="1" x14ac:dyDescent="0.3">
      <c r="A599" s="117">
        <v>664</v>
      </c>
      <c r="B599" s="131">
        <v>2008</v>
      </c>
      <c r="C599" s="111">
        <v>16</v>
      </c>
      <c r="D599" s="111">
        <v>4</v>
      </c>
      <c r="E599" s="240" t="s">
        <v>1611</v>
      </c>
      <c r="F599" s="243" t="s">
        <v>533</v>
      </c>
      <c r="G599" s="117" t="s">
        <v>720</v>
      </c>
      <c r="H599" s="245" t="s">
        <v>1698</v>
      </c>
      <c r="I599" s="245" t="s">
        <v>2134</v>
      </c>
      <c r="J599" s="122">
        <v>7052013</v>
      </c>
    </row>
    <row r="600" spans="1:10" ht="30" customHeight="1" x14ac:dyDescent="0.3">
      <c r="A600" s="117">
        <v>665</v>
      </c>
      <c r="B600" s="131">
        <v>2009</v>
      </c>
      <c r="C600" s="111">
        <v>16</v>
      </c>
      <c r="D600" s="111">
        <v>4</v>
      </c>
      <c r="E600" s="240" t="s">
        <v>1611</v>
      </c>
      <c r="F600" s="243" t="s">
        <v>533</v>
      </c>
      <c r="G600" s="119" t="s">
        <v>721</v>
      </c>
      <c r="H600" s="246" t="s">
        <v>1676</v>
      </c>
      <c r="I600" s="245" t="s">
        <v>1964</v>
      </c>
      <c r="J600" s="122">
        <v>7052013</v>
      </c>
    </row>
    <row r="601" spans="1:10" ht="30" customHeight="1" x14ac:dyDescent="0.3">
      <c r="A601" s="117">
        <v>666</v>
      </c>
      <c r="B601" s="131">
        <v>2010</v>
      </c>
      <c r="C601" s="111">
        <v>16</v>
      </c>
      <c r="D601" s="111">
        <v>4</v>
      </c>
      <c r="E601" s="240" t="s">
        <v>1611</v>
      </c>
      <c r="F601" s="243" t="s">
        <v>533</v>
      </c>
      <c r="G601" s="119" t="s">
        <v>721</v>
      </c>
      <c r="H601" s="246" t="s">
        <v>1676</v>
      </c>
      <c r="I601" s="245" t="s">
        <v>1988</v>
      </c>
      <c r="J601" s="122">
        <v>7052013</v>
      </c>
    </row>
    <row r="602" spans="1:10" ht="30" customHeight="1" x14ac:dyDescent="0.3">
      <c r="A602" s="117">
        <v>667</v>
      </c>
      <c r="B602" s="131">
        <v>2011</v>
      </c>
      <c r="C602" s="111">
        <v>16</v>
      </c>
      <c r="D602" s="111">
        <v>4</v>
      </c>
      <c r="E602" s="240" t="s">
        <v>1611</v>
      </c>
      <c r="F602" s="243" t="s">
        <v>533</v>
      </c>
      <c r="G602" s="119" t="s">
        <v>721</v>
      </c>
      <c r="H602" s="246" t="s">
        <v>1676</v>
      </c>
      <c r="I602" s="245" t="s">
        <v>1988</v>
      </c>
      <c r="J602" s="122">
        <v>7052013</v>
      </c>
    </row>
    <row r="603" spans="1:10" ht="45" customHeight="1" x14ac:dyDescent="0.3">
      <c r="A603" s="117">
        <v>668</v>
      </c>
      <c r="B603" s="131">
        <v>2012</v>
      </c>
      <c r="C603" s="111">
        <v>16</v>
      </c>
      <c r="D603" s="111">
        <v>4</v>
      </c>
      <c r="E603" s="240" t="s">
        <v>1611</v>
      </c>
      <c r="F603" s="243" t="s">
        <v>533</v>
      </c>
      <c r="G603" s="117" t="s">
        <v>722</v>
      </c>
      <c r="H603" s="245" t="s">
        <v>1684</v>
      </c>
      <c r="I603" s="245" t="s">
        <v>2133</v>
      </c>
      <c r="J603" s="122">
        <v>7052013</v>
      </c>
    </row>
    <row r="604" spans="1:10" ht="30" customHeight="1" x14ac:dyDescent="0.3">
      <c r="A604" s="117">
        <v>669</v>
      </c>
      <c r="B604" s="131">
        <v>2013</v>
      </c>
      <c r="C604" s="111">
        <v>16</v>
      </c>
      <c r="D604" s="111">
        <v>4</v>
      </c>
      <c r="E604" s="240" t="s">
        <v>1611</v>
      </c>
      <c r="F604" s="243" t="s">
        <v>533</v>
      </c>
      <c r="G604" s="119" t="s">
        <v>721</v>
      </c>
      <c r="H604" s="246" t="s">
        <v>1676</v>
      </c>
      <c r="I604" s="245" t="s">
        <v>1964</v>
      </c>
      <c r="J604" s="122">
        <v>7052013</v>
      </c>
    </row>
    <row r="605" spans="1:10" ht="30" customHeight="1" x14ac:dyDescent="0.3">
      <c r="A605" s="117">
        <v>670</v>
      </c>
      <c r="B605" s="131">
        <v>2014</v>
      </c>
      <c r="C605" s="111">
        <v>16</v>
      </c>
      <c r="D605" s="111">
        <v>4</v>
      </c>
      <c r="E605" s="240" t="s">
        <v>1611</v>
      </c>
      <c r="F605" s="243" t="s">
        <v>533</v>
      </c>
      <c r="G605" s="119" t="s">
        <v>721</v>
      </c>
      <c r="H605" s="246" t="s">
        <v>1676</v>
      </c>
      <c r="I605" s="245" t="s">
        <v>1964</v>
      </c>
      <c r="J605" s="122">
        <v>7052013</v>
      </c>
    </row>
    <row r="606" spans="1:10" ht="30" customHeight="1" x14ac:dyDescent="0.3">
      <c r="A606" s="117">
        <v>671</v>
      </c>
      <c r="B606" s="131">
        <v>2015</v>
      </c>
      <c r="C606" s="111">
        <v>16</v>
      </c>
      <c r="D606" s="111">
        <v>4</v>
      </c>
      <c r="E606" s="240" t="s">
        <v>1611</v>
      </c>
      <c r="F606" s="243" t="s">
        <v>533</v>
      </c>
      <c r="G606" s="119" t="s">
        <v>721</v>
      </c>
      <c r="H606" s="246" t="s">
        <v>1676</v>
      </c>
      <c r="I606" s="245" t="s">
        <v>1964</v>
      </c>
      <c r="J606" s="122">
        <v>7052013</v>
      </c>
    </row>
    <row r="607" spans="1:10" ht="45" customHeight="1" x14ac:dyDescent="0.3">
      <c r="A607" s="117">
        <v>672</v>
      </c>
      <c r="B607" s="131">
        <v>2016</v>
      </c>
      <c r="C607" s="111">
        <v>16</v>
      </c>
      <c r="D607" s="111">
        <v>4</v>
      </c>
      <c r="E607" s="240" t="s">
        <v>1611</v>
      </c>
      <c r="F607" s="243" t="s">
        <v>533</v>
      </c>
      <c r="G607" s="119" t="s">
        <v>723</v>
      </c>
      <c r="H607" s="246" t="s">
        <v>1699</v>
      </c>
      <c r="I607" s="245" t="s">
        <v>1995</v>
      </c>
      <c r="J607" s="122">
        <v>7052013</v>
      </c>
    </row>
    <row r="608" spans="1:10" ht="45" customHeight="1" x14ac:dyDescent="0.3">
      <c r="A608" s="117">
        <v>673</v>
      </c>
      <c r="B608" s="131">
        <v>2017</v>
      </c>
      <c r="C608" s="111">
        <v>16</v>
      </c>
      <c r="D608" s="111">
        <v>4</v>
      </c>
      <c r="E608" s="240" t="s">
        <v>1611</v>
      </c>
      <c r="F608" s="243" t="s">
        <v>533</v>
      </c>
      <c r="G608" s="117" t="s">
        <v>724</v>
      </c>
      <c r="H608" s="245" t="s">
        <v>1694</v>
      </c>
      <c r="I608" s="245" t="s">
        <v>1963</v>
      </c>
      <c r="J608" s="122">
        <v>7052013</v>
      </c>
    </row>
    <row r="609" spans="1:10" ht="45" customHeight="1" x14ac:dyDescent="0.3">
      <c r="A609" s="117">
        <v>674</v>
      </c>
      <c r="B609" s="131">
        <v>10001</v>
      </c>
      <c r="C609" s="111">
        <v>1</v>
      </c>
      <c r="D609" s="111">
        <v>1</v>
      </c>
      <c r="E609" s="242" t="s">
        <v>1614</v>
      </c>
      <c r="F609" s="243" t="s">
        <v>1627</v>
      </c>
      <c r="G609" s="117" t="s">
        <v>725</v>
      </c>
      <c r="H609" s="245" t="s">
        <v>1740</v>
      </c>
      <c r="I609" s="245"/>
      <c r="J609" s="122">
        <v>20052010</v>
      </c>
    </row>
    <row r="610" spans="1:10" ht="45" customHeight="1" x14ac:dyDescent="0.3">
      <c r="A610" s="117">
        <v>675</v>
      </c>
      <c r="B610" s="131">
        <v>10007</v>
      </c>
      <c r="C610" s="111">
        <v>1</v>
      </c>
      <c r="D610" s="111">
        <v>1</v>
      </c>
      <c r="E610" s="242" t="s">
        <v>1614</v>
      </c>
      <c r="F610" s="243" t="s">
        <v>1627</v>
      </c>
      <c r="G610" s="119" t="s">
        <v>726</v>
      </c>
      <c r="H610" s="245" t="s">
        <v>1740</v>
      </c>
      <c r="I610" s="245"/>
      <c r="J610" s="122">
        <v>12042011</v>
      </c>
    </row>
    <row r="611" spans="1:10" ht="45" customHeight="1" x14ac:dyDescent="0.3">
      <c r="A611" s="117">
        <v>676</v>
      </c>
      <c r="B611" s="131">
        <v>10008</v>
      </c>
      <c r="C611" s="111">
        <v>1</v>
      </c>
      <c r="D611" s="111">
        <v>1</v>
      </c>
      <c r="E611" s="242" t="s">
        <v>1614</v>
      </c>
      <c r="F611" s="243" t="s">
        <v>1627</v>
      </c>
      <c r="G611" s="119" t="s">
        <v>726</v>
      </c>
      <c r="H611" s="245" t="s">
        <v>1740</v>
      </c>
      <c r="I611" s="245"/>
      <c r="J611" s="122">
        <v>12042011</v>
      </c>
    </row>
    <row r="612" spans="1:10" ht="45" customHeight="1" x14ac:dyDescent="0.3">
      <c r="A612" s="117">
        <v>677</v>
      </c>
      <c r="B612" s="131">
        <v>10009</v>
      </c>
      <c r="C612" s="111">
        <v>1</v>
      </c>
      <c r="D612" s="111">
        <v>1</v>
      </c>
      <c r="E612" s="242" t="s">
        <v>1614</v>
      </c>
      <c r="F612" s="243" t="s">
        <v>1627</v>
      </c>
      <c r="G612" s="119" t="s">
        <v>726</v>
      </c>
      <c r="H612" s="245" t="s">
        <v>1740</v>
      </c>
      <c r="I612" s="245"/>
      <c r="J612" s="122">
        <v>12042011</v>
      </c>
    </row>
    <row r="613" spans="1:10" ht="45" customHeight="1" x14ac:dyDescent="0.3">
      <c r="A613" s="117">
        <v>678</v>
      </c>
      <c r="B613" s="131">
        <v>10010</v>
      </c>
      <c r="C613" s="111">
        <v>1</v>
      </c>
      <c r="D613" s="111">
        <v>1</v>
      </c>
      <c r="E613" s="242" t="s">
        <v>1614</v>
      </c>
      <c r="F613" s="243" t="s">
        <v>1627</v>
      </c>
      <c r="G613" s="119" t="s">
        <v>726</v>
      </c>
      <c r="H613" s="245" t="s">
        <v>1740</v>
      </c>
      <c r="I613" s="245"/>
      <c r="J613" s="122">
        <v>12042011</v>
      </c>
    </row>
    <row r="614" spans="1:10" ht="45" customHeight="1" x14ac:dyDescent="0.3">
      <c r="A614" s="117">
        <v>679</v>
      </c>
      <c r="B614" s="131">
        <v>10011</v>
      </c>
      <c r="C614" s="111">
        <v>1</v>
      </c>
      <c r="D614" s="111">
        <v>1</v>
      </c>
      <c r="E614" s="242" t="s">
        <v>1614</v>
      </c>
      <c r="F614" s="243" t="s">
        <v>1627</v>
      </c>
      <c r="G614" s="119" t="s">
        <v>726</v>
      </c>
      <c r="H614" s="245" t="s">
        <v>1740</v>
      </c>
      <c r="I614" s="245"/>
      <c r="J614" s="122">
        <v>12042011</v>
      </c>
    </row>
    <row r="615" spans="1:10" ht="45" customHeight="1" x14ac:dyDescent="0.3">
      <c r="A615" s="117">
        <v>680</v>
      </c>
      <c r="B615" s="131">
        <v>10012</v>
      </c>
      <c r="C615" s="111">
        <v>1</v>
      </c>
      <c r="D615" s="111">
        <v>1</v>
      </c>
      <c r="E615" s="242" t="s">
        <v>1614</v>
      </c>
      <c r="F615" s="243" t="s">
        <v>1627</v>
      </c>
      <c r="G615" s="119" t="s">
        <v>726</v>
      </c>
      <c r="H615" s="245" t="s">
        <v>1740</v>
      </c>
      <c r="I615" s="245"/>
      <c r="J615" s="122">
        <v>12042011</v>
      </c>
    </row>
    <row r="616" spans="1:10" ht="45" customHeight="1" x14ac:dyDescent="0.3">
      <c r="A616" s="117">
        <v>681</v>
      </c>
      <c r="B616" s="131">
        <v>10013</v>
      </c>
      <c r="C616" s="111">
        <v>1</v>
      </c>
      <c r="D616" s="111">
        <v>1</v>
      </c>
      <c r="E616" s="242" t="s">
        <v>1614</v>
      </c>
      <c r="F616" s="243" t="s">
        <v>1627</v>
      </c>
      <c r="G616" s="119" t="s">
        <v>726</v>
      </c>
      <c r="H616" s="245" t="s">
        <v>1740</v>
      </c>
      <c r="I616" s="245"/>
      <c r="J616" s="122">
        <v>12042011</v>
      </c>
    </row>
    <row r="617" spans="1:10" ht="30" customHeight="1" x14ac:dyDescent="0.3">
      <c r="A617" s="117">
        <v>682</v>
      </c>
      <c r="B617" s="131">
        <v>10014</v>
      </c>
      <c r="C617" s="111">
        <v>16</v>
      </c>
      <c r="D617" s="111">
        <v>4</v>
      </c>
      <c r="E617" s="240" t="s">
        <v>1611</v>
      </c>
      <c r="F617" s="243" t="s">
        <v>533</v>
      </c>
      <c r="G617" s="119" t="s">
        <v>727</v>
      </c>
      <c r="H617" s="246" t="s">
        <v>1682</v>
      </c>
      <c r="I617" s="245" t="s">
        <v>1996</v>
      </c>
      <c r="J617" s="122">
        <v>31032011</v>
      </c>
    </row>
    <row r="618" spans="1:10" ht="30" customHeight="1" x14ac:dyDescent="0.3">
      <c r="A618" s="117">
        <v>683</v>
      </c>
      <c r="B618" s="131">
        <v>10015</v>
      </c>
      <c r="C618" s="111">
        <v>16</v>
      </c>
      <c r="D618" s="111">
        <v>4</v>
      </c>
      <c r="E618" s="240" t="s">
        <v>1611</v>
      </c>
      <c r="F618" s="243" t="s">
        <v>533</v>
      </c>
      <c r="G618" s="119" t="s">
        <v>727</v>
      </c>
      <c r="H618" s="246" t="s">
        <v>1682</v>
      </c>
      <c r="I618" s="245" t="s">
        <v>1996</v>
      </c>
      <c r="J618" s="122">
        <v>31032011</v>
      </c>
    </row>
    <row r="619" spans="1:10" ht="45" customHeight="1" x14ac:dyDescent="0.3">
      <c r="A619" s="117">
        <v>684</v>
      </c>
      <c r="B619" s="131">
        <v>10017</v>
      </c>
      <c r="C619" s="111">
        <v>18</v>
      </c>
      <c r="D619" s="111">
        <v>4</v>
      </c>
      <c r="E619" s="240" t="s">
        <v>1611</v>
      </c>
      <c r="F619" s="243" t="s">
        <v>1637</v>
      </c>
      <c r="G619" s="117" t="s">
        <v>728</v>
      </c>
      <c r="H619" s="245" t="s">
        <v>1808</v>
      </c>
      <c r="I619" s="245" t="s">
        <v>1813</v>
      </c>
      <c r="J619" s="122">
        <v>31032011</v>
      </c>
    </row>
    <row r="620" spans="1:10" ht="45" customHeight="1" x14ac:dyDescent="0.3">
      <c r="A620" s="117">
        <v>685</v>
      </c>
      <c r="B620" s="131">
        <v>10018</v>
      </c>
      <c r="C620" s="111">
        <v>1</v>
      </c>
      <c r="D620" s="111">
        <v>1</v>
      </c>
      <c r="E620" s="242" t="s">
        <v>1614</v>
      </c>
      <c r="F620" s="243" t="s">
        <v>1627</v>
      </c>
      <c r="G620" s="119" t="s">
        <v>709</v>
      </c>
      <c r="H620" s="245" t="s">
        <v>1742</v>
      </c>
      <c r="I620" s="245" t="s">
        <v>1986</v>
      </c>
      <c r="J620" s="122">
        <v>31032011</v>
      </c>
    </row>
    <row r="621" spans="1:10" ht="45" customHeight="1" x14ac:dyDescent="0.3">
      <c r="A621" s="117">
        <v>686</v>
      </c>
      <c r="B621" s="131">
        <v>10019</v>
      </c>
      <c r="C621" s="111">
        <v>1</v>
      </c>
      <c r="D621" s="111">
        <v>1</v>
      </c>
      <c r="E621" s="242" t="s">
        <v>1614</v>
      </c>
      <c r="F621" s="243" t="s">
        <v>1627</v>
      </c>
      <c r="G621" s="119" t="s">
        <v>709</v>
      </c>
      <c r="H621" s="246" t="s">
        <v>1741</v>
      </c>
      <c r="I621" s="245" t="s">
        <v>1997</v>
      </c>
      <c r="J621" s="122">
        <v>31032011</v>
      </c>
    </row>
    <row r="622" spans="1:10" ht="30" customHeight="1" x14ac:dyDescent="0.3">
      <c r="A622" s="117">
        <v>687</v>
      </c>
      <c r="B622" s="131">
        <v>10020</v>
      </c>
      <c r="C622" s="111">
        <v>8</v>
      </c>
      <c r="D622" s="111">
        <v>2</v>
      </c>
      <c r="E622" s="241" t="s">
        <v>1613</v>
      </c>
      <c r="F622" s="243" t="s">
        <v>1625</v>
      </c>
      <c r="G622" s="119" t="s">
        <v>729</v>
      </c>
      <c r="H622" s="245" t="s">
        <v>741</v>
      </c>
      <c r="I622" s="245" t="s">
        <v>1919</v>
      </c>
      <c r="J622" s="122">
        <v>20012011</v>
      </c>
    </row>
    <row r="623" spans="1:10" ht="30" customHeight="1" x14ac:dyDescent="0.3">
      <c r="A623" s="117">
        <v>688</v>
      </c>
      <c r="B623" s="131">
        <v>10021</v>
      </c>
      <c r="C623" s="111">
        <v>8</v>
      </c>
      <c r="D623" s="111">
        <v>2</v>
      </c>
      <c r="E623" s="241" t="s">
        <v>1613</v>
      </c>
      <c r="F623" s="243" t="s">
        <v>1625</v>
      </c>
      <c r="G623" s="119" t="s">
        <v>730</v>
      </c>
      <c r="H623" s="246" t="s">
        <v>1656</v>
      </c>
      <c r="I623" s="245" t="s">
        <v>1919</v>
      </c>
      <c r="J623" s="122">
        <v>20012011</v>
      </c>
    </row>
    <row r="624" spans="1:10" ht="45" customHeight="1" x14ac:dyDescent="0.3">
      <c r="A624" s="117">
        <v>689</v>
      </c>
      <c r="B624" s="131">
        <v>10022</v>
      </c>
      <c r="C624" s="111">
        <v>16</v>
      </c>
      <c r="D624" s="111">
        <v>4</v>
      </c>
      <c r="E624" s="240" t="s">
        <v>1611</v>
      </c>
      <c r="F624" s="243" t="s">
        <v>533</v>
      </c>
      <c r="G624" s="119" t="s">
        <v>731</v>
      </c>
      <c r="H624" s="246" t="s">
        <v>1788</v>
      </c>
      <c r="I624" s="245" t="s">
        <v>2136</v>
      </c>
      <c r="J624" s="122">
        <v>20012011</v>
      </c>
    </row>
    <row r="625" spans="1:10" ht="45" customHeight="1" x14ac:dyDescent="0.3">
      <c r="A625" s="117">
        <v>690</v>
      </c>
      <c r="B625" s="131">
        <v>10023</v>
      </c>
      <c r="C625" s="111">
        <v>16</v>
      </c>
      <c r="D625" s="111">
        <v>4</v>
      </c>
      <c r="E625" s="240" t="s">
        <v>1611</v>
      </c>
      <c r="F625" s="243" t="s">
        <v>533</v>
      </c>
      <c r="G625" s="117" t="s">
        <v>732</v>
      </c>
      <c r="H625" s="245" t="s">
        <v>1697</v>
      </c>
      <c r="I625" s="245" t="s">
        <v>2137</v>
      </c>
      <c r="J625" s="122">
        <v>20012011</v>
      </c>
    </row>
    <row r="626" spans="1:10" ht="30" customHeight="1" x14ac:dyDescent="0.3">
      <c r="A626" s="117">
        <v>691</v>
      </c>
      <c r="B626" s="131">
        <v>10024</v>
      </c>
      <c r="C626" s="111">
        <v>10</v>
      </c>
      <c r="D626" s="111">
        <v>2</v>
      </c>
      <c r="E626" s="241" t="s">
        <v>1613</v>
      </c>
      <c r="F626" s="243" t="s">
        <v>527</v>
      </c>
      <c r="G626" s="119" t="s">
        <v>707</v>
      </c>
      <c r="H626" s="245" t="s">
        <v>1767</v>
      </c>
      <c r="I626" s="245" t="s">
        <v>1958</v>
      </c>
      <c r="J626" s="122">
        <v>20012011</v>
      </c>
    </row>
    <row r="627" spans="1:10" ht="40.5" customHeight="1" x14ac:dyDescent="0.3">
      <c r="A627" s="117">
        <v>692</v>
      </c>
      <c r="B627" s="131">
        <v>10025</v>
      </c>
      <c r="C627" s="111">
        <v>2</v>
      </c>
      <c r="D627" s="111">
        <v>1</v>
      </c>
      <c r="E627" s="242" t="s">
        <v>1614</v>
      </c>
      <c r="F627" s="243" t="s">
        <v>1584</v>
      </c>
      <c r="G627" s="119" t="s">
        <v>733</v>
      </c>
      <c r="H627" s="246" t="s">
        <v>1737</v>
      </c>
      <c r="I627" s="245" t="s">
        <v>2138</v>
      </c>
      <c r="J627" s="122">
        <v>31032011</v>
      </c>
    </row>
    <row r="628" spans="1:10" ht="75" customHeight="1" x14ac:dyDescent="0.3">
      <c r="A628" s="117">
        <v>693</v>
      </c>
      <c r="B628" s="131">
        <v>10026</v>
      </c>
      <c r="C628" s="111">
        <v>1</v>
      </c>
      <c r="D628" s="111">
        <v>1</v>
      </c>
      <c r="E628" s="242" t="s">
        <v>1614</v>
      </c>
      <c r="F628" s="243" t="s">
        <v>1627</v>
      </c>
      <c r="G628" s="119" t="s">
        <v>734</v>
      </c>
      <c r="H628" s="246" t="s">
        <v>1739</v>
      </c>
      <c r="I628" s="245" t="s">
        <v>1998</v>
      </c>
      <c r="J628" s="122">
        <v>26042010</v>
      </c>
    </row>
    <row r="629" spans="1:10" ht="75" customHeight="1" x14ac:dyDescent="0.3">
      <c r="A629" s="117">
        <v>694</v>
      </c>
      <c r="B629" s="131">
        <v>10027</v>
      </c>
      <c r="C629" s="111">
        <v>1</v>
      </c>
      <c r="D629" s="111">
        <v>1</v>
      </c>
      <c r="E629" s="242" t="s">
        <v>1614</v>
      </c>
      <c r="F629" s="243" t="s">
        <v>1627</v>
      </c>
      <c r="G629" s="119" t="s">
        <v>734</v>
      </c>
      <c r="H629" s="246" t="s">
        <v>1739</v>
      </c>
      <c r="I629" s="245" t="s">
        <v>1998</v>
      </c>
      <c r="J629" s="122">
        <v>26042010</v>
      </c>
    </row>
    <row r="630" spans="1:10" ht="30" customHeight="1" x14ac:dyDescent="0.3">
      <c r="A630" s="117">
        <v>695</v>
      </c>
      <c r="B630" s="131">
        <v>10031</v>
      </c>
      <c r="C630" s="111">
        <v>23</v>
      </c>
      <c r="D630" s="111">
        <v>1</v>
      </c>
      <c r="E630" s="242" t="s">
        <v>1614</v>
      </c>
      <c r="F630" s="243" t="s">
        <v>1586</v>
      </c>
      <c r="G630" s="119" t="s">
        <v>735</v>
      </c>
      <c r="H630" s="246" t="s">
        <v>1621</v>
      </c>
      <c r="I630" s="245"/>
      <c r="J630" s="122">
        <v>31032011</v>
      </c>
    </row>
    <row r="631" spans="1:10" ht="45" customHeight="1" x14ac:dyDescent="0.3">
      <c r="A631" s="117">
        <v>696</v>
      </c>
      <c r="B631" s="131">
        <v>10032</v>
      </c>
      <c r="C631" s="111">
        <v>16</v>
      </c>
      <c r="D631" s="111">
        <v>4</v>
      </c>
      <c r="E631" s="240" t="s">
        <v>1611</v>
      </c>
      <c r="F631" s="243" t="s">
        <v>533</v>
      </c>
      <c r="G631" s="119" t="s">
        <v>736</v>
      </c>
      <c r="H631" s="245" t="s">
        <v>1685</v>
      </c>
      <c r="I631" s="245" t="s">
        <v>1944</v>
      </c>
      <c r="J631" s="122">
        <v>26042010</v>
      </c>
    </row>
    <row r="632" spans="1:10" ht="45" customHeight="1" x14ac:dyDescent="0.3">
      <c r="A632" s="117">
        <v>697</v>
      </c>
      <c r="B632" s="131">
        <v>10033</v>
      </c>
      <c r="C632" s="111">
        <v>16</v>
      </c>
      <c r="D632" s="111">
        <v>4</v>
      </c>
      <c r="E632" s="240" t="s">
        <v>1611</v>
      </c>
      <c r="F632" s="243" t="s">
        <v>533</v>
      </c>
      <c r="G632" s="119" t="s">
        <v>737</v>
      </c>
      <c r="H632" s="246" t="s">
        <v>1687</v>
      </c>
      <c r="I632" s="245" t="s">
        <v>1944</v>
      </c>
      <c r="J632" s="122">
        <v>26042010</v>
      </c>
    </row>
    <row r="633" spans="1:10" ht="30" customHeight="1" x14ac:dyDescent="0.3">
      <c r="A633" s="117">
        <v>698</v>
      </c>
      <c r="B633" s="131">
        <v>10034</v>
      </c>
      <c r="C633" s="111">
        <v>16</v>
      </c>
      <c r="D633" s="111">
        <v>4</v>
      </c>
      <c r="E633" s="240" t="s">
        <v>1611</v>
      </c>
      <c r="F633" s="243" t="s">
        <v>533</v>
      </c>
      <c r="G633" s="119" t="s">
        <v>1359</v>
      </c>
      <c r="H633" s="246" t="s">
        <v>2141</v>
      </c>
      <c r="I633" s="245" t="s">
        <v>1999</v>
      </c>
      <c r="J633" s="122">
        <v>26042010</v>
      </c>
    </row>
    <row r="634" spans="1:10" ht="30" customHeight="1" x14ac:dyDescent="0.3">
      <c r="A634" s="117">
        <v>699</v>
      </c>
      <c r="B634" s="131">
        <v>10040</v>
      </c>
      <c r="C634" s="111">
        <v>16</v>
      </c>
      <c r="D634" s="111">
        <v>4</v>
      </c>
      <c r="E634" s="240" t="s">
        <v>1611</v>
      </c>
      <c r="F634" s="243" t="s">
        <v>533</v>
      </c>
      <c r="G634" s="119" t="s">
        <v>738</v>
      </c>
      <c r="H634" s="246" t="s">
        <v>1689</v>
      </c>
      <c r="I634" s="245" t="s">
        <v>1949</v>
      </c>
      <c r="J634" s="122">
        <v>31032011</v>
      </c>
    </row>
    <row r="635" spans="1:10" ht="30" customHeight="1" x14ac:dyDescent="0.3">
      <c r="A635" s="117">
        <v>700</v>
      </c>
      <c r="B635" s="131">
        <v>10041</v>
      </c>
      <c r="C635" s="111">
        <v>16</v>
      </c>
      <c r="D635" s="111">
        <v>4</v>
      </c>
      <c r="E635" s="240" t="s">
        <v>1611</v>
      </c>
      <c r="F635" s="243" t="s">
        <v>533</v>
      </c>
      <c r="G635" s="119" t="s">
        <v>738</v>
      </c>
      <c r="H635" s="246" t="s">
        <v>1689</v>
      </c>
      <c r="I635" s="245" t="s">
        <v>1949</v>
      </c>
      <c r="J635" s="122">
        <v>31032011</v>
      </c>
    </row>
    <row r="636" spans="1:10" ht="60" customHeight="1" x14ac:dyDescent="0.3">
      <c r="A636" s="117">
        <v>701</v>
      </c>
      <c r="B636" s="131">
        <v>10042</v>
      </c>
      <c r="C636" s="111">
        <v>1</v>
      </c>
      <c r="D636" s="111">
        <v>1</v>
      </c>
      <c r="E636" s="242" t="s">
        <v>1614</v>
      </c>
      <c r="F636" s="243" t="s">
        <v>1627</v>
      </c>
      <c r="G636" s="117" t="s">
        <v>1742</v>
      </c>
      <c r="H636" s="245" t="s">
        <v>1742</v>
      </c>
      <c r="I636" s="245" t="s">
        <v>1941</v>
      </c>
      <c r="J636" s="122">
        <v>31032011</v>
      </c>
    </row>
    <row r="637" spans="1:10" ht="30" customHeight="1" x14ac:dyDescent="0.3">
      <c r="A637" s="117">
        <v>702</v>
      </c>
      <c r="B637" s="131">
        <v>10043</v>
      </c>
      <c r="C637" s="111">
        <v>8</v>
      </c>
      <c r="D637" s="111">
        <v>2</v>
      </c>
      <c r="E637" s="241" t="s">
        <v>1613</v>
      </c>
      <c r="F637" s="243" t="s">
        <v>1625</v>
      </c>
      <c r="G637" s="119" t="s">
        <v>1624</v>
      </c>
      <c r="H637" s="246" t="s">
        <v>1624</v>
      </c>
      <c r="I637" s="245" t="s">
        <v>1920</v>
      </c>
      <c r="J637" s="122">
        <v>31032011</v>
      </c>
    </row>
    <row r="638" spans="1:10" ht="72" customHeight="1" x14ac:dyDescent="0.3">
      <c r="A638" s="117">
        <v>703</v>
      </c>
      <c r="B638" s="131">
        <v>10044</v>
      </c>
      <c r="C638" s="111">
        <v>1</v>
      </c>
      <c r="D638" s="111">
        <v>1</v>
      </c>
      <c r="E638" s="242" t="s">
        <v>1614</v>
      </c>
      <c r="F638" s="243" t="s">
        <v>1627</v>
      </c>
      <c r="G638" s="119" t="s">
        <v>739</v>
      </c>
      <c r="H638" s="246" t="s">
        <v>1739</v>
      </c>
      <c r="I638" s="245" t="s">
        <v>2000</v>
      </c>
      <c r="J638" s="122">
        <v>31032011</v>
      </c>
    </row>
    <row r="639" spans="1:10" ht="45" customHeight="1" x14ac:dyDescent="0.3">
      <c r="A639" s="117">
        <v>704</v>
      </c>
      <c r="B639" s="131">
        <v>10045</v>
      </c>
      <c r="C639" s="111">
        <v>1</v>
      </c>
      <c r="D639" s="111">
        <v>1</v>
      </c>
      <c r="E639" s="242" t="s">
        <v>1614</v>
      </c>
      <c r="F639" s="243" t="s">
        <v>1627</v>
      </c>
      <c r="G639" s="119" t="s">
        <v>740</v>
      </c>
      <c r="H639" s="245" t="s">
        <v>1742</v>
      </c>
      <c r="I639" s="245"/>
      <c r="J639" s="122">
        <v>31032011</v>
      </c>
    </row>
    <row r="640" spans="1:10" ht="30" customHeight="1" x14ac:dyDescent="0.3">
      <c r="A640" s="117">
        <v>705</v>
      </c>
      <c r="B640" s="131">
        <v>10046</v>
      </c>
      <c r="C640" s="111">
        <v>8</v>
      </c>
      <c r="D640" s="111">
        <v>2</v>
      </c>
      <c r="E640" s="241" t="s">
        <v>1613</v>
      </c>
      <c r="F640" s="243" t="s">
        <v>1625</v>
      </c>
      <c r="G640" s="119" t="s">
        <v>741</v>
      </c>
      <c r="H640" s="245" t="s">
        <v>741</v>
      </c>
      <c r="I640" s="245" t="s">
        <v>1919</v>
      </c>
      <c r="J640" s="122">
        <v>26042010</v>
      </c>
    </row>
    <row r="641" spans="1:10" ht="30" customHeight="1" x14ac:dyDescent="0.3">
      <c r="A641" s="117">
        <v>706</v>
      </c>
      <c r="B641" s="131">
        <v>10047</v>
      </c>
      <c r="C641" s="111">
        <v>8</v>
      </c>
      <c r="D641" s="111">
        <v>2</v>
      </c>
      <c r="E641" s="241" t="s">
        <v>1613</v>
      </c>
      <c r="F641" s="243" t="s">
        <v>1625</v>
      </c>
      <c r="G641" s="119" t="s">
        <v>741</v>
      </c>
      <c r="H641" s="245" t="s">
        <v>741</v>
      </c>
      <c r="I641" s="245" t="s">
        <v>1919</v>
      </c>
      <c r="J641" s="122">
        <v>31032011</v>
      </c>
    </row>
    <row r="642" spans="1:10" ht="45" customHeight="1" x14ac:dyDescent="0.3">
      <c r="A642" s="117">
        <v>707</v>
      </c>
      <c r="B642" s="131">
        <v>10048</v>
      </c>
      <c r="C642" s="111">
        <v>1</v>
      </c>
      <c r="D642" s="111">
        <v>1</v>
      </c>
      <c r="E642" s="242" t="s">
        <v>1614</v>
      </c>
      <c r="F642" s="243" t="s">
        <v>1627</v>
      </c>
      <c r="G642" s="119" t="s">
        <v>742</v>
      </c>
      <c r="H642" s="245" t="s">
        <v>1742</v>
      </c>
      <c r="I642" s="245" t="s">
        <v>1986</v>
      </c>
      <c r="J642" s="122">
        <v>31032011</v>
      </c>
    </row>
    <row r="643" spans="1:10" ht="30" customHeight="1" x14ac:dyDescent="0.3">
      <c r="A643" s="117">
        <v>708</v>
      </c>
      <c r="B643" s="131">
        <v>10049</v>
      </c>
      <c r="C643" s="111">
        <v>16</v>
      </c>
      <c r="D643" s="111">
        <v>4</v>
      </c>
      <c r="E643" s="240" t="s">
        <v>1611</v>
      </c>
      <c r="F643" s="243" t="s">
        <v>533</v>
      </c>
      <c r="G643" s="119" t="s">
        <v>1358</v>
      </c>
      <c r="H643" s="245" t="s">
        <v>1683</v>
      </c>
      <c r="I643" s="245" t="s">
        <v>2135</v>
      </c>
      <c r="J643" s="122">
        <v>31032011</v>
      </c>
    </row>
    <row r="644" spans="1:10" ht="30" customHeight="1" x14ac:dyDescent="0.3">
      <c r="A644" s="117">
        <v>709</v>
      </c>
      <c r="B644" s="131">
        <v>10050</v>
      </c>
      <c r="C644" s="111">
        <v>16</v>
      </c>
      <c r="D644" s="111">
        <v>4</v>
      </c>
      <c r="E644" s="240" t="s">
        <v>1611</v>
      </c>
      <c r="F644" s="243" t="s">
        <v>533</v>
      </c>
      <c r="G644" s="119" t="s">
        <v>1358</v>
      </c>
      <c r="H644" s="245" t="s">
        <v>1683</v>
      </c>
      <c r="I644" s="245" t="s">
        <v>2135</v>
      </c>
      <c r="J644" s="122">
        <v>31032011</v>
      </c>
    </row>
    <row r="645" spans="1:10" ht="30" customHeight="1" x14ac:dyDescent="0.3">
      <c r="A645" s="117">
        <v>710</v>
      </c>
      <c r="B645" s="131">
        <v>10051</v>
      </c>
      <c r="C645" s="111">
        <v>16</v>
      </c>
      <c r="D645" s="111">
        <v>4</v>
      </c>
      <c r="E645" s="240" t="s">
        <v>1611</v>
      </c>
      <c r="F645" s="243" t="s">
        <v>533</v>
      </c>
      <c r="G645" s="119" t="s">
        <v>1358</v>
      </c>
      <c r="H645" s="245" t="s">
        <v>1683</v>
      </c>
      <c r="I645" s="245" t="s">
        <v>2135</v>
      </c>
      <c r="J645" s="122">
        <v>31032011</v>
      </c>
    </row>
    <row r="646" spans="1:10" ht="30" customHeight="1" x14ac:dyDescent="0.3">
      <c r="A646" s="117">
        <v>711</v>
      </c>
      <c r="B646" s="131">
        <v>10052</v>
      </c>
      <c r="C646" s="111">
        <v>16</v>
      </c>
      <c r="D646" s="111">
        <v>4</v>
      </c>
      <c r="E646" s="240" t="s">
        <v>1611</v>
      </c>
      <c r="F646" s="243" t="s">
        <v>533</v>
      </c>
      <c r="G646" s="119" t="s">
        <v>1358</v>
      </c>
      <c r="H646" s="245" t="s">
        <v>1683</v>
      </c>
      <c r="I646" s="245" t="s">
        <v>2135</v>
      </c>
      <c r="J646" s="122">
        <v>31032011</v>
      </c>
    </row>
    <row r="647" spans="1:10" ht="30" customHeight="1" x14ac:dyDescent="0.3">
      <c r="A647" s="117">
        <v>712</v>
      </c>
      <c r="B647" s="131">
        <v>10053</v>
      </c>
      <c r="C647" s="111">
        <v>16</v>
      </c>
      <c r="D647" s="111">
        <v>4</v>
      </c>
      <c r="E647" s="240" t="s">
        <v>1611</v>
      </c>
      <c r="F647" s="243" t="s">
        <v>533</v>
      </c>
      <c r="G647" s="119" t="s">
        <v>1358</v>
      </c>
      <c r="H647" s="245" t="s">
        <v>1683</v>
      </c>
      <c r="I647" s="245" t="s">
        <v>2135</v>
      </c>
      <c r="J647" s="122">
        <v>31032011</v>
      </c>
    </row>
    <row r="648" spans="1:10" ht="45" customHeight="1" x14ac:dyDescent="0.3">
      <c r="A648" s="117">
        <v>713</v>
      </c>
      <c r="B648" s="131">
        <v>10054</v>
      </c>
      <c r="C648" s="111">
        <v>18</v>
      </c>
      <c r="D648" s="111">
        <v>4</v>
      </c>
      <c r="E648" s="240" t="s">
        <v>1611</v>
      </c>
      <c r="F648" s="243" t="s">
        <v>1637</v>
      </c>
      <c r="G648" s="119" t="s">
        <v>743</v>
      </c>
      <c r="H648" s="245" t="s">
        <v>1808</v>
      </c>
      <c r="I648" s="245" t="s">
        <v>1813</v>
      </c>
      <c r="J648" s="122">
        <v>31032011</v>
      </c>
    </row>
    <row r="649" spans="1:10" ht="45" customHeight="1" x14ac:dyDescent="0.3">
      <c r="A649" s="117">
        <v>714</v>
      </c>
      <c r="B649" s="131">
        <v>10055</v>
      </c>
      <c r="C649" s="111">
        <v>18</v>
      </c>
      <c r="D649" s="111">
        <v>4</v>
      </c>
      <c r="E649" s="240" t="s">
        <v>1611</v>
      </c>
      <c r="F649" s="243" t="s">
        <v>1637</v>
      </c>
      <c r="G649" s="119" t="s">
        <v>743</v>
      </c>
      <c r="H649" s="245" t="s">
        <v>1808</v>
      </c>
      <c r="I649" s="245" t="s">
        <v>1813</v>
      </c>
      <c r="J649" s="122">
        <v>31032011</v>
      </c>
    </row>
    <row r="650" spans="1:10" ht="45" customHeight="1" x14ac:dyDescent="0.3">
      <c r="A650" s="117">
        <v>715</v>
      </c>
      <c r="B650" s="131">
        <v>10056</v>
      </c>
      <c r="C650" s="111">
        <v>18</v>
      </c>
      <c r="D650" s="111">
        <v>4</v>
      </c>
      <c r="E650" s="240" t="s">
        <v>1611</v>
      </c>
      <c r="F650" s="243" t="s">
        <v>1637</v>
      </c>
      <c r="G650" s="119" t="s">
        <v>743</v>
      </c>
      <c r="H650" s="245" t="s">
        <v>1808</v>
      </c>
      <c r="I650" s="245" t="s">
        <v>1813</v>
      </c>
      <c r="J650" s="122">
        <v>31032011</v>
      </c>
    </row>
    <row r="651" spans="1:10" ht="45" customHeight="1" x14ac:dyDescent="0.3">
      <c r="A651" s="117">
        <v>716</v>
      </c>
      <c r="B651" s="131">
        <v>10057</v>
      </c>
      <c r="C651" s="111">
        <v>18</v>
      </c>
      <c r="D651" s="111">
        <v>4</v>
      </c>
      <c r="E651" s="240" t="s">
        <v>1611</v>
      </c>
      <c r="F651" s="243" t="s">
        <v>1637</v>
      </c>
      <c r="G651" s="119" t="s">
        <v>743</v>
      </c>
      <c r="H651" s="245" t="s">
        <v>1808</v>
      </c>
      <c r="I651" s="245" t="s">
        <v>1813</v>
      </c>
      <c r="J651" s="122">
        <v>31032011</v>
      </c>
    </row>
    <row r="652" spans="1:10" ht="45" customHeight="1" x14ac:dyDescent="0.3">
      <c r="A652" s="117">
        <v>717</v>
      </c>
      <c r="B652" s="131">
        <v>10058</v>
      </c>
      <c r="C652" s="111">
        <v>18</v>
      </c>
      <c r="D652" s="111">
        <v>4</v>
      </c>
      <c r="E652" s="240" t="s">
        <v>1611</v>
      </c>
      <c r="F652" s="243" t="s">
        <v>1637</v>
      </c>
      <c r="G652" s="119" t="s">
        <v>743</v>
      </c>
      <c r="H652" s="245" t="s">
        <v>1808</v>
      </c>
      <c r="I652" s="245" t="s">
        <v>1813</v>
      </c>
      <c r="J652" s="122">
        <v>31032011</v>
      </c>
    </row>
    <row r="653" spans="1:10" ht="45" customHeight="1" x14ac:dyDescent="0.3">
      <c r="A653" s="117">
        <v>718</v>
      </c>
      <c r="B653" s="131">
        <v>10059</v>
      </c>
      <c r="C653" s="111">
        <v>18</v>
      </c>
      <c r="D653" s="111">
        <v>4</v>
      </c>
      <c r="E653" s="240" t="s">
        <v>1611</v>
      </c>
      <c r="F653" s="243" t="s">
        <v>1637</v>
      </c>
      <c r="G653" s="119" t="s">
        <v>743</v>
      </c>
      <c r="H653" s="245" t="s">
        <v>1808</v>
      </c>
      <c r="I653" s="245" t="s">
        <v>1813</v>
      </c>
      <c r="J653" s="122">
        <v>31032011</v>
      </c>
    </row>
    <row r="654" spans="1:10" ht="45" customHeight="1" x14ac:dyDescent="0.3">
      <c r="A654" s="117">
        <v>719</v>
      </c>
      <c r="B654" s="131">
        <v>10060</v>
      </c>
      <c r="C654" s="111">
        <v>18</v>
      </c>
      <c r="D654" s="111">
        <v>4</v>
      </c>
      <c r="E654" s="240" t="s">
        <v>1611</v>
      </c>
      <c r="F654" s="243" t="s">
        <v>1637</v>
      </c>
      <c r="G654" s="119" t="s">
        <v>743</v>
      </c>
      <c r="H654" s="245" t="s">
        <v>1808</v>
      </c>
      <c r="I654" s="245" t="s">
        <v>1813</v>
      </c>
      <c r="J654" s="122">
        <v>31032011</v>
      </c>
    </row>
    <row r="655" spans="1:10" ht="45" customHeight="1" x14ac:dyDescent="0.3">
      <c r="A655" s="117">
        <v>720</v>
      </c>
      <c r="B655" s="131">
        <v>10061</v>
      </c>
      <c r="C655" s="111">
        <v>16</v>
      </c>
      <c r="D655" s="111">
        <v>4</v>
      </c>
      <c r="E655" s="240" t="s">
        <v>1611</v>
      </c>
      <c r="F655" s="243" t="s">
        <v>533</v>
      </c>
      <c r="G655" s="119" t="s">
        <v>731</v>
      </c>
      <c r="H655" s="246" t="s">
        <v>1788</v>
      </c>
      <c r="I655" s="245" t="s">
        <v>2136</v>
      </c>
      <c r="J655" s="122">
        <v>31032011</v>
      </c>
    </row>
    <row r="656" spans="1:10" ht="45" customHeight="1" x14ac:dyDescent="0.3">
      <c r="A656" s="117">
        <v>721</v>
      </c>
      <c r="B656" s="131">
        <v>10071</v>
      </c>
      <c r="C656" s="111">
        <v>12</v>
      </c>
      <c r="D656" s="111">
        <v>2</v>
      </c>
      <c r="E656" s="241" t="s">
        <v>1613</v>
      </c>
      <c r="F656" s="243" t="s">
        <v>1645</v>
      </c>
      <c r="G656" s="119" t="s">
        <v>744</v>
      </c>
      <c r="H656" s="246" t="s">
        <v>2139</v>
      </c>
      <c r="I656" s="245" t="s">
        <v>1989</v>
      </c>
      <c r="J656" s="122">
        <v>14022011</v>
      </c>
    </row>
    <row r="657" spans="1:10" ht="45" customHeight="1" x14ac:dyDescent="0.3">
      <c r="A657" s="117">
        <v>722</v>
      </c>
      <c r="B657" s="131">
        <v>10072</v>
      </c>
      <c r="C657" s="111">
        <v>8</v>
      </c>
      <c r="D657" s="111">
        <v>2</v>
      </c>
      <c r="E657" s="241" t="s">
        <v>1613</v>
      </c>
      <c r="F657" s="243" t="s">
        <v>1625</v>
      </c>
      <c r="G657" s="119" t="s">
        <v>745</v>
      </c>
      <c r="H657" s="246" t="s">
        <v>1655</v>
      </c>
      <c r="I657" s="245" t="s">
        <v>1921</v>
      </c>
      <c r="J657" s="122">
        <v>27052011</v>
      </c>
    </row>
    <row r="658" spans="1:10" ht="45" customHeight="1" x14ac:dyDescent="0.3">
      <c r="A658" s="117">
        <v>723</v>
      </c>
      <c r="B658" s="131">
        <v>10073</v>
      </c>
      <c r="C658" s="111">
        <v>1</v>
      </c>
      <c r="D658" s="111">
        <v>1</v>
      </c>
      <c r="E658" s="242" t="s">
        <v>1614</v>
      </c>
      <c r="F658" s="243" t="s">
        <v>1627</v>
      </c>
      <c r="G658" s="119" t="s">
        <v>746</v>
      </c>
      <c r="H658" s="246" t="s">
        <v>1746</v>
      </c>
      <c r="I658" s="245"/>
      <c r="J658" s="111"/>
    </row>
    <row r="659" spans="1:10" ht="45" customHeight="1" x14ac:dyDescent="0.3">
      <c r="A659" s="117">
        <v>724</v>
      </c>
      <c r="B659" s="131">
        <v>10074</v>
      </c>
      <c r="C659" s="111">
        <v>16</v>
      </c>
      <c r="D659" s="111">
        <v>4</v>
      </c>
      <c r="E659" s="240" t="s">
        <v>1611</v>
      </c>
      <c r="F659" s="243" t="s">
        <v>533</v>
      </c>
      <c r="G659" s="119" t="s">
        <v>747</v>
      </c>
      <c r="H659" s="246" t="s">
        <v>1695</v>
      </c>
      <c r="I659" s="245" t="s">
        <v>1993</v>
      </c>
      <c r="J659" s="122">
        <v>27052011</v>
      </c>
    </row>
    <row r="660" spans="1:10" ht="45" customHeight="1" x14ac:dyDescent="0.3">
      <c r="A660" s="117">
        <v>725</v>
      </c>
      <c r="B660" s="131">
        <v>10075</v>
      </c>
      <c r="C660" s="111">
        <v>16</v>
      </c>
      <c r="D660" s="111">
        <v>4</v>
      </c>
      <c r="E660" s="240" t="s">
        <v>1611</v>
      </c>
      <c r="F660" s="243" t="s">
        <v>533</v>
      </c>
      <c r="G660" s="119" t="s">
        <v>748</v>
      </c>
      <c r="H660" s="245" t="s">
        <v>1685</v>
      </c>
      <c r="I660" s="245" t="s">
        <v>1944</v>
      </c>
      <c r="J660" s="122">
        <v>27052011</v>
      </c>
    </row>
    <row r="661" spans="1:10" ht="75" customHeight="1" x14ac:dyDescent="0.3">
      <c r="A661" s="117">
        <v>726</v>
      </c>
      <c r="B661" s="131">
        <v>10076</v>
      </c>
      <c r="C661" s="111">
        <v>1</v>
      </c>
      <c r="D661" s="111">
        <v>1</v>
      </c>
      <c r="E661" s="242" t="s">
        <v>1614</v>
      </c>
      <c r="F661" s="243" t="s">
        <v>1627</v>
      </c>
      <c r="G661" s="119" t="s">
        <v>709</v>
      </c>
      <c r="H661" s="245" t="s">
        <v>1742</v>
      </c>
      <c r="I661" s="245" t="s">
        <v>1579</v>
      </c>
      <c r="J661" s="122">
        <v>27052011</v>
      </c>
    </row>
    <row r="662" spans="1:10" ht="45" customHeight="1" x14ac:dyDescent="0.3">
      <c r="A662" s="117">
        <v>727</v>
      </c>
      <c r="B662" s="131">
        <v>10077</v>
      </c>
      <c r="C662" s="111">
        <v>1</v>
      </c>
      <c r="D662" s="111">
        <v>1</v>
      </c>
      <c r="E662" s="242" t="s">
        <v>1614</v>
      </c>
      <c r="F662" s="243" t="s">
        <v>1627</v>
      </c>
      <c r="G662" s="119" t="s">
        <v>709</v>
      </c>
      <c r="H662" s="245" t="s">
        <v>1742</v>
      </c>
      <c r="I662" s="245"/>
      <c r="J662" s="122">
        <v>27052011</v>
      </c>
    </row>
    <row r="663" spans="1:10" ht="30" customHeight="1" x14ac:dyDescent="0.3">
      <c r="A663" s="117">
        <v>728</v>
      </c>
      <c r="B663" s="131">
        <v>10078</v>
      </c>
      <c r="C663" s="111">
        <v>9</v>
      </c>
      <c r="D663" s="111">
        <v>2</v>
      </c>
      <c r="E663" s="241" t="s">
        <v>1613</v>
      </c>
      <c r="F663" s="243" t="s">
        <v>526</v>
      </c>
      <c r="G663" s="117" t="s">
        <v>749</v>
      </c>
      <c r="H663" s="246" t="s">
        <v>1817</v>
      </c>
      <c r="I663" s="245" t="s">
        <v>1816</v>
      </c>
      <c r="J663" s="122">
        <v>27052011</v>
      </c>
    </row>
    <row r="664" spans="1:10" x14ac:dyDescent="0.3">
      <c r="A664" s="117">
        <v>729</v>
      </c>
      <c r="B664" s="131">
        <v>10079</v>
      </c>
      <c r="C664" s="111">
        <v>6</v>
      </c>
      <c r="D664" s="111">
        <v>2</v>
      </c>
      <c r="E664" s="241" t="s">
        <v>1613</v>
      </c>
      <c r="F664" s="243" t="s">
        <v>404</v>
      </c>
      <c r="G664" s="119" t="s">
        <v>750</v>
      </c>
      <c r="H664" s="245" t="s">
        <v>1860</v>
      </c>
      <c r="I664" s="245" t="s">
        <v>1992</v>
      </c>
      <c r="J664" s="122">
        <v>27052011</v>
      </c>
    </row>
    <row r="665" spans="1:10" ht="45" customHeight="1" x14ac:dyDescent="0.3">
      <c r="A665" s="117">
        <v>730</v>
      </c>
      <c r="B665" s="131">
        <v>10080</v>
      </c>
      <c r="C665" s="111">
        <v>16</v>
      </c>
      <c r="D665" s="111">
        <v>4</v>
      </c>
      <c r="E665" s="240" t="s">
        <v>1611</v>
      </c>
      <c r="F665" s="243" t="s">
        <v>533</v>
      </c>
      <c r="G665" s="119" t="s">
        <v>751</v>
      </c>
      <c r="H665" s="246" t="s">
        <v>1687</v>
      </c>
      <c r="I665" s="245" t="s">
        <v>1944</v>
      </c>
      <c r="J665" s="122">
        <v>27052011</v>
      </c>
    </row>
    <row r="666" spans="1:10" ht="45" customHeight="1" x14ac:dyDescent="0.3">
      <c r="A666" s="117">
        <v>731</v>
      </c>
      <c r="B666" s="131">
        <v>10081</v>
      </c>
      <c r="C666" s="111">
        <v>16</v>
      </c>
      <c r="D666" s="111">
        <v>4</v>
      </c>
      <c r="E666" s="240" t="s">
        <v>1611</v>
      </c>
      <c r="F666" s="243" t="s">
        <v>533</v>
      </c>
      <c r="G666" s="118" t="s">
        <v>752</v>
      </c>
      <c r="H666" s="245" t="s">
        <v>1685</v>
      </c>
      <c r="I666" s="245" t="s">
        <v>1944</v>
      </c>
      <c r="J666" s="122">
        <v>27052011</v>
      </c>
    </row>
    <row r="667" spans="1:10" ht="45" customHeight="1" x14ac:dyDescent="0.3">
      <c r="A667" s="117">
        <v>732</v>
      </c>
      <c r="B667" s="131">
        <v>10082</v>
      </c>
      <c r="C667" s="111">
        <v>1</v>
      </c>
      <c r="D667" s="111">
        <v>1</v>
      </c>
      <c r="E667" s="242" t="s">
        <v>1614</v>
      </c>
      <c r="F667" s="243" t="s">
        <v>1627</v>
      </c>
      <c r="G667" s="119" t="s">
        <v>709</v>
      </c>
      <c r="H667" s="245" t="s">
        <v>1742</v>
      </c>
      <c r="I667" s="245"/>
      <c r="J667" s="122">
        <v>27052011</v>
      </c>
    </row>
    <row r="668" spans="1:10" ht="45" customHeight="1" x14ac:dyDescent="0.3">
      <c r="A668" s="117">
        <v>733</v>
      </c>
      <c r="B668" s="131">
        <v>10083</v>
      </c>
      <c r="C668" s="111">
        <v>16</v>
      </c>
      <c r="D668" s="111">
        <v>4</v>
      </c>
      <c r="E668" s="240" t="s">
        <v>1611</v>
      </c>
      <c r="F668" s="243" t="s">
        <v>533</v>
      </c>
      <c r="G668" s="119" t="s">
        <v>752</v>
      </c>
      <c r="H668" s="246" t="s">
        <v>1670</v>
      </c>
      <c r="I668" s="245" t="s">
        <v>1944</v>
      </c>
      <c r="J668" s="122">
        <v>27052011</v>
      </c>
    </row>
    <row r="669" spans="1:10" ht="45" customHeight="1" x14ac:dyDescent="0.3">
      <c r="A669" s="117">
        <v>734</v>
      </c>
      <c r="B669" s="131">
        <v>10084</v>
      </c>
      <c r="C669" s="111">
        <v>15</v>
      </c>
      <c r="D669" s="111">
        <v>2</v>
      </c>
      <c r="E669" s="241" t="s">
        <v>1613</v>
      </c>
      <c r="F669" s="243" t="s">
        <v>1592</v>
      </c>
      <c r="G669" s="119" t="s">
        <v>762</v>
      </c>
      <c r="H669" s="245" t="s">
        <v>1800</v>
      </c>
      <c r="I669" s="245" t="s">
        <v>1990</v>
      </c>
      <c r="J669" s="122">
        <v>27052011</v>
      </c>
    </row>
    <row r="670" spans="1:10" ht="45" customHeight="1" x14ac:dyDescent="0.3">
      <c r="A670" s="117">
        <v>735</v>
      </c>
      <c r="B670" s="131">
        <v>10085</v>
      </c>
      <c r="C670" s="111">
        <v>15</v>
      </c>
      <c r="D670" s="111">
        <v>2</v>
      </c>
      <c r="E670" s="241" t="s">
        <v>1613</v>
      </c>
      <c r="F670" s="243" t="s">
        <v>1592</v>
      </c>
      <c r="G670" s="119" t="s">
        <v>762</v>
      </c>
      <c r="H670" s="245" t="s">
        <v>1800</v>
      </c>
      <c r="I670" s="245" t="s">
        <v>1990</v>
      </c>
      <c r="J670" s="122">
        <v>27052011</v>
      </c>
    </row>
    <row r="671" spans="1:10" ht="45" customHeight="1" x14ac:dyDescent="0.3">
      <c r="A671" s="117">
        <v>736</v>
      </c>
      <c r="B671" s="131">
        <v>10086</v>
      </c>
      <c r="C671" s="111">
        <v>1</v>
      </c>
      <c r="D671" s="111">
        <v>1</v>
      </c>
      <c r="E671" s="242" t="s">
        <v>1614</v>
      </c>
      <c r="F671" s="243" t="s">
        <v>1627</v>
      </c>
      <c r="G671" s="119" t="s">
        <v>753</v>
      </c>
      <c r="H671" s="246" t="s">
        <v>1741</v>
      </c>
      <c r="I671" s="245"/>
      <c r="J671" s="122">
        <v>27052011</v>
      </c>
    </row>
    <row r="672" spans="1:10" ht="45" customHeight="1" x14ac:dyDescent="0.3">
      <c r="A672" s="117">
        <v>737</v>
      </c>
      <c r="B672" s="131">
        <v>10087</v>
      </c>
      <c r="C672" s="111">
        <v>1</v>
      </c>
      <c r="D672" s="111">
        <v>1</v>
      </c>
      <c r="E672" s="242" t="s">
        <v>1614</v>
      </c>
      <c r="F672" s="243" t="s">
        <v>1627</v>
      </c>
      <c r="G672" s="119" t="s">
        <v>753</v>
      </c>
      <c r="H672" s="246" t="s">
        <v>1741</v>
      </c>
      <c r="I672" s="245"/>
      <c r="J672" s="122">
        <v>27052011</v>
      </c>
    </row>
    <row r="673" spans="1:10" ht="45" customHeight="1" x14ac:dyDescent="0.3">
      <c r="A673" s="117">
        <v>738</v>
      </c>
      <c r="B673" s="131">
        <v>10088</v>
      </c>
      <c r="C673" s="111">
        <v>1</v>
      </c>
      <c r="D673" s="111">
        <v>1</v>
      </c>
      <c r="E673" s="242" t="s">
        <v>1614</v>
      </c>
      <c r="F673" s="243" t="s">
        <v>1627</v>
      </c>
      <c r="G673" s="119" t="s">
        <v>753</v>
      </c>
      <c r="H673" s="246" t="s">
        <v>1741</v>
      </c>
      <c r="I673" s="245"/>
      <c r="J673" s="122">
        <v>27052011</v>
      </c>
    </row>
    <row r="674" spans="1:10" ht="45" customHeight="1" x14ac:dyDescent="0.3">
      <c r="A674" s="117">
        <v>739</v>
      </c>
      <c r="B674" s="131">
        <v>10089</v>
      </c>
      <c r="C674" s="111">
        <v>1</v>
      </c>
      <c r="D674" s="111">
        <v>1</v>
      </c>
      <c r="E674" s="242" t="s">
        <v>1614</v>
      </c>
      <c r="F674" s="243" t="s">
        <v>1627</v>
      </c>
      <c r="G674" s="119" t="s">
        <v>753</v>
      </c>
      <c r="H674" s="246" t="s">
        <v>1741</v>
      </c>
      <c r="I674" s="245"/>
      <c r="J674" s="122">
        <v>27052011</v>
      </c>
    </row>
    <row r="675" spans="1:10" ht="45" customHeight="1" x14ac:dyDescent="0.3">
      <c r="A675" s="117">
        <v>740</v>
      </c>
      <c r="B675" s="131">
        <v>10090</v>
      </c>
      <c r="C675" s="111">
        <v>28</v>
      </c>
      <c r="D675" s="111">
        <v>3</v>
      </c>
      <c r="E675" s="243" t="s">
        <v>1610</v>
      </c>
      <c r="F675" s="243" t="s">
        <v>1642</v>
      </c>
      <c r="G675" s="119" t="s">
        <v>763</v>
      </c>
      <c r="H675" s="246" t="s">
        <v>1836</v>
      </c>
      <c r="I675" s="245" t="s">
        <v>1837</v>
      </c>
      <c r="J675" s="122">
        <v>15072011</v>
      </c>
    </row>
    <row r="676" spans="1:10" ht="45" customHeight="1" x14ac:dyDescent="0.3">
      <c r="A676" s="117">
        <v>741</v>
      </c>
      <c r="B676" s="131">
        <v>10091</v>
      </c>
      <c r="C676" s="111">
        <v>8</v>
      </c>
      <c r="D676" s="111">
        <v>2</v>
      </c>
      <c r="E676" s="241" t="s">
        <v>1613</v>
      </c>
      <c r="F676" s="243" t="s">
        <v>1625</v>
      </c>
      <c r="G676" s="117" t="s">
        <v>754</v>
      </c>
      <c r="H676" s="246" t="s">
        <v>1624</v>
      </c>
      <c r="I676" s="245" t="s">
        <v>1920</v>
      </c>
      <c r="J676" s="122">
        <v>5102011</v>
      </c>
    </row>
    <row r="677" spans="1:10" ht="45" customHeight="1" x14ac:dyDescent="0.3">
      <c r="A677" s="117">
        <v>742</v>
      </c>
      <c r="B677" s="131">
        <v>10092</v>
      </c>
      <c r="C677" s="111">
        <v>8</v>
      </c>
      <c r="D677" s="111">
        <v>2</v>
      </c>
      <c r="E677" s="241" t="s">
        <v>1613</v>
      </c>
      <c r="F677" s="243" t="s">
        <v>1625</v>
      </c>
      <c r="G677" s="119" t="s">
        <v>754</v>
      </c>
      <c r="H677" s="246" t="s">
        <v>1624</v>
      </c>
      <c r="I677" s="245" t="s">
        <v>1920</v>
      </c>
      <c r="J677" s="122">
        <v>5102011</v>
      </c>
    </row>
    <row r="678" spans="1:10" ht="60" customHeight="1" x14ac:dyDescent="0.3">
      <c r="A678" s="117">
        <v>743</v>
      </c>
      <c r="B678" s="131">
        <v>10093</v>
      </c>
      <c r="C678" s="111">
        <v>21</v>
      </c>
      <c r="D678" s="111">
        <v>2</v>
      </c>
      <c r="E678" s="241" t="s">
        <v>1613</v>
      </c>
      <c r="F678" s="243" t="s">
        <v>1593</v>
      </c>
      <c r="G678" s="117" t="s">
        <v>755</v>
      </c>
      <c r="H678" s="245" t="s">
        <v>1649</v>
      </c>
      <c r="I678" s="245" t="s">
        <v>1907</v>
      </c>
      <c r="J678" s="121">
        <v>40862</v>
      </c>
    </row>
    <row r="679" spans="1:10" ht="75" customHeight="1" x14ac:dyDescent="0.3">
      <c r="A679" s="117">
        <v>744</v>
      </c>
      <c r="B679" s="131">
        <v>10094</v>
      </c>
      <c r="C679" s="111">
        <v>55</v>
      </c>
      <c r="D679" s="111">
        <v>6</v>
      </c>
      <c r="E679" s="241" t="s">
        <v>1615</v>
      </c>
      <c r="F679" s="250" t="s">
        <v>1638</v>
      </c>
      <c r="G679" s="119" t="s">
        <v>761</v>
      </c>
      <c r="H679" s="246" t="s">
        <v>1812</v>
      </c>
      <c r="I679" s="245"/>
      <c r="J679" s="122">
        <v>5032013</v>
      </c>
    </row>
    <row r="680" spans="1:10" ht="30" customHeight="1" x14ac:dyDescent="0.3">
      <c r="A680" s="117">
        <v>745</v>
      </c>
      <c r="B680" s="131">
        <v>10096</v>
      </c>
      <c r="C680" s="111">
        <v>8</v>
      </c>
      <c r="D680" s="111">
        <v>2</v>
      </c>
      <c r="E680" s="241" t="s">
        <v>1613</v>
      </c>
      <c r="F680" s="243" t="s">
        <v>1625</v>
      </c>
      <c r="G680" s="119" t="s">
        <v>764</v>
      </c>
      <c r="H680" s="245" t="s">
        <v>741</v>
      </c>
      <c r="I680" s="245" t="s">
        <v>1919</v>
      </c>
      <c r="J680" s="122">
        <v>8042013</v>
      </c>
    </row>
    <row r="681" spans="1:10" ht="30" customHeight="1" x14ac:dyDescent="0.3">
      <c r="A681" s="117">
        <v>746</v>
      </c>
      <c r="B681" s="131">
        <v>10097</v>
      </c>
      <c r="C681" s="111">
        <v>8</v>
      </c>
      <c r="D681" s="111">
        <v>2</v>
      </c>
      <c r="E681" s="241" t="s">
        <v>1613</v>
      </c>
      <c r="F681" s="243" t="s">
        <v>1625</v>
      </c>
      <c r="G681" s="119" t="s">
        <v>764</v>
      </c>
      <c r="H681" s="245" t="s">
        <v>741</v>
      </c>
      <c r="I681" s="245" t="s">
        <v>1919</v>
      </c>
      <c r="J681" s="122">
        <v>8042013</v>
      </c>
    </row>
    <row r="682" spans="1:10" ht="45" customHeight="1" x14ac:dyDescent="0.3">
      <c r="A682" s="117">
        <v>747</v>
      </c>
      <c r="B682" s="131">
        <v>10098</v>
      </c>
      <c r="C682" s="111">
        <v>27</v>
      </c>
      <c r="D682" s="111">
        <v>2</v>
      </c>
      <c r="E682" s="241" t="s">
        <v>1613</v>
      </c>
      <c r="F682" s="243" t="s">
        <v>1594</v>
      </c>
      <c r="G682" s="119" t="s">
        <v>765</v>
      </c>
      <c r="H682" s="246" t="s">
        <v>1873</v>
      </c>
      <c r="I682" s="245"/>
      <c r="J682" s="122">
        <v>8042013</v>
      </c>
    </row>
    <row r="683" spans="1:10" ht="75" customHeight="1" x14ac:dyDescent="0.3">
      <c r="A683" s="117">
        <v>748</v>
      </c>
      <c r="B683" s="131">
        <v>10099</v>
      </c>
      <c r="C683" s="111">
        <v>1</v>
      </c>
      <c r="D683" s="111">
        <v>1</v>
      </c>
      <c r="E683" s="242" t="s">
        <v>1614</v>
      </c>
      <c r="F683" s="243" t="s">
        <v>1627</v>
      </c>
      <c r="G683" s="119" t="s">
        <v>709</v>
      </c>
      <c r="H683" s="245" t="s">
        <v>1742</v>
      </c>
      <c r="I683" s="245" t="s">
        <v>1579</v>
      </c>
      <c r="J683" s="122">
        <v>8042013</v>
      </c>
    </row>
    <row r="684" spans="1:10" ht="75" customHeight="1" x14ac:dyDescent="0.3">
      <c r="A684" s="117">
        <v>749</v>
      </c>
      <c r="B684" s="131">
        <v>10100</v>
      </c>
      <c r="C684" s="111">
        <v>1</v>
      </c>
      <c r="D684" s="111">
        <v>1</v>
      </c>
      <c r="E684" s="242" t="s">
        <v>1614</v>
      </c>
      <c r="F684" s="243" t="s">
        <v>1627</v>
      </c>
      <c r="G684" s="119" t="s">
        <v>709</v>
      </c>
      <c r="H684" s="245" t="s">
        <v>1742</v>
      </c>
      <c r="I684" s="245" t="s">
        <v>1579</v>
      </c>
      <c r="J684" s="122">
        <v>8042013</v>
      </c>
    </row>
    <row r="685" spans="1:10" ht="30" customHeight="1" x14ac:dyDescent="0.3">
      <c r="A685" s="117">
        <v>750</v>
      </c>
      <c r="B685" s="131">
        <v>10101</v>
      </c>
      <c r="C685" s="111">
        <v>17</v>
      </c>
      <c r="D685" s="111">
        <v>4</v>
      </c>
      <c r="E685" s="240" t="s">
        <v>1611</v>
      </c>
      <c r="F685" s="243" t="s">
        <v>534</v>
      </c>
      <c r="G685" s="117" t="s">
        <v>757</v>
      </c>
      <c r="H685" s="245" t="s">
        <v>1706</v>
      </c>
      <c r="I685" s="245" t="s">
        <v>2001</v>
      </c>
      <c r="J685" s="122">
        <v>30042013</v>
      </c>
    </row>
    <row r="686" spans="1:10" ht="45" customHeight="1" x14ac:dyDescent="0.3">
      <c r="A686" s="117">
        <v>751</v>
      </c>
      <c r="B686" s="131">
        <v>10102</v>
      </c>
      <c r="C686" s="111">
        <v>16</v>
      </c>
      <c r="D686" s="111">
        <v>4</v>
      </c>
      <c r="E686" s="240" t="s">
        <v>1611</v>
      </c>
      <c r="F686" s="243" t="s">
        <v>533</v>
      </c>
      <c r="G686" s="118" t="s">
        <v>766</v>
      </c>
      <c r="H686" s="245" t="s">
        <v>1697</v>
      </c>
      <c r="I686" s="245" t="s">
        <v>2002</v>
      </c>
      <c r="J686" s="122">
        <v>30042013</v>
      </c>
    </row>
    <row r="687" spans="1:10" ht="45" customHeight="1" x14ac:dyDescent="0.3">
      <c r="A687" s="117">
        <v>753</v>
      </c>
      <c r="B687" s="131">
        <v>10104</v>
      </c>
      <c r="C687" s="111">
        <v>50</v>
      </c>
      <c r="D687" s="111">
        <v>2</v>
      </c>
      <c r="E687" s="241" t="s">
        <v>1613</v>
      </c>
      <c r="F687" s="243"/>
      <c r="G687" s="119" t="s">
        <v>759</v>
      </c>
      <c r="H687" s="246" t="s">
        <v>1799</v>
      </c>
      <c r="I687" s="245"/>
      <c r="J687" s="122">
        <v>11022015</v>
      </c>
    </row>
    <row r="688" spans="1:10" ht="75" customHeight="1" x14ac:dyDescent="0.3">
      <c r="A688" s="117">
        <v>754</v>
      </c>
      <c r="B688" s="131">
        <v>10105</v>
      </c>
      <c r="C688" s="111">
        <v>9</v>
      </c>
      <c r="D688" s="111">
        <v>2</v>
      </c>
      <c r="E688" s="241" t="s">
        <v>1613</v>
      </c>
      <c r="F688" s="243" t="s">
        <v>526</v>
      </c>
      <c r="G688" s="117" t="s">
        <v>760</v>
      </c>
      <c r="H688" s="246" t="s">
        <v>1818</v>
      </c>
      <c r="I688" s="245" t="s">
        <v>1819</v>
      </c>
      <c r="J688" s="122">
        <v>20032015</v>
      </c>
    </row>
    <row r="689" spans="1:10" ht="45" customHeight="1" x14ac:dyDescent="0.3">
      <c r="A689" s="117">
        <v>755</v>
      </c>
      <c r="B689" s="110">
        <v>10107</v>
      </c>
      <c r="C689" s="111">
        <v>5</v>
      </c>
      <c r="D689" s="111">
        <v>2</v>
      </c>
      <c r="E689" s="241" t="s">
        <v>1613</v>
      </c>
      <c r="F689" s="243" t="s">
        <v>403</v>
      </c>
      <c r="G689" s="118" t="s">
        <v>649</v>
      </c>
      <c r="H689" s="243" t="s">
        <v>649</v>
      </c>
      <c r="I689" s="245" t="s">
        <v>1899</v>
      </c>
      <c r="J689" s="122">
        <v>15122015</v>
      </c>
    </row>
    <row r="690" spans="1:10" ht="45" customHeight="1" x14ac:dyDescent="0.3">
      <c r="A690" s="117">
        <v>756</v>
      </c>
      <c r="B690" s="110">
        <v>10108</v>
      </c>
      <c r="C690" s="111">
        <v>5</v>
      </c>
      <c r="D690" s="111">
        <v>2</v>
      </c>
      <c r="E690" s="241" t="s">
        <v>1613</v>
      </c>
      <c r="F690" s="243" t="s">
        <v>403</v>
      </c>
      <c r="G690" s="118" t="s">
        <v>649</v>
      </c>
      <c r="H690" s="243" t="s">
        <v>649</v>
      </c>
      <c r="I690" s="245" t="s">
        <v>1899</v>
      </c>
      <c r="J690" s="122">
        <v>15122015</v>
      </c>
    </row>
    <row r="691" spans="1:10" ht="45" customHeight="1" x14ac:dyDescent="0.3">
      <c r="A691" s="117">
        <v>757</v>
      </c>
      <c r="B691" s="110">
        <v>10109</v>
      </c>
      <c r="C691" s="111">
        <v>4</v>
      </c>
      <c r="D691" s="111">
        <v>3</v>
      </c>
      <c r="E691" s="243" t="s">
        <v>1610</v>
      </c>
      <c r="F691" s="243" t="s">
        <v>1628</v>
      </c>
      <c r="G691" s="118" t="s">
        <v>643</v>
      </c>
      <c r="H691" s="245" t="s">
        <v>1762</v>
      </c>
      <c r="I691" s="245" t="s">
        <v>1923</v>
      </c>
      <c r="J691" s="122">
        <v>3022016</v>
      </c>
    </row>
    <row r="692" spans="1:10" ht="30" customHeight="1" x14ac:dyDescent="0.3">
      <c r="A692" s="117">
        <v>759</v>
      </c>
      <c r="B692" s="131">
        <v>10836</v>
      </c>
      <c r="C692" s="111">
        <v>10</v>
      </c>
      <c r="D692" s="111">
        <v>2</v>
      </c>
      <c r="E692" s="241" t="s">
        <v>1613</v>
      </c>
      <c r="F692" s="243" t="s">
        <v>527</v>
      </c>
      <c r="G692" s="119" t="s">
        <v>767</v>
      </c>
      <c r="H692" s="245" t="s">
        <v>1765</v>
      </c>
      <c r="I692" s="245" t="s">
        <v>1927</v>
      </c>
      <c r="J692" s="122"/>
    </row>
    <row r="693" spans="1:10" ht="45" customHeight="1" x14ac:dyDescent="0.3">
      <c r="A693" s="117">
        <v>760</v>
      </c>
      <c r="B693" s="110">
        <v>10837</v>
      </c>
      <c r="C693" s="111">
        <v>27</v>
      </c>
      <c r="D693" s="111">
        <v>2</v>
      </c>
      <c r="E693" s="241" t="s">
        <v>1613</v>
      </c>
      <c r="F693" s="243" t="s">
        <v>1594</v>
      </c>
      <c r="G693" s="118" t="s">
        <v>768</v>
      </c>
      <c r="H693" s="243" t="s">
        <v>1872</v>
      </c>
      <c r="I693" s="245"/>
      <c r="J693" s="122"/>
    </row>
    <row r="694" spans="1:10" ht="45" customHeight="1" x14ac:dyDescent="0.3">
      <c r="A694" s="117">
        <v>761</v>
      </c>
      <c r="B694" s="131">
        <v>20001</v>
      </c>
      <c r="C694" s="111">
        <v>1</v>
      </c>
      <c r="D694" s="111">
        <v>1</v>
      </c>
      <c r="E694" s="242" t="s">
        <v>1614</v>
      </c>
      <c r="F694" s="243" t="s">
        <v>1627</v>
      </c>
      <c r="G694" s="119" t="s">
        <v>701</v>
      </c>
      <c r="H694" s="246" t="s">
        <v>1748</v>
      </c>
      <c r="I694" s="245"/>
      <c r="J694" s="122">
        <v>1032011</v>
      </c>
    </row>
    <row r="695" spans="1:10" ht="45" customHeight="1" x14ac:dyDescent="0.3">
      <c r="A695" s="117">
        <v>762</v>
      </c>
      <c r="B695" s="131">
        <v>20002</v>
      </c>
      <c r="C695" s="111">
        <v>1</v>
      </c>
      <c r="D695" s="111">
        <v>1</v>
      </c>
      <c r="E695" s="242" t="s">
        <v>1614</v>
      </c>
      <c r="F695" s="243" t="s">
        <v>1627</v>
      </c>
      <c r="G695" s="119" t="s">
        <v>701</v>
      </c>
      <c r="H695" s="246" t="s">
        <v>1748</v>
      </c>
      <c r="I695" s="245"/>
      <c r="J695" s="122">
        <v>1032011</v>
      </c>
    </row>
    <row r="696" spans="1:10" ht="45" customHeight="1" x14ac:dyDescent="0.3">
      <c r="A696" s="117">
        <v>763</v>
      </c>
      <c r="B696" s="131">
        <v>20003</v>
      </c>
      <c r="C696" s="111">
        <v>1</v>
      </c>
      <c r="D696" s="111">
        <v>1</v>
      </c>
      <c r="E696" s="242" t="s">
        <v>1614</v>
      </c>
      <c r="F696" s="243" t="s">
        <v>1627</v>
      </c>
      <c r="G696" s="119" t="s">
        <v>701</v>
      </c>
      <c r="H696" s="246" t="s">
        <v>1748</v>
      </c>
      <c r="I696" s="245"/>
      <c r="J696" s="122">
        <v>1032011</v>
      </c>
    </row>
    <row r="697" spans="1:10" ht="45" customHeight="1" x14ac:dyDescent="0.3">
      <c r="A697" s="117">
        <v>765</v>
      </c>
      <c r="B697" s="131">
        <v>20006</v>
      </c>
      <c r="C697" s="111">
        <v>1</v>
      </c>
      <c r="D697" s="111">
        <v>1</v>
      </c>
      <c r="E697" s="242" t="s">
        <v>1614</v>
      </c>
      <c r="F697" s="243" t="s">
        <v>1627</v>
      </c>
      <c r="G697" s="119" t="s">
        <v>701</v>
      </c>
      <c r="H697" s="246" t="s">
        <v>1748</v>
      </c>
      <c r="I697" s="245"/>
      <c r="J697" s="122">
        <v>1032011</v>
      </c>
    </row>
    <row r="698" spans="1:10" ht="45" customHeight="1" x14ac:dyDescent="0.3">
      <c r="A698" s="117">
        <v>766</v>
      </c>
      <c r="B698" s="131">
        <v>20007</v>
      </c>
      <c r="C698" s="111">
        <v>1</v>
      </c>
      <c r="D698" s="111">
        <v>1</v>
      </c>
      <c r="E698" s="242" t="s">
        <v>1614</v>
      </c>
      <c r="F698" s="243" t="s">
        <v>1627</v>
      </c>
      <c r="G698" s="119" t="s">
        <v>701</v>
      </c>
      <c r="H698" s="246" t="s">
        <v>1748</v>
      </c>
      <c r="I698" s="245"/>
      <c r="J698" s="122">
        <v>1032011</v>
      </c>
    </row>
    <row r="699" spans="1:10" ht="45" customHeight="1" x14ac:dyDescent="0.3">
      <c r="A699" s="117">
        <v>767</v>
      </c>
      <c r="B699" s="131">
        <v>20008</v>
      </c>
      <c r="C699" s="111">
        <v>1</v>
      </c>
      <c r="D699" s="111">
        <v>1</v>
      </c>
      <c r="E699" s="242" t="s">
        <v>1614</v>
      </c>
      <c r="F699" s="243" t="s">
        <v>1627</v>
      </c>
      <c r="G699" s="119" t="s">
        <v>701</v>
      </c>
      <c r="H699" s="246" t="s">
        <v>1748</v>
      </c>
      <c r="I699" s="245"/>
      <c r="J699" s="122">
        <v>1032011</v>
      </c>
    </row>
    <row r="700" spans="1:10" ht="45" customHeight="1" x14ac:dyDescent="0.3">
      <c r="A700" s="117">
        <v>768</v>
      </c>
      <c r="B700" s="131">
        <v>20009</v>
      </c>
      <c r="C700" s="111">
        <v>1</v>
      </c>
      <c r="D700" s="111">
        <v>1</v>
      </c>
      <c r="E700" s="242" t="s">
        <v>1614</v>
      </c>
      <c r="F700" s="243" t="s">
        <v>1627</v>
      </c>
      <c r="G700" s="119" t="s">
        <v>701</v>
      </c>
      <c r="H700" s="246" t="s">
        <v>1748</v>
      </c>
      <c r="I700" s="245"/>
      <c r="J700" s="122">
        <v>1032011</v>
      </c>
    </row>
    <row r="701" spans="1:10" ht="45" customHeight="1" x14ac:dyDescent="0.3">
      <c r="A701" s="117">
        <v>769</v>
      </c>
      <c r="B701" s="131">
        <v>20010</v>
      </c>
      <c r="C701" s="111">
        <v>1</v>
      </c>
      <c r="D701" s="111">
        <v>1</v>
      </c>
      <c r="E701" s="242" t="s">
        <v>1614</v>
      </c>
      <c r="F701" s="243" t="s">
        <v>1627</v>
      </c>
      <c r="G701" s="119" t="s">
        <v>701</v>
      </c>
      <c r="H701" s="246" t="s">
        <v>1748</v>
      </c>
      <c r="I701" s="245"/>
      <c r="J701" s="122">
        <v>1032011</v>
      </c>
    </row>
    <row r="702" spans="1:10" ht="45" customHeight="1" x14ac:dyDescent="0.3">
      <c r="A702" s="117">
        <v>770</v>
      </c>
      <c r="B702" s="131">
        <v>20011</v>
      </c>
      <c r="C702" s="111">
        <v>1</v>
      </c>
      <c r="D702" s="111">
        <v>1</v>
      </c>
      <c r="E702" s="242" t="s">
        <v>1614</v>
      </c>
      <c r="F702" s="243" t="s">
        <v>1627</v>
      </c>
      <c r="G702" s="119" t="s">
        <v>701</v>
      </c>
      <c r="H702" s="246" t="s">
        <v>1748</v>
      </c>
      <c r="I702" s="245"/>
      <c r="J702" s="122">
        <v>1032011</v>
      </c>
    </row>
    <row r="703" spans="1:10" ht="45" customHeight="1" x14ac:dyDescent="0.3">
      <c r="A703" s="117">
        <v>771</v>
      </c>
      <c r="B703" s="131">
        <v>20012</v>
      </c>
      <c r="C703" s="111">
        <v>1</v>
      </c>
      <c r="D703" s="111">
        <v>1</v>
      </c>
      <c r="E703" s="242" t="s">
        <v>1614</v>
      </c>
      <c r="F703" s="243" t="s">
        <v>1627</v>
      </c>
      <c r="G703" s="119" t="s">
        <v>701</v>
      </c>
      <c r="H703" s="246" t="s">
        <v>1748</v>
      </c>
      <c r="I703" s="245"/>
      <c r="J703" s="122">
        <v>1032011</v>
      </c>
    </row>
    <row r="704" spans="1:10" ht="45" customHeight="1" x14ac:dyDescent="0.3">
      <c r="A704" s="117">
        <v>772</v>
      </c>
      <c r="B704" s="131">
        <v>20013</v>
      </c>
      <c r="C704" s="111">
        <v>1</v>
      </c>
      <c r="D704" s="111">
        <v>1</v>
      </c>
      <c r="E704" s="242" t="s">
        <v>1614</v>
      </c>
      <c r="F704" s="243" t="s">
        <v>1627</v>
      </c>
      <c r="G704" s="119" t="s">
        <v>701</v>
      </c>
      <c r="H704" s="246" t="s">
        <v>1748</v>
      </c>
      <c r="I704" s="245"/>
      <c r="J704" s="122">
        <v>1032011</v>
      </c>
    </row>
    <row r="705" spans="1:10" ht="45" customHeight="1" x14ac:dyDescent="0.3">
      <c r="A705" s="117">
        <v>773</v>
      </c>
      <c r="B705" s="131">
        <v>20014</v>
      </c>
      <c r="C705" s="111">
        <v>1</v>
      </c>
      <c r="D705" s="111">
        <v>1</v>
      </c>
      <c r="E705" s="242" t="s">
        <v>1614</v>
      </c>
      <c r="F705" s="243" t="s">
        <v>1627</v>
      </c>
      <c r="G705" s="119" t="s">
        <v>701</v>
      </c>
      <c r="H705" s="246" t="s">
        <v>1748</v>
      </c>
      <c r="I705" s="245"/>
      <c r="J705" s="122">
        <v>1032011</v>
      </c>
    </row>
    <row r="706" spans="1:10" ht="45" customHeight="1" x14ac:dyDescent="0.3">
      <c r="A706" s="117">
        <v>774</v>
      </c>
      <c r="B706" s="131">
        <v>20015</v>
      </c>
      <c r="C706" s="111">
        <v>1</v>
      </c>
      <c r="D706" s="111">
        <v>1</v>
      </c>
      <c r="E706" s="242" t="s">
        <v>1614</v>
      </c>
      <c r="F706" s="243" t="s">
        <v>1627</v>
      </c>
      <c r="G706" s="119" t="s">
        <v>701</v>
      </c>
      <c r="H706" s="246" t="s">
        <v>1748</v>
      </c>
      <c r="I706" s="245"/>
      <c r="J706" s="122">
        <v>1032011</v>
      </c>
    </row>
    <row r="707" spans="1:10" ht="45" customHeight="1" x14ac:dyDescent="0.3">
      <c r="A707" s="117">
        <v>776</v>
      </c>
      <c r="B707" s="131">
        <v>20020</v>
      </c>
      <c r="C707" s="111">
        <v>1</v>
      </c>
      <c r="D707" s="111">
        <v>1</v>
      </c>
      <c r="E707" s="242" t="s">
        <v>1614</v>
      </c>
      <c r="F707" s="243" t="s">
        <v>1627</v>
      </c>
      <c r="G707" s="119" t="s">
        <v>701</v>
      </c>
      <c r="H707" s="246" t="s">
        <v>1748</v>
      </c>
      <c r="I707" s="245"/>
      <c r="J707" s="122">
        <v>1032011</v>
      </c>
    </row>
    <row r="708" spans="1:10" ht="45" customHeight="1" x14ac:dyDescent="0.3">
      <c r="A708" s="117">
        <v>777</v>
      </c>
      <c r="B708" s="131">
        <v>20022</v>
      </c>
      <c r="C708" s="111">
        <v>1</v>
      </c>
      <c r="D708" s="111">
        <v>1</v>
      </c>
      <c r="E708" s="242" t="s">
        <v>1614</v>
      </c>
      <c r="F708" s="243" t="s">
        <v>1627</v>
      </c>
      <c r="G708" s="119" t="s">
        <v>701</v>
      </c>
      <c r="H708" s="246" t="s">
        <v>1748</v>
      </c>
      <c r="I708" s="245"/>
      <c r="J708" s="122">
        <v>24032011</v>
      </c>
    </row>
    <row r="709" spans="1:10" ht="45" customHeight="1" x14ac:dyDescent="0.3">
      <c r="A709" s="117">
        <v>778</v>
      </c>
      <c r="B709" s="131">
        <v>20023</v>
      </c>
      <c r="C709" s="111">
        <v>1</v>
      </c>
      <c r="D709" s="111">
        <v>1</v>
      </c>
      <c r="E709" s="242" t="s">
        <v>1614</v>
      </c>
      <c r="F709" s="243" t="s">
        <v>1627</v>
      </c>
      <c r="G709" s="119" t="s">
        <v>701</v>
      </c>
      <c r="H709" s="246" t="s">
        <v>1748</v>
      </c>
      <c r="I709" s="245"/>
      <c r="J709" s="122">
        <v>24032011</v>
      </c>
    </row>
    <row r="710" spans="1:10" ht="45" customHeight="1" x14ac:dyDescent="0.3">
      <c r="A710" s="117">
        <v>782</v>
      </c>
      <c r="B710" s="131">
        <v>20029</v>
      </c>
      <c r="C710" s="111">
        <v>1</v>
      </c>
      <c r="D710" s="111">
        <v>1</v>
      </c>
      <c r="E710" s="242" t="s">
        <v>1614</v>
      </c>
      <c r="F710" s="243" t="s">
        <v>1627</v>
      </c>
      <c r="G710" s="119" t="s">
        <v>701</v>
      </c>
      <c r="H710" s="246" t="s">
        <v>1748</v>
      </c>
      <c r="I710" s="245"/>
      <c r="J710" s="122">
        <v>24032011</v>
      </c>
    </row>
    <row r="711" spans="1:10" ht="45" customHeight="1" x14ac:dyDescent="0.3">
      <c r="A711" s="117">
        <v>783</v>
      </c>
      <c r="B711" s="131">
        <v>20032</v>
      </c>
      <c r="C711" s="111">
        <v>1</v>
      </c>
      <c r="D711" s="111">
        <v>1</v>
      </c>
      <c r="E711" s="242" t="s">
        <v>1614</v>
      </c>
      <c r="F711" s="243" t="s">
        <v>1627</v>
      </c>
      <c r="G711" s="119" t="s">
        <v>701</v>
      </c>
      <c r="H711" s="246" t="s">
        <v>1748</v>
      </c>
      <c r="I711" s="245"/>
      <c r="J711" s="122">
        <v>24032011</v>
      </c>
    </row>
    <row r="712" spans="1:10" ht="45" customHeight="1" x14ac:dyDescent="0.3">
      <c r="A712" s="117">
        <v>784</v>
      </c>
      <c r="B712" s="131">
        <v>20033</v>
      </c>
      <c r="C712" s="111">
        <v>1</v>
      </c>
      <c r="D712" s="111">
        <v>1</v>
      </c>
      <c r="E712" s="242" t="s">
        <v>1614</v>
      </c>
      <c r="F712" s="243" t="s">
        <v>1627</v>
      </c>
      <c r="G712" s="119" t="s">
        <v>701</v>
      </c>
      <c r="H712" s="246" t="s">
        <v>1748</v>
      </c>
      <c r="I712" s="245"/>
      <c r="J712" s="122">
        <v>24032011</v>
      </c>
    </row>
    <row r="713" spans="1:10" ht="45" customHeight="1" x14ac:dyDescent="0.3">
      <c r="A713" s="117">
        <v>785</v>
      </c>
      <c r="B713" s="131">
        <v>20034</v>
      </c>
      <c r="C713" s="111">
        <v>1</v>
      </c>
      <c r="D713" s="111">
        <v>1</v>
      </c>
      <c r="E713" s="242" t="s">
        <v>1614</v>
      </c>
      <c r="F713" s="243" t="s">
        <v>1627</v>
      </c>
      <c r="G713" s="119" t="s">
        <v>701</v>
      </c>
      <c r="H713" s="246" t="s">
        <v>1748</v>
      </c>
      <c r="I713" s="245"/>
      <c r="J713" s="122">
        <v>24032011</v>
      </c>
    </row>
    <row r="714" spans="1:10" ht="45" customHeight="1" x14ac:dyDescent="0.3">
      <c r="A714" s="117">
        <v>786</v>
      </c>
      <c r="B714" s="131">
        <v>20035</v>
      </c>
      <c r="C714" s="111">
        <v>1</v>
      </c>
      <c r="D714" s="111">
        <v>1</v>
      </c>
      <c r="E714" s="242" t="s">
        <v>1614</v>
      </c>
      <c r="F714" s="243" t="s">
        <v>1627</v>
      </c>
      <c r="G714" s="119" t="s">
        <v>701</v>
      </c>
      <c r="H714" s="246" t="s">
        <v>1748</v>
      </c>
      <c r="I714" s="245"/>
      <c r="J714" s="122">
        <v>24032011</v>
      </c>
    </row>
    <row r="715" spans="1:10" ht="45" customHeight="1" x14ac:dyDescent="0.3">
      <c r="A715" s="117">
        <v>787</v>
      </c>
      <c r="B715" s="131">
        <v>20037</v>
      </c>
      <c r="C715" s="111">
        <v>1</v>
      </c>
      <c r="D715" s="111">
        <v>1</v>
      </c>
      <c r="E715" s="242" t="s">
        <v>1614</v>
      </c>
      <c r="F715" s="243" t="s">
        <v>1627</v>
      </c>
      <c r="G715" s="119" t="s">
        <v>701</v>
      </c>
      <c r="H715" s="246" t="s">
        <v>1748</v>
      </c>
      <c r="I715" s="245"/>
      <c r="J715" s="122">
        <v>24032011</v>
      </c>
    </row>
    <row r="716" spans="1:10" ht="45" customHeight="1" x14ac:dyDescent="0.3">
      <c r="A716" s="117">
        <v>788</v>
      </c>
      <c r="B716" s="131">
        <v>20038</v>
      </c>
      <c r="C716" s="111">
        <v>1</v>
      </c>
      <c r="D716" s="111">
        <v>1</v>
      </c>
      <c r="E716" s="242" t="s">
        <v>1614</v>
      </c>
      <c r="F716" s="243" t="s">
        <v>1627</v>
      </c>
      <c r="G716" s="119" t="s">
        <v>701</v>
      </c>
      <c r="H716" s="246" t="s">
        <v>1748</v>
      </c>
      <c r="I716" s="245"/>
      <c r="J716" s="122">
        <v>24032011</v>
      </c>
    </row>
    <row r="717" spans="1:10" ht="45" customHeight="1" x14ac:dyDescent="0.3">
      <c r="A717" s="117">
        <v>789</v>
      </c>
      <c r="B717" s="131">
        <v>20039</v>
      </c>
      <c r="C717" s="111">
        <v>1</v>
      </c>
      <c r="D717" s="111">
        <v>1</v>
      </c>
      <c r="E717" s="242" t="s">
        <v>1614</v>
      </c>
      <c r="F717" s="243" t="s">
        <v>1627</v>
      </c>
      <c r="G717" s="119" t="s">
        <v>701</v>
      </c>
      <c r="H717" s="246" t="s">
        <v>1748</v>
      </c>
      <c r="I717" s="245"/>
      <c r="J717" s="122">
        <v>24032011</v>
      </c>
    </row>
    <row r="718" spans="1:10" ht="45" customHeight="1" x14ac:dyDescent="0.3">
      <c r="A718" s="117">
        <v>790</v>
      </c>
      <c r="B718" s="131">
        <v>20040</v>
      </c>
      <c r="C718" s="111">
        <v>1</v>
      </c>
      <c r="D718" s="111">
        <v>1</v>
      </c>
      <c r="E718" s="242" t="s">
        <v>1614</v>
      </c>
      <c r="F718" s="243" t="s">
        <v>1627</v>
      </c>
      <c r="G718" s="119" t="s">
        <v>701</v>
      </c>
      <c r="H718" s="246" t="s">
        <v>1748</v>
      </c>
      <c r="I718" s="245"/>
      <c r="J718" s="122">
        <v>24032011</v>
      </c>
    </row>
    <row r="719" spans="1:10" ht="45" customHeight="1" x14ac:dyDescent="0.3">
      <c r="A719" s="117">
        <v>792</v>
      </c>
      <c r="B719" s="131">
        <v>20042</v>
      </c>
      <c r="C719" s="111">
        <v>5</v>
      </c>
      <c r="D719" s="111">
        <v>2</v>
      </c>
      <c r="E719" s="241" t="s">
        <v>1613</v>
      </c>
      <c r="F719" s="243" t="s">
        <v>403</v>
      </c>
      <c r="G719" s="119" t="s">
        <v>769</v>
      </c>
      <c r="H719" s="246" t="s">
        <v>1774</v>
      </c>
      <c r="I719" s="245" t="s">
        <v>1899</v>
      </c>
      <c r="J719" s="122">
        <v>13062011</v>
      </c>
    </row>
    <row r="720" spans="1:10" x14ac:dyDescent="0.3">
      <c r="A720" s="117">
        <v>793</v>
      </c>
      <c r="B720" s="131">
        <v>20043</v>
      </c>
      <c r="C720" s="111">
        <v>6</v>
      </c>
      <c r="D720" s="111">
        <v>2</v>
      </c>
      <c r="E720" s="241" t="s">
        <v>1613</v>
      </c>
      <c r="F720" s="243" t="s">
        <v>404</v>
      </c>
      <c r="G720" s="119" t="s">
        <v>770</v>
      </c>
      <c r="H720" s="246" t="s">
        <v>1858</v>
      </c>
      <c r="I720" s="245" t="s">
        <v>1859</v>
      </c>
      <c r="J720" s="122">
        <v>13062011</v>
      </c>
    </row>
    <row r="721" spans="1:10" ht="60" customHeight="1" x14ac:dyDescent="0.3">
      <c r="A721" s="117">
        <v>795</v>
      </c>
      <c r="B721" s="131">
        <v>20045</v>
      </c>
      <c r="C721" s="111">
        <v>3</v>
      </c>
      <c r="D721" s="111">
        <v>3</v>
      </c>
      <c r="E721" s="243" t="s">
        <v>1610</v>
      </c>
      <c r="F721" s="243" t="s">
        <v>1626</v>
      </c>
      <c r="G721" s="119" t="s">
        <v>703</v>
      </c>
      <c r="H721" s="245" t="s">
        <v>1725</v>
      </c>
      <c r="I721" s="245"/>
      <c r="J721" s="122">
        <v>9052011</v>
      </c>
    </row>
    <row r="722" spans="1:10" ht="60" customHeight="1" x14ac:dyDescent="0.3">
      <c r="A722" s="117">
        <v>796</v>
      </c>
      <c r="B722" s="131">
        <v>20046</v>
      </c>
      <c r="C722" s="111">
        <v>3</v>
      </c>
      <c r="D722" s="111">
        <v>3</v>
      </c>
      <c r="E722" s="243" t="s">
        <v>1610</v>
      </c>
      <c r="F722" s="243" t="s">
        <v>1626</v>
      </c>
      <c r="G722" s="119" t="s">
        <v>703</v>
      </c>
      <c r="H722" s="245" t="s">
        <v>1725</v>
      </c>
      <c r="I722" s="245"/>
      <c r="J722" s="122">
        <v>9052011</v>
      </c>
    </row>
    <row r="723" spans="1:10" ht="45" customHeight="1" x14ac:dyDescent="0.3">
      <c r="A723" s="117">
        <v>798</v>
      </c>
      <c r="B723" s="131">
        <v>20048</v>
      </c>
      <c r="C723" s="111">
        <v>5</v>
      </c>
      <c r="D723" s="111">
        <v>2</v>
      </c>
      <c r="E723" s="241" t="s">
        <v>1613</v>
      </c>
      <c r="F723" s="243" t="s">
        <v>403</v>
      </c>
      <c r="G723" s="119" t="s">
        <v>769</v>
      </c>
      <c r="H723" s="246" t="s">
        <v>1774</v>
      </c>
      <c r="I723" s="245" t="s">
        <v>2142</v>
      </c>
      <c r="J723" s="122"/>
    </row>
    <row r="724" spans="1:10" ht="75" customHeight="1" x14ac:dyDescent="0.3">
      <c r="A724" s="117">
        <v>799</v>
      </c>
      <c r="B724" s="131">
        <v>20049</v>
      </c>
      <c r="C724" s="111">
        <v>7</v>
      </c>
      <c r="D724" s="111">
        <v>3</v>
      </c>
      <c r="E724" s="243" t="s">
        <v>1610</v>
      </c>
      <c r="F724" s="243" t="s">
        <v>524</v>
      </c>
      <c r="G724" s="117" t="s">
        <v>771</v>
      </c>
      <c r="H724" s="245" t="s">
        <v>1854</v>
      </c>
      <c r="I724" s="245" t="s">
        <v>1851</v>
      </c>
      <c r="J724" s="122"/>
    </row>
    <row r="725" spans="1:10" ht="75" customHeight="1" x14ac:dyDescent="0.3">
      <c r="A725" s="117">
        <v>800</v>
      </c>
      <c r="B725" s="131">
        <v>30041</v>
      </c>
      <c r="C725" s="111">
        <v>7</v>
      </c>
      <c r="D725" s="111">
        <v>3</v>
      </c>
      <c r="E725" s="243" t="s">
        <v>1610</v>
      </c>
      <c r="F725" s="243" t="s">
        <v>524</v>
      </c>
      <c r="G725" s="117" t="s">
        <v>772</v>
      </c>
      <c r="H725" s="245" t="s">
        <v>1849</v>
      </c>
      <c r="I725" s="245" t="s">
        <v>1855</v>
      </c>
      <c r="J725" s="122"/>
    </row>
    <row r="726" spans="1:10" ht="30" customHeight="1" x14ac:dyDescent="0.3">
      <c r="A726" s="117">
        <v>801</v>
      </c>
      <c r="B726" s="131">
        <v>30042</v>
      </c>
      <c r="C726" s="111">
        <v>10</v>
      </c>
      <c r="D726" s="111">
        <v>2</v>
      </c>
      <c r="E726" s="241" t="s">
        <v>1613</v>
      </c>
      <c r="F726" s="243" t="s">
        <v>527</v>
      </c>
      <c r="G726" s="117" t="s">
        <v>773</v>
      </c>
      <c r="H726" s="245" t="s">
        <v>1769</v>
      </c>
      <c r="I726" s="245" t="s">
        <v>2067</v>
      </c>
      <c r="J726" s="122"/>
    </row>
    <row r="727" spans="1:10" ht="30" customHeight="1" x14ac:dyDescent="0.3">
      <c r="A727" s="117">
        <v>802</v>
      </c>
      <c r="B727" s="131">
        <v>30043</v>
      </c>
      <c r="C727" s="111">
        <v>2</v>
      </c>
      <c r="D727" s="111">
        <v>1</v>
      </c>
      <c r="E727" s="242" t="s">
        <v>1614</v>
      </c>
      <c r="F727" s="243" t="s">
        <v>1584</v>
      </c>
      <c r="G727" s="117" t="s">
        <v>774</v>
      </c>
      <c r="H727" s="245" t="s">
        <v>1720</v>
      </c>
      <c r="I727" s="245" t="s">
        <v>1909</v>
      </c>
      <c r="J727" s="122"/>
    </row>
    <row r="728" spans="1:10" ht="30" customHeight="1" x14ac:dyDescent="0.3">
      <c r="A728" s="117">
        <v>803</v>
      </c>
      <c r="B728" s="131">
        <v>30044</v>
      </c>
      <c r="C728" s="111">
        <v>2</v>
      </c>
      <c r="D728" s="111">
        <v>1</v>
      </c>
      <c r="E728" s="242" t="s">
        <v>1614</v>
      </c>
      <c r="F728" s="243" t="s">
        <v>1584</v>
      </c>
      <c r="G728" s="117" t="s">
        <v>774</v>
      </c>
      <c r="H728" s="245" t="s">
        <v>1720</v>
      </c>
      <c r="I728" s="245" t="s">
        <v>1909</v>
      </c>
      <c r="J728" s="122"/>
    </row>
    <row r="729" spans="1:10" ht="30" customHeight="1" x14ac:dyDescent="0.3">
      <c r="A729" s="117">
        <v>804</v>
      </c>
      <c r="B729" s="131">
        <v>30045</v>
      </c>
      <c r="C729" s="111">
        <v>2</v>
      </c>
      <c r="D729" s="111">
        <v>1</v>
      </c>
      <c r="E729" s="242" t="s">
        <v>1614</v>
      </c>
      <c r="F729" s="243" t="s">
        <v>1584</v>
      </c>
      <c r="G729" s="117" t="s">
        <v>774</v>
      </c>
      <c r="H729" s="245" t="s">
        <v>1720</v>
      </c>
      <c r="I729" s="245" t="s">
        <v>1909</v>
      </c>
      <c r="J729" s="122"/>
    </row>
    <row r="730" spans="1:10" ht="30" customHeight="1" x14ac:dyDescent="0.3">
      <c r="A730" s="117">
        <v>805</v>
      </c>
      <c r="B730" s="131">
        <v>30046</v>
      </c>
      <c r="C730" s="111">
        <v>2</v>
      </c>
      <c r="D730" s="111">
        <v>1</v>
      </c>
      <c r="E730" s="242" t="s">
        <v>1614</v>
      </c>
      <c r="F730" s="243" t="s">
        <v>1584</v>
      </c>
      <c r="G730" s="119" t="s">
        <v>775</v>
      </c>
      <c r="H730" s="245" t="s">
        <v>1734</v>
      </c>
      <c r="I730" s="245" t="s">
        <v>1900</v>
      </c>
      <c r="J730" s="122"/>
    </row>
    <row r="731" spans="1:10" ht="45" customHeight="1" x14ac:dyDescent="0.3">
      <c r="A731" s="117">
        <v>806</v>
      </c>
      <c r="B731" s="131">
        <v>100073</v>
      </c>
      <c r="C731" s="111">
        <v>1</v>
      </c>
      <c r="D731" s="111">
        <v>1</v>
      </c>
      <c r="E731" s="242" t="s">
        <v>1614</v>
      </c>
      <c r="F731" s="243" t="s">
        <v>1627</v>
      </c>
      <c r="G731" s="119" t="s">
        <v>709</v>
      </c>
      <c r="H731" s="245" t="s">
        <v>1742</v>
      </c>
      <c r="I731" s="245" t="s">
        <v>1986</v>
      </c>
      <c r="J731" s="122">
        <v>22032004</v>
      </c>
    </row>
    <row r="732" spans="1:10" ht="45" customHeight="1" x14ac:dyDescent="0.3">
      <c r="A732" s="117">
        <v>807</v>
      </c>
      <c r="B732" s="131">
        <v>100145</v>
      </c>
      <c r="C732" s="111">
        <v>1</v>
      </c>
      <c r="D732" s="111">
        <v>1</v>
      </c>
      <c r="E732" s="242" t="s">
        <v>1614</v>
      </c>
      <c r="F732" s="243" t="s">
        <v>1627</v>
      </c>
      <c r="G732" s="117" t="s">
        <v>776</v>
      </c>
      <c r="H732" s="245" t="s">
        <v>1760</v>
      </c>
      <c r="I732" s="245"/>
      <c r="J732" s="122"/>
    </row>
    <row r="733" spans="1:10" ht="45" customHeight="1" x14ac:dyDescent="0.3">
      <c r="A733" s="117">
        <v>808</v>
      </c>
      <c r="B733" s="131">
        <v>100155</v>
      </c>
      <c r="C733" s="111">
        <v>1</v>
      </c>
      <c r="D733" s="111">
        <v>1</v>
      </c>
      <c r="E733" s="242" t="s">
        <v>1614</v>
      </c>
      <c r="F733" s="243" t="s">
        <v>1627</v>
      </c>
      <c r="G733" s="117" t="s">
        <v>776</v>
      </c>
      <c r="H733" s="245" t="s">
        <v>1760</v>
      </c>
      <c r="I733" s="245"/>
      <c r="J733" s="122"/>
    </row>
    <row r="734" spans="1:10" ht="30" customHeight="1" x14ac:dyDescent="0.3">
      <c r="A734" s="117">
        <v>809</v>
      </c>
      <c r="B734" s="131">
        <v>100174</v>
      </c>
      <c r="C734" s="111">
        <v>16</v>
      </c>
      <c r="D734" s="111">
        <v>4</v>
      </c>
      <c r="E734" s="240" t="s">
        <v>1611</v>
      </c>
      <c r="F734" s="243" t="s">
        <v>533</v>
      </c>
      <c r="G734" s="118" t="s">
        <v>777</v>
      </c>
      <c r="H734" s="243" t="s">
        <v>1680</v>
      </c>
      <c r="I734" s="245" t="s">
        <v>1949</v>
      </c>
      <c r="J734" s="122"/>
    </row>
    <row r="735" spans="1:10" ht="45" customHeight="1" x14ac:dyDescent="0.3">
      <c r="A735" s="117">
        <v>811</v>
      </c>
      <c r="B735" s="131">
        <v>10010092</v>
      </c>
      <c r="C735" s="111">
        <v>25</v>
      </c>
      <c r="D735" s="111">
        <v>3</v>
      </c>
      <c r="E735" s="243" t="s">
        <v>1610</v>
      </c>
      <c r="F735" s="243" t="s">
        <v>1597</v>
      </c>
      <c r="G735" s="117" t="s">
        <v>778</v>
      </c>
      <c r="H735" s="245" t="s">
        <v>1651</v>
      </c>
      <c r="I735" s="245"/>
      <c r="J735" s="122"/>
    </row>
    <row r="736" spans="1:10" ht="30" customHeight="1" x14ac:dyDescent="0.3">
      <c r="A736" s="117">
        <v>812</v>
      </c>
      <c r="B736" s="131">
        <v>10010093</v>
      </c>
      <c r="C736" s="111">
        <v>9</v>
      </c>
      <c r="D736" s="111">
        <v>2</v>
      </c>
      <c r="E736" s="241" t="s">
        <v>1613</v>
      </c>
      <c r="F736" s="243" t="s">
        <v>526</v>
      </c>
      <c r="G736" s="117" t="s">
        <v>779</v>
      </c>
      <c r="H736" s="245" t="s">
        <v>1826</v>
      </c>
      <c r="I736" s="245" t="s">
        <v>1827</v>
      </c>
      <c r="J736" s="122"/>
    </row>
    <row r="737" spans="1:10" ht="60" customHeight="1" x14ac:dyDescent="0.3">
      <c r="A737" s="117">
        <v>813</v>
      </c>
      <c r="B737" s="131">
        <v>892893940</v>
      </c>
      <c r="C737" s="111">
        <v>26</v>
      </c>
      <c r="D737" s="111">
        <v>5</v>
      </c>
      <c r="E737" s="243" t="s">
        <v>1612</v>
      </c>
      <c r="F737" s="243" t="s">
        <v>1635</v>
      </c>
      <c r="G737" s="119" t="s">
        <v>781</v>
      </c>
      <c r="H737" s="246" t="s">
        <v>1792</v>
      </c>
      <c r="I737" s="245" t="s">
        <v>1791</v>
      </c>
      <c r="J737" s="122"/>
    </row>
    <row r="738" spans="1:10" ht="75" customHeight="1" x14ac:dyDescent="0.3">
      <c r="A738" s="117">
        <v>814</v>
      </c>
      <c r="B738" s="131">
        <v>892894144</v>
      </c>
      <c r="C738" s="111">
        <v>33</v>
      </c>
      <c r="D738" s="111">
        <v>6</v>
      </c>
      <c r="E738" s="241" t="s">
        <v>1615</v>
      </c>
      <c r="F738" s="243" t="s">
        <v>1609</v>
      </c>
      <c r="G738" s="117" t="s">
        <v>782</v>
      </c>
      <c r="H738" s="245" t="s">
        <v>1664</v>
      </c>
      <c r="I738" s="245" t="s">
        <v>1930</v>
      </c>
      <c r="J738" s="122"/>
    </row>
    <row r="739" spans="1:10" ht="75" customHeight="1" x14ac:dyDescent="0.3">
      <c r="A739" s="117">
        <v>815</v>
      </c>
      <c r="B739" s="131">
        <v>892894189</v>
      </c>
      <c r="C739" s="111">
        <v>33</v>
      </c>
      <c r="D739" s="111">
        <v>6</v>
      </c>
      <c r="E739" s="241" t="s">
        <v>1615</v>
      </c>
      <c r="F739" s="243" t="s">
        <v>1609</v>
      </c>
      <c r="G739" s="117" t="s">
        <v>783</v>
      </c>
      <c r="H739" s="245" t="s">
        <v>1662</v>
      </c>
      <c r="I739" s="245" t="s">
        <v>1930</v>
      </c>
      <c r="J739" s="122"/>
    </row>
    <row r="740" spans="1:10" ht="75" customHeight="1" x14ac:dyDescent="0.3">
      <c r="A740" s="117">
        <v>816</v>
      </c>
      <c r="B740" s="131">
        <v>892894335</v>
      </c>
      <c r="C740" s="111">
        <v>34</v>
      </c>
      <c r="D740" s="111">
        <v>6</v>
      </c>
      <c r="E740" s="241" t="s">
        <v>1615</v>
      </c>
      <c r="F740" s="243" t="s">
        <v>550</v>
      </c>
      <c r="G740" s="117" t="s">
        <v>784</v>
      </c>
      <c r="H740" s="245" t="s">
        <v>1654</v>
      </c>
      <c r="I740" s="245"/>
      <c r="J740" s="122">
        <v>3072013</v>
      </c>
    </row>
    <row r="741" spans="1:10" ht="75" customHeight="1" x14ac:dyDescent="0.3">
      <c r="A741" s="117">
        <v>817</v>
      </c>
      <c r="B741" s="110">
        <v>892894635</v>
      </c>
      <c r="C741" s="111">
        <v>33</v>
      </c>
      <c r="D741" s="111">
        <v>6</v>
      </c>
      <c r="E741" s="241" t="s">
        <v>1615</v>
      </c>
      <c r="F741" s="243" t="s">
        <v>1609</v>
      </c>
      <c r="G741" s="117" t="s">
        <v>785</v>
      </c>
      <c r="H741" s="245" t="s">
        <v>1931</v>
      </c>
      <c r="I741" s="245" t="s">
        <v>1932</v>
      </c>
      <c r="J741" s="122">
        <v>8062016</v>
      </c>
    </row>
    <row r="742" spans="1:10" ht="30" customHeight="1" x14ac:dyDescent="0.3">
      <c r="A742" s="117">
        <v>818</v>
      </c>
      <c r="B742" s="110" t="s">
        <v>1041</v>
      </c>
      <c r="C742" s="111">
        <v>8</v>
      </c>
      <c r="D742" s="111">
        <v>2</v>
      </c>
      <c r="E742" s="241" t="s">
        <v>1613</v>
      </c>
      <c r="F742" s="243" t="s">
        <v>1625</v>
      </c>
      <c r="G742" s="117" t="s">
        <v>786</v>
      </c>
      <c r="H742" s="245" t="s">
        <v>1657</v>
      </c>
      <c r="I742" s="245" t="s">
        <v>1922</v>
      </c>
      <c r="J742" s="120">
        <v>43480</v>
      </c>
    </row>
    <row r="743" spans="1:10" ht="65.25" customHeight="1" x14ac:dyDescent="0.3">
      <c r="A743" s="117">
        <v>819</v>
      </c>
      <c r="B743" s="110" t="s">
        <v>1485</v>
      </c>
      <c r="C743" s="111">
        <v>9</v>
      </c>
      <c r="D743" s="111">
        <v>2</v>
      </c>
      <c r="E743" s="241" t="s">
        <v>1613</v>
      </c>
      <c r="F743" s="243" t="s">
        <v>526</v>
      </c>
      <c r="G743" s="117" t="s">
        <v>787</v>
      </c>
      <c r="H743" s="245" t="s">
        <v>1733</v>
      </c>
      <c r="I743" s="245" t="s">
        <v>2003</v>
      </c>
      <c r="J743" s="120">
        <v>43616</v>
      </c>
    </row>
    <row r="744" spans="1:10" ht="45" customHeight="1" x14ac:dyDescent="0.3">
      <c r="A744" s="117">
        <v>820</v>
      </c>
      <c r="B744" s="110" t="s">
        <v>1486</v>
      </c>
      <c r="C744" s="111">
        <v>9</v>
      </c>
      <c r="D744" s="111">
        <v>2</v>
      </c>
      <c r="E744" s="241" t="s">
        <v>1613</v>
      </c>
      <c r="F744" s="243" t="s">
        <v>526</v>
      </c>
      <c r="G744" s="117" t="s">
        <v>787</v>
      </c>
      <c r="H744" s="245" t="s">
        <v>1733</v>
      </c>
      <c r="I744" s="245" t="s">
        <v>2004</v>
      </c>
      <c r="J744" s="120">
        <v>44855</v>
      </c>
    </row>
    <row r="745" spans="1:10" ht="30" customHeight="1" x14ac:dyDescent="0.3">
      <c r="A745" s="117">
        <v>821</v>
      </c>
      <c r="B745" s="110" t="s">
        <v>1042</v>
      </c>
      <c r="C745" s="111">
        <v>2</v>
      </c>
      <c r="D745" s="111">
        <v>1</v>
      </c>
      <c r="E745" s="242" t="s">
        <v>1614</v>
      </c>
      <c r="F745" s="243" t="s">
        <v>1584</v>
      </c>
      <c r="G745" s="117" t="s">
        <v>789</v>
      </c>
      <c r="H745" s="245" t="s">
        <v>1712</v>
      </c>
      <c r="I745" s="245" t="s">
        <v>1903</v>
      </c>
      <c r="J745" s="122"/>
    </row>
    <row r="746" spans="1:10" ht="45" customHeight="1" x14ac:dyDescent="0.3">
      <c r="A746" s="117">
        <v>822</v>
      </c>
      <c r="B746" s="110" t="s">
        <v>1043</v>
      </c>
      <c r="C746" s="111">
        <v>7</v>
      </c>
      <c r="D746" s="111">
        <v>3</v>
      </c>
      <c r="E746" s="243" t="s">
        <v>1610</v>
      </c>
      <c r="F746" s="243" t="s">
        <v>524</v>
      </c>
      <c r="G746" s="117" t="s">
        <v>772</v>
      </c>
      <c r="H746" s="245" t="s">
        <v>1847</v>
      </c>
      <c r="I746" s="245" t="s">
        <v>1917</v>
      </c>
      <c r="J746" s="122"/>
    </row>
    <row r="747" spans="1:10" ht="45" customHeight="1" x14ac:dyDescent="0.3">
      <c r="A747" s="117">
        <v>823</v>
      </c>
      <c r="B747" s="131" t="s">
        <v>1487</v>
      </c>
      <c r="C747" s="111">
        <v>24</v>
      </c>
      <c r="D747" s="111">
        <v>1</v>
      </c>
      <c r="E747" s="242" t="s">
        <v>1614</v>
      </c>
      <c r="F747" s="243" t="s">
        <v>1630</v>
      </c>
      <c r="G747" s="119" t="s">
        <v>790</v>
      </c>
      <c r="H747" s="246" t="s">
        <v>1805</v>
      </c>
      <c r="I747" s="245" t="s">
        <v>1939</v>
      </c>
      <c r="J747" s="120"/>
    </row>
    <row r="748" spans="1:10" ht="75" customHeight="1" x14ac:dyDescent="0.3">
      <c r="A748" s="117">
        <v>824</v>
      </c>
      <c r="B748" s="110" t="s">
        <v>1488</v>
      </c>
      <c r="C748" s="111">
        <v>33</v>
      </c>
      <c r="D748" s="111">
        <v>6</v>
      </c>
      <c r="E748" s="241" t="s">
        <v>1615</v>
      </c>
      <c r="F748" s="243" t="s">
        <v>1609</v>
      </c>
      <c r="G748" s="117" t="s">
        <v>791</v>
      </c>
      <c r="H748" s="245" t="s">
        <v>1887</v>
      </c>
      <c r="I748" s="245" t="s">
        <v>1886</v>
      </c>
      <c r="J748" s="120"/>
    </row>
    <row r="749" spans="1:10" ht="30" customHeight="1" x14ac:dyDescent="0.3">
      <c r="A749" s="117">
        <v>826</v>
      </c>
      <c r="B749" s="110" t="s">
        <v>1017</v>
      </c>
      <c r="C749" s="111">
        <v>37</v>
      </c>
      <c r="D749" s="111">
        <v>1</v>
      </c>
      <c r="E749" s="242" t="s">
        <v>1614</v>
      </c>
      <c r="F749" s="243" t="s">
        <v>1587</v>
      </c>
      <c r="G749" s="117" t="s">
        <v>788</v>
      </c>
      <c r="H749" s="245" t="s">
        <v>1729</v>
      </c>
      <c r="I749" s="245" t="s">
        <v>1924</v>
      </c>
      <c r="J749" s="122"/>
    </row>
    <row r="750" spans="1:10" ht="75" customHeight="1" x14ac:dyDescent="0.3">
      <c r="A750" s="117">
        <v>827</v>
      </c>
      <c r="B750" s="110" t="s">
        <v>1489</v>
      </c>
      <c r="C750" s="111">
        <v>33</v>
      </c>
      <c r="D750" s="111">
        <v>6</v>
      </c>
      <c r="E750" s="241" t="s">
        <v>1615</v>
      </c>
      <c r="F750" s="243" t="s">
        <v>1609</v>
      </c>
      <c r="G750" s="117" t="s">
        <v>793</v>
      </c>
      <c r="H750" s="245" t="s">
        <v>1887</v>
      </c>
      <c r="I750" s="245" t="s">
        <v>1886</v>
      </c>
      <c r="J750" s="120"/>
    </row>
    <row r="751" spans="1:10" ht="45" customHeight="1" x14ac:dyDescent="0.3">
      <c r="A751" s="117">
        <v>828</v>
      </c>
      <c r="B751" s="110" t="s">
        <v>1490</v>
      </c>
      <c r="C751" s="111">
        <v>38</v>
      </c>
      <c r="D751" s="111">
        <v>1</v>
      </c>
      <c r="E751" s="242" t="s">
        <v>1614</v>
      </c>
      <c r="F751" s="243" t="s">
        <v>1588</v>
      </c>
      <c r="G751" s="118" t="s">
        <v>794</v>
      </c>
      <c r="H751" s="243" t="s">
        <v>1588</v>
      </c>
      <c r="I751" s="245" t="s">
        <v>2005</v>
      </c>
      <c r="J751" s="122"/>
    </row>
    <row r="752" spans="1:10" ht="30" customHeight="1" x14ac:dyDescent="0.3">
      <c r="A752" s="117">
        <v>829</v>
      </c>
      <c r="B752" s="110" t="s">
        <v>1491</v>
      </c>
      <c r="C752" s="111">
        <v>16</v>
      </c>
      <c r="D752" s="111">
        <v>4</v>
      </c>
      <c r="E752" s="240" t="s">
        <v>1611</v>
      </c>
      <c r="F752" s="243" t="s">
        <v>533</v>
      </c>
      <c r="G752" s="117" t="s">
        <v>795</v>
      </c>
      <c r="H752" s="246" t="s">
        <v>1676</v>
      </c>
      <c r="I752" s="245" t="s">
        <v>1996</v>
      </c>
      <c r="J752" s="122"/>
    </row>
    <row r="753" spans="1:10" ht="30" customHeight="1" x14ac:dyDescent="0.3">
      <c r="A753" s="117">
        <v>830</v>
      </c>
      <c r="B753" s="110" t="s">
        <v>1492</v>
      </c>
      <c r="C753" s="111">
        <v>16</v>
      </c>
      <c r="D753" s="111">
        <v>4</v>
      </c>
      <c r="E753" s="240" t="s">
        <v>1611</v>
      </c>
      <c r="F753" s="243" t="s">
        <v>533</v>
      </c>
      <c r="G753" s="118" t="s">
        <v>795</v>
      </c>
      <c r="H753" s="246" t="s">
        <v>1676</v>
      </c>
      <c r="I753" s="245" t="s">
        <v>1996</v>
      </c>
      <c r="J753" s="122"/>
    </row>
    <row r="754" spans="1:10" ht="45" customHeight="1" x14ac:dyDescent="0.3">
      <c r="A754" s="117">
        <v>831</v>
      </c>
      <c r="B754" s="110" t="s">
        <v>1018</v>
      </c>
      <c r="C754" s="111">
        <v>1</v>
      </c>
      <c r="D754" s="111">
        <v>1</v>
      </c>
      <c r="E754" s="242" t="s">
        <v>1614</v>
      </c>
      <c r="F754" s="243" t="s">
        <v>1627</v>
      </c>
      <c r="G754" s="119" t="s">
        <v>796</v>
      </c>
      <c r="H754" s="246" t="s">
        <v>1753</v>
      </c>
      <c r="I754" s="245"/>
      <c r="J754" s="120">
        <v>45352</v>
      </c>
    </row>
    <row r="755" spans="1:10" ht="30" customHeight="1" x14ac:dyDescent="0.3">
      <c r="A755" s="117">
        <v>832</v>
      </c>
      <c r="B755" s="110" t="s">
        <v>1493</v>
      </c>
      <c r="C755" s="111">
        <v>51</v>
      </c>
      <c r="D755" s="111">
        <v>1</v>
      </c>
      <c r="E755" s="242" t="s">
        <v>1614</v>
      </c>
      <c r="F755" s="243" t="s">
        <v>1589</v>
      </c>
      <c r="G755" s="118" t="s">
        <v>797</v>
      </c>
      <c r="H755" s="243" t="s">
        <v>1648</v>
      </c>
      <c r="I755" s="245"/>
      <c r="J755" s="122"/>
    </row>
    <row r="756" spans="1:10" ht="60" customHeight="1" x14ac:dyDescent="0.3">
      <c r="A756" s="117">
        <v>834</v>
      </c>
      <c r="B756" s="110" t="s">
        <v>1019</v>
      </c>
      <c r="C756" s="111">
        <v>43</v>
      </c>
      <c r="D756" s="111">
        <v>3</v>
      </c>
      <c r="E756" s="243" t="s">
        <v>1610</v>
      </c>
      <c r="F756" s="243" t="s">
        <v>1643</v>
      </c>
      <c r="G756" s="117" t="s">
        <v>799</v>
      </c>
      <c r="H756" s="245" t="s">
        <v>1884</v>
      </c>
      <c r="I756" s="245"/>
      <c r="J756" s="120">
        <v>44144</v>
      </c>
    </row>
    <row r="757" spans="1:10" ht="60" customHeight="1" x14ac:dyDescent="0.3">
      <c r="A757" s="117">
        <v>835</v>
      </c>
      <c r="B757" s="110" t="s">
        <v>1020</v>
      </c>
      <c r="C757" s="111">
        <v>43</v>
      </c>
      <c r="D757" s="111">
        <v>3</v>
      </c>
      <c r="E757" s="243" t="s">
        <v>1610</v>
      </c>
      <c r="F757" s="243" t="s">
        <v>1643</v>
      </c>
      <c r="G757" s="117" t="s">
        <v>799</v>
      </c>
      <c r="H757" s="245" t="s">
        <v>1884</v>
      </c>
      <c r="I757" s="245"/>
      <c r="J757" s="122">
        <v>2018</v>
      </c>
    </row>
    <row r="758" spans="1:10" ht="45" customHeight="1" x14ac:dyDescent="0.3">
      <c r="A758" s="117">
        <v>836</v>
      </c>
      <c r="B758" s="110" t="s">
        <v>1494</v>
      </c>
      <c r="C758" s="111">
        <v>16</v>
      </c>
      <c r="D758" s="111">
        <v>4</v>
      </c>
      <c r="E758" s="240" t="s">
        <v>1611</v>
      </c>
      <c r="F758" s="243" t="s">
        <v>533</v>
      </c>
      <c r="G758" s="117" t="s">
        <v>731</v>
      </c>
      <c r="H758" s="246" t="s">
        <v>1788</v>
      </c>
      <c r="I758" s="245" t="s">
        <v>2006</v>
      </c>
      <c r="J758" s="122"/>
    </row>
    <row r="759" spans="1:10" ht="45" customHeight="1" x14ac:dyDescent="0.3">
      <c r="A759" s="117">
        <v>838</v>
      </c>
      <c r="B759" s="110" t="s">
        <v>1022</v>
      </c>
      <c r="C759" s="111">
        <v>2</v>
      </c>
      <c r="D759" s="111">
        <v>1</v>
      </c>
      <c r="E759" s="242" t="s">
        <v>1614</v>
      </c>
      <c r="F759" s="243" t="s">
        <v>1584</v>
      </c>
      <c r="G759" s="119" t="s">
        <v>800</v>
      </c>
      <c r="H759" s="245" t="s">
        <v>1720</v>
      </c>
      <c r="I759" s="245" t="s">
        <v>2143</v>
      </c>
      <c r="J759" s="120">
        <v>45352</v>
      </c>
    </row>
    <row r="760" spans="1:10" ht="45" customHeight="1" x14ac:dyDescent="0.3">
      <c r="A760" s="117">
        <v>839</v>
      </c>
      <c r="B760" s="110" t="s">
        <v>1023</v>
      </c>
      <c r="C760" s="111">
        <v>2</v>
      </c>
      <c r="D760" s="111">
        <v>1</v>
      </c>
      <c r="E760" s="242" t="s">
        <v>1614</v>
      </c>
      <c r="F760" s="243" t="s">
        <v>1584</v>
      </c>
      <c r="G760" s="119" t="s">
        <v>800</v>
      </c>
      <c r="H760" s="245" t="s">
        <v>1720</v>
      </c>
      <c r="I760" s="245" t="s">
        <v>2143</v>
      </c>
      <c r="J760" s="120">
        <v>45352</v>
      </c>
    </row>
    <row r="761" spans="1:10" ht="60" customHeight="1" x14ac:dyDescent="0.3">
      <c r="A761" s="117">
        <v>840</v>
      </c>
      <c r="B761" s="110" t="s">
        <v>1495</v>
      </c>
      <c r="C761" s="111">
        <v>45</v>
      </c>
      <c r="D761" s="111">
        <v>3</v>
      </c>
      <c r="E761" s="243" t="s">
        <v>1610</v>
      </c>
      <c r="F761" s="243" t="s">
        <v>1634</v>
      </c>
      <c r="G761" s="117" t="s">
        <v>801</v>
      </c>
      <c r="H761" s="245" t="s">
        <v>801</v>
      </c>
      <c r="I761" s="245" t="s">
        <v>2007</v>
      </c>
      <c r="J761" s="120">
        <v>44330</v>
      </c>
    </row>
    <row r="762" spans="1:10" ht="30" customHeight="1" x14ac:dyDescent="0.3">
      <c r="A762" s="117">
        <v>841</v>
      </c>
      <c r="B762" s="131" t="s">
        <v>1024</v>
      </c>
      <c r="C762" s="111">
        <v>37</v>
      </c>
      <c r="D762" s="111">
        <v>1</v>
      </c>
      <c r="E762" s="242" t="s">
        <v>1614</v>
      </c>
      <c r="F762" s="243" t="s">
        <v>1587</v>
      </c>
      <c r="G762" s="119" t="s">
        <v>802</v>
      </c>
      <c r="H762" s="246" t="s">
        <v>1727</v>
      </c>
      <c r="I762" s="245" t="s">
        <v>1926</v>
      </c>
      <c r="J762" s="120"/>
    </row>
    <row r="763" spans="1:10" ht="30" customHeight="1" x14ac:dyDescent="0.3">
      <c r="A763" s="117">
        <v>842</v>
      </c>
      <c r="B763" s="131" t="s">
        <v>1025</v>
      </c>
      <c r="C763" s="111">
        <v>37</v>
      </c>
      <c r="D763" s="111">
        <v>1</v>
      </c>
      <c r="E763" s="242" t="s">
        <v>1614</v>
      </c>
      <c r="F763" s="243" t="s">
        <v>1587</v>
      </c>
      <c r="G763" s="117" t="s">
        <v>789</v>
      </c>
      <c r="H763" s="246" t="s">
        <v>1727</v>
      </c>
      <c r="I763" s="245" t="s">
        <v>1926</v>
      </c>
      <c r="J763" s="120"/>
    </row>
    <row r="764" spans="1:10" ht="45" customHeight="1" x14ac:dyDescent="0.3">
      <c r="A764" s="117">
        <v>843</v>
      </c>
      <c r="B764" s="110" t="s">
        <v>1026</v>
      </c>
      <c r="C764" s="111">
        <v>1</v>
      </c>
      <c r="D764" s="111">
        <v>1</v>
      </c>
      <c r="E764" s="242" t="s">
        <v>1614</v>
      </c>
      <c r="F764" s="243" t="s">
        <v>1627</v>
      </c>
      <c r="G764" s="119" t="s">
        <v>796</v>
      </c>
      <c r="H764" s="246" t="s">
        <v>1753</v>
      </c>
      <c r="I764" s="245"/>
      <c r="J764" s="120">
        <v>45352</v>
      </c>
    </row>
    <row r="765" spans="1:10" ht="45" customHeight="1" x14ac:dyDescent="0.3">
      <c r="A765" s="117">
        <v>844</v>
      </c>
      <c r="B765" s="110" t="s">
        <v>1027</v>
      </c>
      <c r="C765" s="111">
        <v>1</v>
      </c>
      <c r="D765" s="111">
        <v>1</v>
      </c>
      <c r="E765" s="242" t="s">
        <v>1614</v>
      </c>
      <c r="F765" s="243" t="s">
        <v>1627</v>
      </c>
      <c r="G765" s="119" t="s">
        <v>796</v>
      </c>
      <c r="H765" s="246" t="s">
        <v>1753</v>
      </c>
      <c r="I765" s="245"/>
      <c r="J765" s="120">
        <v>45352</v>
      </c>
    </row>
    <row r="766" spans="1:10" ht="30" customHeight="1" x14ac:dyDescent="0.3">
      <c r="A766" s="117">
        <v>845</v>
      </c>
      <c r="B766" s="110" t="s">
        <v>1028</v>
      </c>
      <c r="C766" s="111">
        <v>2</v>
      </c>
      <c r="D766" s="111">
        <v>1</v>
      </c>
      <c r="E766" s="242" t="s">
        <v>1614</v>
      </c>
      <c r="F766" s="243" t="s">
        <v>1584</v>
      </c>
      <c r="G766" s="117" t="s">
        <v>789</v>
      </c>
      <c r="H766" s="245" t="s">
        <v>1712</v>
      </c>
      <c r="I766" s="245" t="s">
        <v>1903</v>
      </c>
      <c r="J766" s="122"/>
    </row>
    <row r="767" spans="1:10" ht="45" customHeight="1" x14ac:dyDescent="0.3">
      <c r="A767" s="117">
        <v>846</v>
      </c>
      <c r="B767" s="110" t="s">
        <v>1029</v>
      </c>
      <c r="C767" s="111">
        <v>46</v>
      </c>
      <c r="D767" s="111">
        <v>3</v>
      </c>
      <c r="E767" s="243" t="s">
        <v>1610</v>
      </c>
      <c r="F767" s="243"/>
      <c r="G767" s="117" t="s">
        <v>803</v>
      </c>
      <c r="H767" s="245" t="s">
        <v>1631</v>
      </c>
      <c r="I767" s="245"/>
      <c r="J767" s="120">
        <v>43542</v>
      </c>
    </row>
    <row r="768" spans="1:10" ht="30" customHeight="1" x14ac:dyDescent="0.3">
      <c r="A768" s="117">
        <v>848</v>
      </c>
      <c r="B768" s="110" t="s">
        <v>1496</v>
      </c>
      <c r="C768" s="111">
        <v>2</v>
      </c>
      <c r="D768" s="111">
        <v>1</v>
      </c>
      <c r="E768" s="242" t="s">
        <v>1614</v>
      </c>
      <c r="F768" s="243" t="s">
        <v>1584</v>
      </c>
      <c r="G768" s="117" t="s">
        <v>805</v>
      </c>
      <c r="H768" s="245" t="s">
        <v>1736</v>
      </c>
      <c r="I768" s="245" t="s">
        <v>2008</v>
      </c>
      <c r="J768" s="122"/>
    </row>
    <row r="769" spans="1:10" ht="30" customHeight="1" x14ac:dyDescent="0.3">
      <c r="A769" s="117">
        <v>849</v>
      </c>
      <c r="B769" s="110" t="s">
        <v>1497</v>
      </c>
      <c r="C769" s="111">
        <v>2</v>
      </c>
      <c r="D769" s="111">
        <v>1</v>
      </c>
      <c r="E769" s="242" t="s">
        <v>1614</v>
      </c>
      <c r="F769" s="243" t="s">
        <v>1584</v>
      </c>
      <c r="G769" s="117" t="s">
        <v>806</v>
      </c>
      <c r="H769" s="245" t="s">
        <v>1734</v>
      </c>
      <c r="I769" s="245" t="s">
        <v>2008</v>
      </c>
      <c r="J769" s="122"/>
    </row>
    <row r="770" spans="1:10" ht="45" customHeight="1" x14ac:dyDescent="0.3">
      <c r="A770" s="117">
        <v>850</v>
      </c>
      <c r="B770" s="131" t="s">
        <v>1498</v>
      </c>
      <c r="C770" s="111">
        <v>18</v>
      </c>
      <c r="D770" s="111">
        <v>4</v>
      </c>
      <c r="E770" s="240" t="s">
        <v>1611</v>
      </c>
      <c r="F770" s="243" t="s">
        <v>1637</v>
      </c>
      <c r="G770" s="119" t="s">
        <v>942</v>
      </c>
      <c r="H770" s="246" t="s">
        <v>1809</v>
      </c>
      <c r="I770" s="245" t="s">
        <v>1814</v>
      </c>
      <c r="J770" s="120"/>
    </row>
    <row r="771" spans="1:10" ht="45" customHeight="1" x14ac:dyDescent="0.3">
      <c r="A771" s="117">
        <v>851</v>
      </c>
      <c r="B771" s="110" t="s">
        <v>1499</v>
      </c>
      <c r="C771" s="111">
        <v>4</v>
      </c>
      <c r="D771" s="111">
        <v>3</v>
      </c>
      <c r="E771" s="243" t="s">
        <v>1610</v>
      </c>
      <c r="F771" s="243" t="s">
        <v>1628</v>
      </c>
      <c r="G771" s="117" t="s">
        <v>807</v>
      </c>
      <c r="H771" s="245" t="s">
        <v>1762</v>
      </c>
      <c r="I771" s="245" t="s">
        <v>1923</v>
      </c>
      <c r="J771" s="122"/>
    </row>
    <row r="772" spans="1:10" ht="45" customHeight="1" x14ac:dyDescent="0.3">
      <c r="A772" s="117">
        <v>852</v>
      </c>
      <c r="B772" s="131" t="s">
        <v>1500</v>
      </c>
      <c r="C772" s="111">
        <v>24</v>
      </c>
      <c r="D772" s="111">
        <v>1</v>
      </c>
      <c r="E772" s="242" t="s">
        <v>1614</v>
      </c>
      <c r="F772" s="243" t="s">
        <v>1630</v>
      </c>
      <c r="G772" s="119" t="s">
        <v>808</v>
      </c>
      <c r="H772" s="245" t="s">
        <v>1806</v>
      </c>
      <c r="I772" s="245" t="s">
        <v>1939</v>
      </c>
      <c r="J772" s="120"/>
    </row>
    <row r="773" spans="1:10" ht="30" customHeight="1" x14ac:dyDescent="0.3">
      <c r="A773" s="117">
        <v>853</v>
      </c>
      <c r="B773" s="110" t="s">
        <v>1501</v>
      </c>
      <c r="C773" s="111">
        <v>19</v>
      </c>
      <c r="D773" s="111">
        <v>1</v>
      </c>
      <c r="E773" s="242" t="s">
        <v>1614</v>
      </c>
      <c r="F773" s="243" t="s">
        <v>1585</v>
      </c>
      <c r="G773" s="117" t="s">
        <v>809</v>
      </c>
      <c r="H773" s="245" t="s">
        <v>1666</v>
      </c>
      <c r="I773" s="245" t="s">
        <v>1991</v>
      </c>
      <c r="J773" s="122"/>
    </row>
    <row r="774" spans="1:10" ht="30" customHeight="1" x14ac:dyDescent="0.3">
      <c r="A774" s="117">
        <v>854</v>
      </c>
      <c r="B774" s="110" t="s">
        <v>1502</v>
      </c>
      <c r="C774" s="111">
        <v>19</v>
      </c>
      <c r="D774" s="111">
        <v>1</v>
      </c>
      <c r="E774" s="242" t="s">
        <v>1614</v>
      </c>
      <c r="F774" s="243" t="s">
        <v>1585</v>
      </c>
      <c r="G774" s="117" t="s">
        <v>809</v>
      </c>
      <c r="H774" s="245" t="s">
        <v>1666</v>
      </c>
      <c r="I774" s="245" t="s">
        <v>1991</v>
      </c>
      <c r="J774" s="122"/>
    </row>
    <row r="775" spans="1:10" ht="30" customHeight="1" x14ac:dyDescent="0.3">
      <c r="A775" s="117">
        <v>855</v>
      </c>
      <c r="B775" s="110" t="s">
        <v>1503</v>
      </c>
      <c r="C775" s="111">
        <v>28</v>
      </c>
      <c r="D775" s="111">
        <v>3</v>
      </c>
      <c r="E775" s="243" t="s">
        <v>1610</v>
      </c>
      <c r="F775" s="243" t="s">
        <v>1642</v>
      </c>
      <c r="G775" s="117" t="s">
        <v>810</v>
      </c>
      <c r="H775" s="245" t="s">
        <v>1833</v>
      </c>
      <c r="I775" s="245" t="s">
        <v>2009</v>
      </c>
      <c r="J775" s="122"/>
    </row>
    <row r="776" spans="1:10" ht="75" customHeight="1" x14ac:dyDescent="0.3">
      <c r="A776" s="117">
        <v>856</v>
      </c>
      <c r="B776" s="131" t="s">
        <v>1504</v>
      </c>
      <c r="C776" s="111">
        <v>34</v>
      </c>
      <c r="D776" s="111">
        <v>6</v>
      </c>
      <c r="E776" s="241" t="s">
        <v>1615</v>
      </c>
      <c r="F776" s="243" t="s">
        <v>550</v>
      </c>
      <c r="G776" s="119" t="s">
        <v>811</v>
      </c>
      <c r="H776" s="246" t="s">
        <v>1622</v>
      </c>
      <c r="I776" s="245"/>
      <c r="J776" s="122"/>
    </row>
    <row r="777" spans="1:10" ht="30" customHeight="1" x14ac:dyDescent="0.3">
      <c r="A777" s="117">
        <v>857</v>
      </c>
      <c r="B777" s="110" t="s">
        <v>1031</v>
      </c>
      <c r="C777" s="111">
        <v>2</v>
      </c>
      <c r="D777" s="111">
        <v>1</v>
      </c>
      <c r="E777" s="242" t="s">
        <v>1614</v>
      </c>
      <c r="F777" s="243" t="s">
        <v>1584</v>
      </c>
      <c r="G777" s="117" t="s">
        <v>812</v>
      </c>
      <c r="H777" s="245" t="s">
        <v>1724</v>
      </c>
      <c r="I777" s="245" t="s">
        <v>1910</v>
      </c>
      <c r="J777" s="122"/>
    </row>
    <row r="778" spans="1:10" ht="45" customHeight="1" x14ac:dyDescent="0.3">
      <c r="A778" s="117">
        <v>858</v>
      </c>
      <c r="B778" s="110" t="s">
        <v>1032</v>
      </c>
      <c r="C778" s="111">
        <v>1</v>
      </c>
      <c r="D778" s="111">
        <v>1</v>
      </c>
      <c r="E778" s="242" t="s">
        <v>1614</v>
      </c>
      <c r="F778" s="243" t="s">
        <v>1627</v>
      </c>
      <c r="G778" s="119" t="s">
        <v>813</v>
      </c>
      <c r="H778" s="246" t="s">
        <v>1754</v>
      </c>
      <c r="I778" s="245"/>
      <c r="J778" s="120">
        <v>45352</v>
      </c>
    </row>
    <row r="779" spans="1:10" ht="45" customHeight="1" x14ac:dyDescent="0.3">
      <c r="A779" s="117">
        <v>859</v>
      </c>
      <c r="B779" s="131" t="s">
        <v>1505</v>
      </c>
      <c r="C779" s="111">
        <v>24</v>
      </c>
      <c r="D779" s="111">
        <v>1</v>
      </c>
      <c r="E779" s="242" t="s">
        <v>1614</v>
      </c>
      <c r="F779" s="243" t="s">
        <v>1630</v>
      </c>
      <c r="G779" s="119" t="s">
        <v>814</v>
      </c>
      <c r="H779" s="246" t="s">
        <v>1878</v>
      </c>
      <c r="I779" s="245" t="s">
        <v>1879</v>
      </c>
      <c r="J779" s="120"/>
    </row>
    <row r="780" spans="1:10" ht="45" customHeight="1" x14ac:dyDescent="0.3">
      <c r="A780" s="117">
        <v>860</v>
      </c>
      <c r="B780" s="131" t="s">
        <v>1506</v>
      </c>
      <c r="C780" s="111">
        <v>1</v>
      </c>
      <c r="D780" s="111">
        <v>1</v>
      </c>
      <c r="E780" s="242" t="s">
        <v>1614</v>
      </c>
      <c r="F780" s="243" t="s">
        <v>1627</v>
      </c>
      <c r="G780" s="119" t="s">
        <v>796</v>
      </c>
      <c r="H780" s="246" t="s">
        <v>1753</v>
      </c>
      <c r="I780" s="245"/>
      <c r="J780" s="122"/>
    </row>
    <row r="781" spans="1:10" ht="45" customHeight="1" x14ac:dyDescent="0.3">
      <c r="A781" s="117">
        <v>861</v>
      </c>
      <c r="B781" s="110" t="s">
        <v>1033</v>
      </c>
      <c r="C781" s="111">
        <v>1</v>
      </c>
      <c r="D781" s="111">
        <v>1</v>
      </c>
      <c r="E781" s="242" t="s">
        <v>1614</v>
      </c>
      <c r="F781" s="243" t="s">
        <v>1627</v>
      </c>
      <c r="G781" s="119" t="s">
        <v>796</v>
      </c>
      <c r="H781" s="246" t="s">
        <v>1753</v>
      </c>
      <c r="I781" s="245"/>
      <c r="J781" s="120">
        <v>45352</v>
      </c>
    </row>
    <row r="782" spans="1:10" ht="45" customHeight="1" x14ac:dyDescent="0.3">
      <c r="A782" s="117">
        <v>862</v>
      </c>
      <c r="B782" s="110" t="s">
        <v>1034</v>
      </c>
      <c r="C782" s="111">
        <v>1</v>
      </c>
      <c r="D782" s="111">
        <v>1</v>
      </c>
      <c r="E782" s="242" t="s">
        <v>1614</v>
      </c>
      <c r="F782" s="243" t="s">
        <v>1627</v>
      </c>
      <c r="G782" s="119" t="s">
        <v>796</v>
      </c>
      <c r="H782" s="246" t="s">
        <v>1753</v>
      </c>
      <c r="I782" s="245"/>
      <c r="J782" s="120">
        <v>45352</v>
      </c>
    </row>
    <row r="783" spans="1:10" ht="60" customHeight="1" x14ac:dyDescent="0.3">
      <c r="A783" s="117">
        <v>863</v>
      </c>
      <c r="B783" s="110" t="s">
        <v>1507</v>
      </c>
      <c r="C783" s="111">
        <v>9</v>
      </c>
      <c r="D783" s="111">
        <v>2</v>
      </c>
      <c r="E783" s="241" t="s">
        <v>1613</v>
      </c>
      <c r="F783" s="243" t="s">
        <v>526</v>
      </c>
      <c r="G783" s="119" t="s">
        <v>815</v>
      </c>
      <c r="H783" s="246" t="s">
        <v>1826</v>
      </c>
      <c r="I783" s="245" t="s">
        <v>1825</v>
      </c>
      <c r="J783" s="122"/>
    </row>
    <row r="784" spans="1:10" ht="60" customHeight="1" x14ac:dyDescent="0.3">
      <c r="A784" s="117">
        <v>864</v>
      </c>
      <c r="B784" s="110" t="s">
        <v>1508</v>
      </c>
      <c r="C784" s="111">
        <v>9</v>
      </c>
      <c r="D784" s="111">
        <v>2</v>
      </c>
      <c r="E784" s="241" t="s">
        <v>1613</v>
      </c>
      <c r="F784" s="243" t="s">
        <v>526</v>
      </c>
      <c r="G784" s="118" t="s">
        <v>816</v>
      </c>
      <c r="H784" s="245" t="s">
        <v>1821</v>
      </c>
      <c r="I784" s="245" t="s">
        <v>1822</v>
      </c>
      <c r="J784" s="122"/>
    </row>
    <row r="785" spans="1:10" ht="60" customHeight="1" x14ac:dyDescent="0.3">
      <c r="A785" s="117">
        <v>865</v>
      </c>
      <c r="B785" s="110" t="s">
        <v>1509</v>
      </c>
      <c r="C785" s="111">
        <v>9</v>
      </c>
      <c r="D785" s="111">
        <v>2</v>
      </c>
      <c r="E785" s="241" t="s">
        <v>1613</v>
      </c>
      <c r="F785" s="243" t="s">
        <v>526</v>
      </c>
      <c r="G785" s="118" t="s">
        <v>816</v>
      </c>
      <c r="H785" s="245" t="s">
        <v>1821</v>
      </c>
      <c r="I785" s="245" t="s">
        <v>1822</v>
      </c>
      <c r="J785" s="122"/>
    </row>
    <row r="786" spans="1:10" ht="60" customHeight="1" x14ac:dyDescent="0.3">
      <c r="A786" s="117">
        <v>866</v>
      </c>
      <c r="B786" s="110" t="s">
        <v>1510</v>
      </c>
      <c r="C786" s="111">
        <v>9</v>
      </c>
      <c r="D786" s="111">
        <v>2</v>
      </c>
      <c r="E786" s="241" t="s">
        <v>1613</v>
      </c>
      <c r="F786" s="243" t="s">
        <v>526</v>
      </c>
      <c r="G786" s="118" t="s">
        <v>816</v>
      </c>
      <c r="H786" s="245" t="s">
        <v>1821</v>
      </c>
      <c r="I786" s="245" t="s">
        <v>1822</v>
      </c>
      <c r="J786" s="122"/>
    </row>
    <row r="787" spans="1:10" ht="60" customHeight="1" x14ac:dyDescent="0.3">
      <c r="A787" s="117">
        <v>867</v>
      </c>
      <c r="B787" s="110" t="s">
        <v>1511</v>
      </c>
      <c r="C787" s="111">
        <v>9</v>
      </c>
      <c r="D787" s="111">
        <v>2</v>
      </c>
      <c r="E787" s="241" t="s">
        <v>1613</v>
      </c>
      <c r="F787" s="243" t="s">
        <v>526</v>
      </c>
      <c r="G787" s="118" t="s">
        <v>815</v>
      </c>
      <c r="H787" s="246" t="s">
        <v>1826</v>
      </c>
      <c r="I787" s="245" t="s">
        <v>1825</v>
      </c>
      <c r="J787" s="122"/>
    </row>
    <row r="788" spans="1:10" ht="60" customHeight="1" x14ac:dyDescent="0.3">
      <c r="A788" s="117">
        <v>868</v>
      </c>
      <c r="B788" s="110" t="s">
        <v>1512</v>
      </c>
      <c r="C788" s="111">
        <v>9</v>
      </c>
      <c r="D788" s="111">
        <v>2</v>
      </c>
      <c r="E788" s="241" t="s">
        <v>1613</v>
      </c>
      <c r="F788" s="243" t="s">
        <v>526</v>
      </c>
      <c r="G788" s="118" t="s">
        <v>815</v>
      </c>
      <c r="H788" s="246" t="s">
        <v>1826</v>
      </c>
      <c r="I788" s="245" t="s">
        <v>1825</v>
      </c>
      <c r="J788" s="122"/>
    </row>
    <row r="789" spans="1:10" ht="45" customHeight="1" x14ac:dyDescent="0.3">
      <c r="A789" s="117">
        <v>869</v>
      </c>
      <c r="B789" s="110" t="s">
        <v>1035</v>
      </c>
      <c r="C789" s="111">
        <v>1</v>
      </c>
      <c r="D789" s="111">
        <v>1</v>
      </c>
      <c r="E789" s="242" t="s">
        <v>1614</v>
      </c>
      <c r="F789" s="243" t="s">
        <v>1627</v>
      </c>
      <c r="G789" s="119" t="s">
        <v>813</v>
      </c>
      <c r="H789" s="246" t="s">
        <v>1754</v>
      </c>
      <c r="I789" s="245"/>
      <c r="J789" s="120">
        <v>45352</v>
      </c>
    </row>
    <row r="790" spans="1:10" ht="60" customHeight="1" x14ac:dyDescent="0.3">
      <c r="A790" s="117">
        <v>870</v>
      </c>
      <c r="B790" s="110" t="s">
        <v>1513</v>
      </c>
      <c r="C790" s="111">
        <v>45</v>
      </c>
      <c r="D790" s="111">
        <v>3</v>
      </c>
      <c r="E790" s="243" t="s">
        <v>1610</v>
      </c>
      <c r="F790" s="243" t="s">
        <v>1634</v>
      </c>
      <c r="G790" s="117" t="s">
        <v>817</v>
      </c>
      <c r="H790" s="245" t="s">
        <v>1761</v>
      </c>
      <c r="I790" s="245" t="s">
        <v>2010</v>
      </c>
      <c r="J790" s="122"/>
    </row>
    <row r="791" spans="1:10" ht="45" customHeight="1" x14ac:dyDescent="0.3">
      <c r="A791" s="117">
        <v>871</v>
      </c>
      <c r="B791" s="110" t="s">
        <v>1514</v>
      </c>
      <c r="C791" s="111">
        <v>17</v>
      </c>
      <c r="D791" s="111">
        <v>4</v>
      </c>
      <c r="E791" s="240" t="s">
        <v>1611</v>
      </c>
      <c r="F791" s="243" t="s">
        <v>534</v>
      </c>
      <c r="G791" s="117" t="s">
        <v>818</v>
      </c>
      <c r="H791" s="245" t="s">
        <v>1669</v>
      </c>
      <c r="I791" s="245" t="s">
        <v>1993</v>
      </c>
      <c r="J791" s="122"/>
    </row>
    <row r="792" spans="1:10" ht="30" customHeight="1" x14ac:dyDescent="0.3">
      <c r="A792" s="117">
        <v>872</v>
      </c>
      <c r="B792" s="110" t="s">
        <v>1515</v>
      </c>
      <c r="C792" s="111">
        <v>17</v>
      </c>
      <c r="D792" s="111">
        <v>4</v>
      </c>
      <c r="E792" s="240" t="s">
        <v>1611</v>
      </c>
      <c r="F792" s="243" t="s">
        <v>534</v>
      </c>
      <c r="G792" s="117" t="s">
        <v>819</v>
      </c>
      <c r="H792" s="245" t="s">
        <v>1706</v>
      </c>
      <c r="I792" s="245" t="s">
        <v>2001</v>
      </c>
      <c r="J792" s="122"/>
    </row>
    <row r="793" spans="1:10" ht="45" customHeight="1" x14ac:dyDescent="0.3">
      <c r="A793" s="117">
        <v>873</v>
      </c>
      <c r="B793" s="110" t="s">
        <v>1516</v>
      </c>
      <c r="C793" s="111">
        <v>17</v>
      </c>
      <c r="D793" s="111">
        <v>4</v>
      </c>
      <c r="E793" s="240" t="s">
        <v>1611</v>
      </c>
      <c r="F793" s="243" t="s">
        <v>534</v>
      </c>
      <c r="G793" s="117" t="s">
        <v>820</v>
      </c>
      <c r="H793" s="245" t="s">
        <v>1700</v>
      </c>
      <c r="I793" s="245" t="s">
        <v>1607</v>
      </c>
      <c r="J793" s="122"/>
    </row>
    <row r="794" spans="1:10" ht="45" customHeight="1" x14ac:dyDescent="0.3">
      <c r="A794" s="117">
        <v>875</v>
      </c>
      <c r="B794" s="110" t="s">
        <v>1036</v>
      </c>
      <c r="C794" s="111">
        <v>1</v>
      </c>
      <c r="D794" s="111">
        <v>1</v>
      </c>
      <c r="E794" s="242" t="s">
        <v>1614</v>
      </c>
      <c r="F794" s="243" t="s">
        <v>1627</v>
      </c>
      <c r="G794" s="119" t="s">
        <v>821</v>
      </c>
      <c r="H794" s="246" t="s">
        <v>1754</v>
      </c>
      <c r="I794" s="245"/>
      <c r="J794" s="120">
        <v>45352</v>
      </c>
    </row>
    <row r="795" spans="1:10" ht="45" customHeight="1" x14ac:dyDescent="0.3">
      <c r="A795" s="117">
        <v>876</v>
      </c>
      <c r="B795" s="110" t="s">
        <v>1037</v>
      </c>
      <c r="C795" s="111">
        <v>1</v>
      </c>
      <c r="D795" s="111">
        <v>1</v>
      </c>
      <c r="E795" s="242" t="s">
        <v>1614</v>
      </c>
      <c r="F795" s="243" t="s">
        <v>1627</v>
      </c>
      <c r="G795" s="119" t="s">
        <v>821</v>
      </c>
      <c r="H795" s="246" t="s">
        <v>1754</v>
      </c>
      <c r="I795" s="245"/>
      <c r="J795" s="120">
        <v>45352</v>
      </c>
    </row>
    <row r="796" spans="1:10" ht="75" customHeight="1" x14ac:dyDescent="0.3">
      <c r="A796" s="117">
        <v>877</v>
      </c>
      <c r="B796" s="131" t="s">
        <v>1517</v>
      </c>
      <c r="C796" s="111">
        <v>34</v>
      </c>
      <c r="D796" s="111">
        <v>6</v>
      </c>
      <c r="E796" s="241" t="s">
        <v>1615</v>
      </c>
      <c r="F796" s="243" t="s">
        <v>550</v>
      </c>
      <c r="G796" s="119" t="s">
        <v>824</v>
      </c>
      <c r="H796" s="246" t="s">
        <v>1623</v>
      </c>
      <c r="I796" s="245"/>
      <c r="J796" s="122"/>
    </row>
    <row r="797" spans="1:10" ht="75" customHeight="1" x14ac:dyDescent="0.3">
      <c r="A797" s="117">
        <v>878</v>
      </c>
      <c r="B797" s="110" t="s">
        <v>1518</v>
      </c>
      <c r="C797" s="111">
        <v>33</v>
      </c>
      <c r="D797" s="111">
        <v>6</v>
      </c>
      <c r="E797" s="241" t="s">
        <v>1615</v>
      </c>
      <c r="F797" s="243" t="s">
        <v>1609</v>
      </c>
      <c r="G797" s="118" t="s">
        <v>823</v>
      </c>
      <c r="H797" s="243" t="s">
        <v>1868</v>
      </c>
      <c r="I797" s="245" t="s">
        <v>1869</v>
      </c>
      <c r="J797" s="120"/>
    </row>
    <row r="798" spans="1:10" ht="30" customHeight="1" x14ac:dyDescent="0.3">
      <c r="A798" s="117">
        <v>879</v>
      </c>
      <c r="B798" s="110" t="s">
        <v>1519</v>
      </c>
      <c r="C798" s="111">
        <v>2</v>
      </c>
      <c r="D798" s="111">
        <v>1</v>
      </c>
      <c r="E798" s="242" t="s">
        <v>1614</v>
      </c>
      <c r="F798" s="243" t="s">
        <v>1584</v>
      </c>
      <c r="G798" s="117" t="s">
        <v>825</v>
      </c>
      <c r="H798" s="245" t="s">
        <v>1724</v>
      </c>
      <c r="I798" s="245" t="s">
        <v>1910</v>
      </c>
      <c r="J798" s="122"/>
    </row>
    <row r="799" spans="1:10" ht="43.2" x14ac:dyDescent="0.3">
      <c r="A799" s="117">
        <v>880</v>
      </c>
      <c r="B799" s="110" t="s">
        <v>1520</v>
      </c>
      <c r="C799" s="111">
        <v>7</v>
      </c>
      <c r="D799" s="111">
        <v>3</v>
      </c>
      <c r="E799" s="243" t="s">
        <v>1610</v>
      </c>
      <c r="F799" s="243" t="s">
        <v>524</v>
      </c>
      <c r="G799" s="117" t="s">
        <v>826</v>
      </c>
      <c r="H799" s="245" t="s">
        <v>1846</v>
      </c>
      <c r="I799" s="245" t="s">
        <v>2011</v>
      </c>
      <c r="J799" s="122"/>
    </row>
    <row r="800" spans="1:10" ht="30" customHeight="1" x14ac:dyDescent="0.3">
      <c r="A800" s="117">
        <v>881</v>
      </c>
      <c r="B800" s="110" t="s">
        <v>1521</v>
      </c>
      <c r="C800" s="111">
        <v>51</v>
      </c>
      <c r="D800" s="111">
        <v>1</v>
      </c>
      <c r="E800" s="242" t="s">
        <v>1614</v>
      </c>
      <c r="F800" s="243" t="s">
        <v>1589</v>
      </c>
      <c r="G800" s="118" t="s">
        <v>797</v>
      </c>
      <c r="H800" s="243" t="s">
        <v>1648</v>
      </c>
      <c r="I800" s="245"/>
      <c r="J800" s="120"/>
    </row>
    <row r="801" spans="1:10" ht="30" customHeight="1" x14ac:dyDescent="0.3">
      <c r="A801" s="117">
        <v>882</v>
      </c>
      <c r="B801" s="131" t="s">
        <v>1038</v>
      </c>
      <c r="C801" s="111">
        <v>37</v>
      </c>
      <c r="D801" s="111">
        <v>1</v>
      </c>
      <c r="E801" s="242" t="s">
        <v>1614</v>
      </c>
      <c r="F801" s="243" t="s">
        <v>1587</v>
      </c>
      <c r="G801" s="119" t="s">
        <v>828</v>
      </c>
      <c r="H801" s="246" t="s">
        <v>1730</v>
      </c>
      <c r="I801" s="245" t="s">
        <v>1926</v>
      </c>
      <c r="J801" s="120"/>
    </row>
    <row r="802" spans="1:10" ht="45" customHeight="1" x14ac:dyDescent="0.3">
      <c r="A802" s="117">
        <v>883</v>
      </c>
      <c r="B802" s="110" t="s">
        <v>1522</v>
      </c>
      <c r="C802" s="111">
        <v>46</v>
      </c>
      <c r="D802" s="111">
        <v>3</v>
      </c>
      <c r="E802" s="243" t="s">
        <v>1610</v>
      </c>
      <c r="F802" s="243"/>
      <c r="G802" s="117" t="s">
        <v>827</v>
      </c>
      <c r="H802" s="245" t="s">
        <v>1632</v>
      </c>
      <c r="I802" s="245"/>
      <c r="J802" s="122"/>
    </row>
    <row r="803" spans="1:10" ht="30" customHeight="1" x14ac:dyDescent="0.3">
      <c r="A803" s="117">
        <v>884</v>
      </c>
      <c r="B803" s="110" t="s">
        <v>1523</v>
      </c>
      <c r="C803" s="111">
        <v>16</v>
      </c>
      <c r="D803" s="111">
        <v>4</v>
      </c>
      <c r="E803" s="240" t="s">
        <v>1611</v>
      </c>
      <c r="F803" s="243" t="s">
        <v>533</v>
      </c>
      <c r="G803" s="118" t="s">
        <v>829</v>
      </c>
      <c r="H803" s="245" t="s">
        <v>1677</v>
      </c>
      <c r="I803" s="245" t="s">
        <v>1996</v>
      </c>
      <c r="J803" s="122"/>
    </row>
    <row r="804" spans="1:10" ht="30" customHeight="1" x14ac:dyDescent="0.3">
      <c r="A804" s="117">
        <v>885</v>
      </c>
      <c r="B804" s="110" t="s">
        <v>1524</v>
      </c>
      <c r="C804" s="111">
        <v>17</v>
      </c>
      <c r="D804" s="111">
        <v>4</v>
      </c>
      <c r="E804" s="240" t="s">
        <v>1611</v>
      </c>
      <c r="F804" s="243" t="s">
        <v>534</v>
      </c>
      <c r="G804" s="118" t="s">
        <v>830</v>
      </c>
      <c r="H804" s="243" t="s">
        <v>1650</v>
      </c>
      <c r="I804" s="245" t="s">
        <v>2012</v>
      </c>
      <c r="J804" s="122"/>
    </row>
    <row r="805" spans="1:10" ht="45" customHeight="1" x14ac:dyDescent="0.3">
      <c r="A805" s="117">
        <v>887</v>
      </c>
      <c r="B805" s="110" t="s">
        <v>1039</v>
      </c>
      <c r="C805" s="111">
        <v>1</v>
      </c>
      <c r="D805" s="111">
        <v>1</v>
      </c>
      <c r="E805" s="242" t="s">
        <v>1614</v>
      </c>
      <c r="F805" s="243" t="s">
        <v>1627</v>
      </c>
      <c r="G805" s="119" t="s">
        <v>832</v>
      </c>
      <c r="H805" s="246" t="s">
        <v>1751</v>
      </c>
      <c r="I805" s="245"/>
      <c r="J805" s="120">
        <v>45352</v>
      </c>
    </row>
    <row r="806" spans="1:10" ht="75" customHeight="1" x14ac:dyDescent="0.3">
      <c r="A806" s="117">
        <v>888</v>
      </c>
      <c r="B806" s="110" t="s">
        <v>1525</v>
      </c>
      <c r="C806" s="111">
        <v>33</v>
      </c>
      <c r="D806" s="111">
        <v>6</v>
      </c>
      <c r="E806" s="241" t="s">
        <v>1615</v>
      </c>
      <c r="F806" s="243" t="s">
        <v>1609</v>
      </c>
      <c r="G806" s="118" t="s">
        <v>823</v>
      </c>
      <c r="H806" s="243" t="s">
        <v>1868</v>
      </c>
      <c r="I806" s="245" t="s">
        <v>2013</v>
      </c>
      <c r="J806" s="120"/>
    </row>
    <row r="807" spans="1:10" s="129" customFormat="1" ht="45" customHeight="1" x14ac:dyDescent="0.3">
      <c r="A807" s="117">
        <v>889</v>
      </c>
      <c r="B807" s="110" t="s">
        <v>1040</v>
      </c>
      <c r="C807" s="111">
        <v>1</v>
      </c>
      <c r="D807" s="111">
        <v>1</v>
      </c>
      <c r="E807" s="242" t="s">
        <v>1614</v>
      </c>
      <c r="F807" s="243" t="s">
        <v>1627</v>
      </c>
      <c r="G807" s="119" t="s">
        <v>821</v>
      </c>
      <c r="H807" s="246" t="s">
        <v>1753</v>
      </c>
      <c r="I807" s="245"/>
      <c r="J807" s="120">
        <v>45352</v>
      </c>
    </row>
    <row r="808" spans="1:10" ht="60" customHeight="1" x14ac:dyDescent="0.3">
      <c r="A808" s="117">
        <v>890</v>
      </c>
      <c r="B808" s="131"/>
      <c r="C808" s="111">
        <v>26</v>
      </c>
      <c r="D808" s="111">
        <v>5</v>
      </c>
      <c r="E808" s="243" t="s">
        <v>1612</v>
      </c>
      <c r="F808" s="243" t="s">
        <v>1635</v>
      </c>
      <c r="G808" s="118" t="s">
        <v>833</v>
      </c>
      <c r="H808" s="243" t="s">
        <v>1785</v>
      </c>
      <c r="I808" s="245" t="s">
        <v>1782</v>
      </c>
      <c r="J808" s="122"/>
    </row>
    <row r="809" spans="1:10" ht="60" customHeight="1" x14ac:dyDescent="0.3">
      <c r="A809" s="117">
        <v>891</v>
      </c>
      <c r="B809" s="131"/>
      <c r="C809" s="111">
        <v>26</v>
      </c>
      <c r="D809" s="111">
        <v>5</v>
      </c>
      <c r="E809" s="243" t="s">
        <v>1612</v>
      </c>
      <c r="F809" s="243" t="s">
        <v>1635</v>
      </c>
      <c r="G809" s="118" t="s">
        <v>834</v>
      </c>
      <c r="H809" s="243" t="s">
        <v>1783</v>
      </c>
      <c r="I809" s="245" t="s">
        <v>1782</v>
      </c>
      <c r="J809" s="122"/>
    </row>
    <row r="810" spans="1:10" ht="60" customHeight="1" x14ac:dyDescent="0.3">
      <c r="A810" s="117">
        <v>892</v>
      </c>
      <c r="B810" s="131"/>
      <c r="C810" s="111">
        <v>26</v>
      </c>
      <c r="D810" s="111">
        <v>5</v>
      </c>
      <c r="E810" s="243" t="s">
        <v>1612</v>
      </c>
      <c r="F810" s="243" t="s">
        <v>1635</v>
      </c>
      <c r="G810" s="119" t="s">
        <v>835</v>
      </c>
      <c r="H810" s="246" t="s">
        <v>1933</v>
      </c>
      <c r="I810" s="245" t="s">
        <v>1934</v>
      </c>
      <c r="J810" s="122"/>
    </row>
    <row r="811" spans="1:10" ht="60" customHeight="1" x14ac:dyDescent="0.3">
      <c r="A811" s="117">
        <v>893</v>
      </c>
      <c r="B811" s="131"/>
      <c r="C811" s="111">
        <v>26</v>
      </c>
      <c r="D811" s="111">
        <v>5</v>
      </c>
      <c r="E811" s="243" t="s">
        <v>1612</v>
      </c>
      <c r="F811" s="243" t="s">
        <v>1635</v>
      </c>
      <c r="G811" s="119" t="s">
        <v>836</v>
      </c>
      <c r="H811" s="246" t="s">
        <v>1771</v>
      </c>
      <c r="I811" s="245" t="s">
        <v>1935</v>
      </c>
      <c r="J811" s="122"/>
    </row>
    <row r="812" spans="1:10" ht="60" customHeight="1" x14ac:dyDescent="0.3">
      <c r="A812" s="117">
        <v>894</v>
      </c>
      <c r="B812" s="131"/>
      <c r="C812" s="111">
        <v>26</v>
      </c>
      <c r="D812" s="111">
        <v>5</v>
      </c>
      <c r="E812" s="243" t="s">
        <v>1612</v>
      </c>
      <c r="F812" s="243" t="s">
        <v>1635</v>
      </c>
      <c r="G812" s="119" t="s">
        <v>837</v>
      </c>
      <c r="H812" s="246" t="s">
        <v>1772</v>
      </c>
      <c r="I812" s="245" t="s">
        <v>1936</v>
      </c>
      <c r="J812" s="122"/>
    </row>
    <row r="813" spans="1:10" ht="45" customHeight="1" x14ac:dyDescent="0.3">
      <c r="A813" s="117">
        <v>895</v>
      </c>
      <c r="B813" s="110"/>
      <c r="C813" s="111">
        <v>48</v>
      </c>
      <c r="D813" s="111">
        <v>3</v>
      </c>
      <c r="E813" s="243" t="s">
        <v>1610</v>
      </c>
      <c r="F813" s="243" t="s">
        <v>1601</v>
      </c>
      <c r="G813" s="117" t="s">
        <v>838</v>
      </c>
      <c r="H813" s="245" t="s">
        <v>1601</v>
      </c>
      <c r="I813" s="245"/>
      <c r="J813" s="120">
        <v>44720</v>
      </c>
    </row>
    <row r="814" spans="1:10" ht="30" customHeight="1" x14ac:dyDescent="0.3">
      <c r="A814" s="117">
        <v>897</v>
      </c>
      <c r="B814" s="110"/>
      <c r="C814" s="111">
        <v>30</v>
      </c>
      <c r="D814" s="111">
        <v>3</v>
      </c>
      <c r="E814" s="243" t="s">
        <v>1610</v>
      </c>
      <c r="F814" s="243" t="s">
        <v>1633</v>
      </c>
      <c r="G814" s="117" t="s">
        <v>1307</v>
      </c>
      <c r="H814" s="245" t="s">
        <v>1802</v>
      </c>
      <c r="I814" s="245" t="s">
        <v>1600</v>
      </c>
      <c r="J814" s="120"/>
    </row>
    <row r="815" spans="1:10" ht="20.25" customHeight="1" x14ac:dyDescent="0.3">
      <c r="A815" s="117">
        <v>898</v>
      </c>
      <c r="B815" s="110"/>
      <c r="C815" s="111">
        <v>30</v>
      </c>
      <c r="D815" s="111">
        <v>3</v>
      </c>
      <c r="E815" s="243" t="s">
        <v>1610</v>
      </c>
      <c r="F815" s="243" t="s">
        <v>1633</v>
      </c>
      <c r="G815" s="117" t="s">
        <v>1307</v>
      </c>
      <c r="H815" s="245" t="s">
        <v>1802</v>
      </c>
      <c r="I815" s="245" t="s">
        <v>1600</v>
      </c>
      <c r="J815" s="120"/>
    </row>
    <row r="816" spans="1:10" ht="43.5" customHeight="1" x14ac:dyDescent="0.3">
      <c r="A816" s="117">
        <v>899</v>
      </c>
      <c r="B816" s="110"/>
      <c r="C816" s="111">
        <v>30</v>
      </c>
      <c r="D816" s="111">
        <v>3</v>
      </c>
      <c r="E816" s="243" t="s">
        <v>1610</v>
      </c>
      <c r="F816" s="243" t="s">
        <v>1633</v>
      </c>
      <c r="G816" s="117" t="s">
        <v>1307</v>
      </c>
      <c r="H816" s="245" t="s">
        <v>1802</v>
      </c>
      <c r="I816" s="245" t="s">
        <v>1600</v>
      </c>
      <c r="J816" s="120"/>
    </row>
    <row r="817" s="114" customFormat="1" x14ac:dyDescent="0.3"/>
    <row r="818" s="114" customFormat="1" x14ac:dyDescent="0.3"/>
    <row r="819" s="114" customFormat="1" x14ac:dyDescent="0.3"/>
    <row r="820" s="114" customFormat="1" x14ac:dyDescent="0.3"/>
    <row r="821" s="114" customFormat="1" x14ac:dyDescent="0.3"/>
    <row r="822" s="114" customFormat="1" x14ac:dyDescent="0.3"/>
    <row r="823" s="114" customFormat="1" x14ac:dyDescent="0.3"/>
    <row r="824" s="114" customFormat="1" x14ac:dyDescent="0.3"/>
    <row r="825" s="114" customFormat="1" x14ac:dyDescent="0.3"/>
    <row r="826" s="114" customFormat="1" x14ac:dyDescent="0.3"/>
    <row r="827" s="114" customFormat="1" x14ac:dyDescent="0.3"/>
    <row r="828" s="114" customFormat="1" x14ac:dyDescent="0.3"/>
    <row r="829" s="114" customFormat="1" x14ac:dyDescent="0.3"/>
    <row r="830" s="114" customFormat="1" x14ac:dyDescent="0.3"/>
    <row r="831" s="114" customFormat="1" x14ac:dyDescent="0.3"/>
    <row r="832" s="114" customFormat="1" x14ac:dyDescent="0.3"/>
    <row r="833" s="114" customFormat="1" x14ac:dyDescent="0.3"/>
    <row r="834" s="114" customFormat="1" x14ac:dyDescent="0.3"/>
    <row r="835" s="114" customFormat="1" x14ac:dyDescent="0.3"/>
    <row r="836" s="114" customFormat="1" x14ac:dyDescent="0.3"/>
    <row r="837" s="114" customFormat="1" x14ac:dyDescent="0.3"/>
    <row r="838" s="114" customFormat="1" x14ac:dyDescent="0.3"/>
    <row r="839" s="114" customFormat="1" x14ac:dyDescent="0.3"/>
    <row r="840" s="114" customFormat="1" x14ac:dyDescent="0.3"/>
    <row r="841" s="114" customFormat="1" x14ac:dyDescent="0.3"/>
    <row r="842" s="114" customFormat="1" x14ac:dyDescent="0.3"/>
    <row r="843" s="114" customFormat="1" x14ac:dyDescent="0.3"/>
    <row r="844" s="114" customFormat="1" x14ac:dyDescent="0.3"/>
    <row r="845" s="114" customFormat="1" x14ac:dyDescent="0.3"/>
    <row r="846" s="114" customFormat="1" x14ac:dyDescent="0.3"/>
    <row r="847" s="114" customFormat="1" x14ac:dyDescent="0.3"/>
    <row r="848" s="114" customFormat="1" x14ac:dyDescent="0.3"/>
    <row r="849" s="114" customFormat="1" x14ac:dyDescent="0.3"/>
    <row r="850" s="114" customFormat="1" x14ac:dyDescent="0.3"/>
    <row r="851" s="114" customFormat="1" x14ac:dyDescent="0.3"/>
    <row r="852" s="114" customFormat="1" x14ac:dyDescent="0.3"/>
    <row r="853" s="114" customFormat="1" x14ac:dyDescent="0.3"/>
    <row r="854" s="114" customFormat="1" x14ac:dyDescent="0.3"/>
    <row r="855" s="114" customFormat="1" x14ac:dyDescent="0.3"/>
    <row r="856" s="114" customFormat="1" x14ac:dyDescent="0.3"/>
    <row r="857" s="114" customFormat="1" x14ac:dyDescent="0.3"/>
    <row r="858" s="114" customFormat="1" x14ac:dyDescent="0.3"/>
    <row r="859" s="114" customFormat="1" x14ac:dyDescent="0.3"/>
    <row r="860" s="114" customFormat="1" x14ac:dyDescent="0.3"/>
    <row r="861" s="114" customFormat="1" x14ac:dyDescent="0.3"/>
    <row r="862" s="114" customFormat="1" x14ac:dyDescent="0.3"/>
    <row r="863" s="114" customFormat="1" x14ac:dyDescent="0.3"/>
    <row r="864" s="114" customFormat="1" x14ac:dyDescent="0.3"/>
    <row r="865" s="114" customFormat="1" x14ac:dyDescent="0.3"/>
    <row r="866" s="114" customFormat="1" x14ac:dyDescent="0.3"/>
    <row r="867" s="114" customFormat="1" x14ac:dyDescent="0.3"/>
    <row r="868" s="114" customFormat="1" x14ac:dyDescent="0.3"/>
    <row r="869" s="114" customFormat="1" x14ac:dyDescent="0.3"/>
    <row r="870" s="114" customFormat="1" x14ac:dyDescent="0.3"/>
    <row r="871" s="114" customFormat="1" x14ac:dyDescent="0.3"/>
    <row r="872" s="114" customFormat="1" x14ac:dyDescent="0.3"/>
    <row r="873" s="114" customFormat="1" x14ac:dyDescent="0.3"/>
    <row r="874" s="114" customFormat="1" x14ac:dyDescent="0.3"/>
    <row r="875" s="114" customFormat="1" x14ac:dyDescent="0.3"/>
    <row r="876" s="114" customFormat="1" x14ac:dyDescent="0.3"/>
    <row r="877" s="114" customFormat="1" x14ac:dyDescent="0.3"/>
    <row r="878" s="114" customFormat="1" x14ac:dyDescent="0.3"/>
    <row r="879" s="114" customFormat="1" x14ac:dyDescent="0.3"/>
    <row r="880" s="114" customFormat="1" x14ac:dyDescent="0.3"/>
    <row r="881" s="114" customFormat="1" x14ac:dyDescent="0.3"/>
    <row r="882" s="114" customFormat="1" x14ac:dyDescent="0.3"/>
    <row r="883" s="114" customFormat="1" x14ac:dyDescent="0.3"/>
    <row r="884" s="114" customFormat="1" x14ac:dyDescent="0.3"/>
    <row r="885" s="114" customFormat="1" x14ac:dyDescent="0.3"/>
    <row r="886" s="114" customFormat="1" x14ac:dyDescent="0.3"/>
    <row r="887" s="114" customFormat="1" x14ac:dyDescent="0.3"/>
    <row r="888" s="114" customFormat="1" x14ac:dyDescent="0.3"/>
    <row r="889" s="114" customFormat="1" x14ac:dyDescent="0.3"/>
    <row r="890" s="114" customFormat="1" x14ac:dyDescent="0.3"/>
    <row r="891" s="114" customFormat="1" x14ac:dyDescent="0.3"/>
    <row r="892" s="114" customFormat="1" x14ac:dyDescent="0.3"/>
    <row r="893" s="114" customFormat="1" x14ac:dyDescent="0.3"/>
    <row r="894" s="114" customFormat="1" x14ac:dyDescent="0.3"/>
    <row r="895" s="114" customFormat="1" x14ac:dyDescent="0.3"/>
    <row r="896" s="114" customFormat="1" x14ac:dyDescent="0.3"/>
    <row r="897" s="114" customFormat="1" x14ac:dyDescent="0.3"/>
    <row r="898" s="114" customFormat="1" x14ac:dyDescent="0.3"/>
    <row r="899" s="114" customFormat="1" x14ac:dyDescent="0.3"/>
    <row r="900" s="114" customFormat="1" x14ac:dyDescent="0.3"/>
    <row r="901" s="114" customFormat="1" x14ac:dyDescent="0.3"/>
    <row r="902" s="114" customFormat="1" x14ac:dyDescent="0.3"/>
    <row r="903" s="114" customFormat="1" x14ac:dyDescent="0.3"/>
    <row r="904" s="114" customFormat="1" x14ac:dyDescent="0.3"/>
    <row r="905" s="114" customFormat="1" x14ac:dyDescent="0.3"/>
    <row r="906" s="114" customFormat="1" x14ac:dyDescent="0.3"/>
    <row r="907" s="114" customFormat="1" x14ac:dyDescent="0.3"/>
    <row r="908" s="114" customFormat="1" x14ac:dyDescent="0.3"/>
    <row r="909" s="114" customFormat="1" x14ac:dyDescent="0.3"/>
    <row r="910" s="114" customFormat="1" x14ac:dyDescent="0.3"/>
    <row r="911" s="114" customFormat="1" x14ac:dyDescent="0.3"/>
    <row r="912" s="114" customFormat="1" x14ac:dyDescent="0.3"/>
    <row r="913" s="114" customFormat="1" x14ac:dyDescent="0.3"/>
    <row r="914" s="114" customFormat="1" x14ac:dyDescent="0.3"/>
    <row r="915" s="114" customFormat="1" x14ac:dyDescent="0.3"/>
    <row r="916" s="114" customFormat="1" x14ac:dyDescent="0.3"/>
    <row r="917" s="114" customFormat="1" x14ac:dyDescent="0.3"/>
    <row r="918" s="114" customFormat="1" x14ac:dyDescent="0.3"/>
    <row r="919" s="114" customFormat="1" x14ac:dyDescent="0.3"/>
    <row r="920" s="114" customFormat="1" x14ac:dyDescent="0.3"/>
    <row r="921" s="114" customFormat="1" x14ac:dyDescent="0.3"/>
    <row r="922" s="114" customFormat="1" x14ac:dyDescent="0.3"/>
    <row r="923" s="114" customFormat="1" x14ac:dyDescent="0.3"/>
    <row r="924" s="114" customFormat="1" x14ac:dyDescent="0.3"/>
    <row r="925" s="114" customFormat="1" x14ac:dyDescent="0.3"/>
    <row r="926" s="114" customFormat="1" x14ac:dyDescent="0.3"/>
    <row r="927" s="114" customFormat="1" x14ac:dyDescent="0.3"/>
    <row r="928" s="114" customFormat="1" x14ac:dyDescent="0.3"/>
    <row r="929" s="114" customFormat="1" x14ac:dyDescent="0.3"/>
    <row r="930" s="114" customFormat="1" x14ac:dyDescent="0.3"/>
    <row r="931" s="114" customFormat="1" x14ac:dyDescent="0.3"/>
    <row r="932" s="114" customFormat="1" x14ac:dyDescent="0.3"/>
    <row r="933" s="114" customFormat="1" x14ac:dyDescent="0.3"/>
    <row r="934" s="114" customFormat="1" x14ac:dyDescent="0.3"/>
    <row r="935" s="114" customFormat="1" x14ac:dyDescent="0.3"/>
    <row r="936" s="114" customFormat="1" x14ac:dyDescent="0.3"/>
    <row r="937" s="114" customFormat="1" x14ac:dyDescent="0.3"/>
    <row r="938" s="114" customFormat="1" x14ac:dyDescent="0.3"/>
    <row r="939" s="114" customFormat="1" x14ac:dyDescent="0.3"/>
    <row r="940" s="114" customFormat="1" x14ac:dyDescent="0.3"/>
    <row r="941" s="114" customFormat="1" x14ac:dyDescent="0.3"/>
    <row r="942" s="114" customFormat="1" x14ac:dyDescent="0.3"/>
    <row r="943" s="114" customFormat="1" x14ac:dyDescent="0.3"/>
    <row r="944" s="114" customFormat="1" x14ac:dyDescent="0.3"/>
    <row r="945" s="114" customFormat="1" x14ac:dyDescent="0.3"/>
    <row r="946" s="114" customFormat="1" x14ac:dyDescent="0.3"/>
    <row r="947" s="114" customFormat="1" x14ac:dyDescent="0.3"/>
    <row r="948" s="114" customFormat="1" x14ac:dyDescent="0.3"/>
    <row r="949" s="114" customFormat="1" x14ac:dyDescent="0.3"/>
    <row r="950" s="114" customFormat="1" x14ac:dyDescent="0.3"/>
    <row r="951" s="114" customFormat="1" x14ac:dyDescent="0.3"/>
    <row r="952" s="114" customFormat="1" x14ac:dyDescent="0.3"/>
    <row r="953" s="114" customFormat="1" x14ac:dyDescent="0.3"/>
    <row r="954" s="114" customFormat="1" x14ac:dyDescent="0.3"/>
    <row r="955" s="114" customFormat="1" x14ac:dyDescent="0.3"/>
    <row r="956" s="114" customFormat="1" x14ac:dyDescent="0.3"/>
    <row r="957" s="114" customFormat="1" x14ac:dyDescent="0.3"/>
    <row r="958" s="114" customFormat="1" x14ac:dyDescent="0.3"/>
    <row r="959" s="114" customFormat="1" x14ac:dyDescent="0.3"/>
    <row r="960" s="114" customFormat="1" x14ac:dyDescent="0.3"/>
    <row r="961" s="114" customFormat="1" x14ac:dyDescent="0.3"/>
    <row r="962" s="114" customFormat="1" x14ac:dyDescent="0.3"/>
    <row r="963" s="114" customFormat="1" x14ac:dyDescent="0.3"/>
    <row r="964" s="114" customFormat="1" x14ac:dyDescent="0.3"/>
    <row r="965" s="114" customFormat="1" x14ac:dyDescent="0.3"/>
    <row r="966" s="114" customFormat="1" x14ac:dyDescent="0.3"/>
    <row r="967" s="114" customFormat="1" x14ac:dyDescent="0.3"/>
    <row r="968" s="114" customFormat="1" x14ac:dyDescent="0.3"/>
    <row r="969" s="114" customFormat="1" x14ac:dyDescent="0.3"/>
    <row r="970" s="114" customFormat="1" x14ac:dyDescent="0.3"/>
    <row r="971" s="114" customFormat="1" x14ac:dyDescent="0.3"/>
    <row r="972" s="114" customFormat="1" x14ac:dyDescent="0.3"/>
    <row r="973" s="114" customFormat="1" x14ac:dyDescent="0.3"/>
    <row r="974" s="114" customFormat="1" x14ac:dyDescent="0.3"/>
    <row r="975" s="114" customFormat="1" x14ac:dyDescent="0.3"/>
    <row r="976" s="114" customFormat="1" x14ac:dyDescent="0.3"/>
    <row r="977" s="114" customFormat="1" x14ac:dyDescent="0.3"/>
    <row r="978" s="114" customFormat="1" x14ac:dyDescent="0.3"/>
    <row r="979" s="114" customFormat="1" x14ac:dyDescent="0.3"/>
    <row r="980" s="114" customFormat="1" x14ac:dyDescent="0.3"/>
    <row r="981" s="114" customFormat="1" x14ac:dyDescent="0.3"/>
    <row r="982" s="114" customFormat="1" x14ac:dyDescent="0.3"/>
    <row r="983" s="114" customFormat="1" x14ac:dyDescent="0.3"/>
    <row r="984" s="114" customFormat="1" x14ac:dyDescent="0.3"/>
    <row r="985" s="114" customFormat="1" x14ac:dyDescent="0.3"/>
    <row r="986" s="114" customFormat="1" x14ac:dyDescent="0.3"/>
    <row r="987" s="114" customFormat="1" x14ac:dyDescent="0.3"/>
    <row r="988" s="114" customFormat="1" x14ac:dyDescent="0.3"/>
    <row r="989" s="114" customFormat="1" x14ac:dyDescent="0.3"/>
    <row r="990" s="114" customFormat="1" x14ac:dyDescent="0.3"/>
    <row r="991" s="114" customFormat="1" x14ac:dyDescent="0.3"/>
    <row r="992" s="114" customFormat="1" x14ac:dyDescent="0.3"/>
    <row r="993" s="114" customFormat="1" x14ac:dyDescent="0.3"/>
    <row r="994" s="114" customFormat="1" x14ac:dyDescent="0.3"/>
    <row r="995" s="114" customFormat="1" x14ac:dyDescent="0.3"/>
    <row r="996" s="114" customFormat="1" x14ac:dyDescent="0.3"/>
    <row r="997" s="114" customFormat="1" x14ac:dyDescent="0.3"/>
    <row r="998" s="114" customFormat="1" x14ac:dyDescent="0.3"/>
    <row r="999" s="114" customFormat="1" x14ac:dyDescent="0.3"/>
    <row r="1000" s="114" customFormat="1" x14ac:dyDescent="0.3"/>
    <row r="1001" s="114" customFormat="1" x14ac:dyDescent="0.3"/>
    <row r="1002" s="114" customFormat="1" x14ac:dyDescent="0.3"/>
    <row r="1003" s="114" customFormat="1" x14ac:dyDescent="0.3"/>
    <row r="1004" s="114" customFormat="1" x14ac:dyDescent="0.3"/>
    <row r="1005" s="114" customFormat="1" x14ac:dyDescent="0.3"/>
    <row r="1006" s="114" customFormat="1" x14ac:dyDescent="0.3"/>
    <row r="1007" s="114" customFormat="1" x14ac:dyDescent="0.3"/>
    <row r="1008" s="114" customFormat="1" x14ac:dyDescent="0.3"/>
    <row r="1009" s="114" customFormat="1" x14ac:dyDescent="0.3"/>
    <row r="1010" s="114" customFormat="1" x14ac:dyDescent="0.3"/>
    <row r="1011" s="114" customFormat="1" x14ac:dyDescent="0.3"/>
    <row r="1012" s="114" customFormat="1" x14ac:dyDescent="0.3"/>
    <row r="1013" s="114" customFormat="1" x14ac:dyDescent="0.3"/>
    <row r="1014" s="114" customFormat="1" x14ac:dyDescent="0.3"/>
    <row r="1015" s="114" customFormat="1" x14ac:dyDescent="0.3"/>
    <row r="1016" s="114" customFormat="1" x14ac:dyDescent="0.3"/>
    <row r="1017" s="114" customFormat="1" x14ac:dyDescent="0.3"/>
    <row r="1018" s="114" customFormat="1" x14ac:dyDescent="0.3"/>
    <row r="1019" s="114" customFormat="1" x14ac:dyDescent="0.3"/>
    <row r="1020" s="114" customFormat="1" x14ac:dyDescent="0.3"/>
    <row r="1021" s="114" customFormat="1" x14ac:dyDescent="0.3"/>
    <row r="1022" s="114" customFormat="1" x14ac:dyDescent="0.3"/>
    <row r="1023" s="114" customFormat="1" x14ac:dyDescent="0.3"/>
    <row r="1024" s="114" customFormat="1" x14ac:dyDescent="0.3"/>
    <row r="1025" s="114" customFormat="1" x14ac:dyDescent="0.3"/>
    <row r="1026" s="114" customFormat="1" x14ac:dyDescent="0.3"/>
    <row r="1027" s="114" customFormat="1" x14ac:dyDescent="0.3"/>
    <row r="1028" s="114" customFormat="1" x14ac:dyDescent="0.3"/>
    <row r="1029" s="114" customFormat="1" x14ac:dyDescent="0.3"/>
    <row r="1030" s="114" customFormat="1" x14ac:dyDescent="0.3"/>
    <row r="1031" s="114" customFormat="1" x14ac:dyDescent="0.3"/>
    <row r="1032" s="114" customFormat="1" x14ac:dyDescent="0.3"/>
    <row r="1033" s="114" customFormat="1" x14ac:dyDescent="0.3"/>
    <row r="1034" s="114" customFormat="1" x14ac:dyDescent="0.3"/>
    <row r="1035" s="114" customFormat="1" x14ac:dyDescent="0.3"/>
    <row r="1036" s="114" customFormat="1" x14ac:dyDescent="0.3"/>
    <row r="1037" s="114" customFormat="1" x14ac:dyDescent="0.3"/>
    <row r="1038" s="114" customFormat="1" x14ac:dyDescent="0.3"/>
    <row r="1039" s="114" customFormat="1" x14ac:dyDescent="0.3"/>
    <row r="1040" s="114" customFormat="1" x14ac:dyDescent="0.3"/>
    <row r="1041" s="114" customFormat="1" x14ac:dyDescent="0.3"/>
    <row r="1042" s="114" customFormat="1" x14ac:dyDescent="0.3"/>
    <row r="1043" s="114" customFormat="1" x14ac:dyDescent="0.3"/>
    <row r="1044" s="114" customFormat="1" x14ac:dyDescent="0.3"/>
    <row r="1045" s="114" customFormat="1" x14ac:dyDescent="0.3"/>
    <row r="1046" s="114" customFormat="1" x14ac:dyDescent="0.3"/>
    <row r="1047" s="114" customFormat="1" x14ac:dyDescent="0.3"/>
    <row r="1048" s="114" customFormat="1" x14ac:dyDescent="0.3"/>
    <row r="1049" s="114" customFormat="1" x14ac:dyDescent="0.3"/>
    <row r="1050" s="114" customFormat="1" x14ac:dyDescent="0.3"/>
    <row r="1051" s="114" customFormat="1" x14ac:dyDescent="0.3"/>
    <row r="1052" s="114" customFormat="1" x14ac:dyDescent="0.3"/>
    <row r="1053" s="114" customFormat="1" x14ac:dyDescent="0.3"/>
    <row r="1054" s="114" customFormat="1" x14ac:dyDescent="0.3"/>
    <row r="1055" s="114" customFormat="1" x14ac:dyDescent="0.3"/>
    <row r="1056" s="114" customFormat="1" x14ac:dyDescent="0.3"/>
    <row r="1057" s="114" customFormat="1" x14ac:dyDescent="0.3"/>
    <row r="1058" s="114" customFormat="1" x14ac:dyDescent="0.3"/>
    <row r="1059" s="114" customFormat="1" x14ac:dyDescent="0.3"/>
    <row r="1060" s="114" customFormat="1" x14ac:dyDescent="0.3"/>
    <row r="1061" s="114" customFormat="1" x14ac:dyDescent="0.3"/>
    <row r="1062" s="114" customFormat="1" x14ac:dyDescent="0.3"/>
    <row r="1063" s="114" customFormat="1" x14ac:dyDescent="0.3"/>
    <row r="1064" s="114" customFormat="1" x14ac:dyDescent="0.3"/>
    <row r="1065" s="114" customFormat="1" x14ac:dyDescent="0.3"/>
    <row r="1066" s="114" customFormat="1" x14ac:dyDescent="0.3"/>
    <row r="1067" s="114" customFormat="1" x14ac:dyDescent="0.3"/>
    <row r="1068" s="114" customFormat="1" x14ac:dyDescent="0.3"/>
    <row r="1069" s="114" customFormat="1" x14ac:dyDescent="0.3"/>
    <row r="1070" s="114" customFormat="1" x14ac:dyDescent="0.3"/>
    <row r="1071" s="114" customFormat="1" x14ac:dyDescent="0.3"/>
    <row r="1072" s="114" customFormat="1" x14ac:dyDescent="0.3"/>
    <row r="1073" s="114" customFormat="1" x14ac:dyDescent="0.3"/>
    <row r="1074" s="114" customFormat="1" x14ac:dyDescent="0.3"/>
    <row r="1075" s="114" customFormat="1" x14ac:dyDescent="0.3"/>
    <row r="1076" s="114" customFormat="1" x14ac:dyDescent="0.3"/>
    <row r="1077" s="114" customFormat="1" x14ac:dyDescent="0.3"/>
    <row r="1078" s="114" customFormat="1" x14ac:dyDescent="0.3"/>
    <row r="1079" s="114" customFormat="1" x14ac:dyDescent="0.3"/>
    <row r="1080" s="114" customFormat="1" x14ac:dyDescent="0.3"/>
    <row r="1081" s="114" customFormat="1" x14ac:dyDescent="0.3"/>
    <row r="1082" s="114" customFormat="1" x14ac:dyDescent="0.3"/>
    <row r="1083" s="114" customFormat="1" x14ac:dyDescent="0.3"/>
    <row r="1084" s="114" customFormat="1" x14ac:dyDescent="0.3"/>
    <row r="1085" s="114" customFormat="1" x14ac:dyDescent="0.3"/>
    <row r="1086" s="114" customFormat="1" x14ac:dyDescent="0.3"/>
    <row r="1087" s="114" customFormat="1" x14ac:dyDescent="0.3"/>
    <row r="1088" s="114" customFormat="1" x14ac:dyDescent="0.3"/>
    <row r="1089" s="114" customFormat="1" x14ac:dyDescent="0.3"/>
    <row r="1090" s="114" customFormat="1" x14ac:dyDescent="0.3"/>
    <row r="1091" s="114" customFormat="1" x14ac:dyDescent="0.3"/>
    <row r="1092" s="114" customFormat="1" x14ac:dyDescent="0.3"/>
    <row r="1093" s="114" customFormat="1" x14ac:dyDescent="0.3"/>
    <row r="1094" s="114" customFormat="1" x14ac:dyDescent="0.3"/>
    <row r="1095" s="114" customFormat="1" x14ac:dyDescent="0.3"/>
    <row r="1096" s="114" customFormat="1" x14ac:dyDescent="0.3"/>
    <row r="1097" s="114" customFormat="1" x14ac:dyDescent="0.3"/>
    <row r="1098" s="114" customFormat="1" x14ac:dyDescent="0.3"/>
    <row r="1099" s="114" customFormat="1" x14ac:dyDescent="0.3"/>
    <row r="1100" s="114" customFormat="1" x14ac:dyDescent="0.3"/>
    <row r="1101" s="114" customFormat="1" x14ac:dyDescent="0.3"/>
    <row r="1102" s="114" customFormat="1" x14ac:dyDescent="0.3"/>
    <row r="1103" s="114" customFormat="1" x14ac:dyDescent="0.3"/>
    <row r="1104" s="114" customFormat="1" x14ac:dyDescent="0.3"/>
    <row r="1105" s="114" customFormat="1" x14ac:dyDescent="0.3"/>
    <row r="1106" s="114" customFormat="1" x14ac:dyDescent="0.3"/>
    <row r="1107" s="114" customFormat="1" x14ac:dyDescent="0.3"/>
    <row r="1108" s="114" customFormat="1" x14ac:dyDescent="0.3"/>
    <row r="1109" s="114" customFormat="1" x14ac:dyDescent="0.3"/>
    <row r="1110" s="114" customFormat="1" x14ac:dyDescent="0.3"/>
    <row r="1111" s="114" customFormat="1" x14ac:dyDescent="0.3"/>
    <row r="1112" s="114" customFormat="1" x14ac:dyDescent="0.3"/>
    <row r="1113" s="114" customFormat="1" x14ac:dyDescent="0.3"/>
    <row r="1114" s="114" customFormat="1" x14ac:dyDescent="0.3"/>
    <row r="1115" s="114" customFormat="1" x14ac:dyDescent="0.3"/>
    <row r="1116" s="114" customFormat="1" x14ac:dyDescent="0.3"/>
    <row r="1117" s="114" customFormat="1" x14ac:dyDescent="0.3"/>
    <row r="1118" s="114" customFormat="1" x14ac:dyDescent="0.3"/>
    <row r="1119" s="114" customFormat="1" x14ac:dyDescent="0.3"/>
    <row r="1120" s="114" customFormat="1" x14ac:dyDescent="0.3"/>
    <row r="1121" s="114" customFormat="1" x14ac:dyDescent="0.3"/>
    <row r="1122" s="114" customFormat="1" x14ac:dyDescent="0.3"/>
    <row r="1123" s="114" customFormat="1" x14ac:dyDescent="0.3"/>
    <row r="1124" s="114" customFormat="1" x14ac:dyDescent="0.3"/>
    <row r="1125" s="114" customFormat="1" x14ac:dyDescent="0.3"/>
    <row r="1126" s="114" customFormat="1" x14ac:dyDescent="0.3"/>
    <row r="1127" s="114" customFormat="1" x14ac:dyDescent="0.3"/>
    <row r="1128" s="114" customFormat="1" x14ac:dyDescent="0.3"/>
    <row r="1129" s="114" customFormat="1" x14ac:dyDescent="0.3"/>
    <row r="1130" s="114" customFormat="1" x14ac:dyDescent="0.3"/>
    <row r="1131" s="114" customFormat="1" x14ac:dyDescent="0.3"/>
    <row r="1132" s="114" customFormat="1" x14ac:dyDescent="0.3"/>
    <row r="1133" s="114" customFormat="1" x14ac:dyDescent="0.3"/>
    <row r="1134" s="114" customFormat="1" x14ac:dyDescent="0.3"/>
    <row r="1135" s="114" customFormat="1" x14ac:dyDescent="0.3"/>
    <row r="1136" s="114" customFormat="1" x14ac:dyDescent="0.3"/>
    <row r="1137" s="114" customFormat="1" x14ac:dyDescent="0.3"/>
    <row r="1138" s="114" customFormat="1" x14ac:dyDescent="0.3"/>
    <row r="1139" s="114" customFormat="1" x14ac:dyDescent="0.3"/>
    <row r="1140" s="114" customFormat="1" x14ac:dyDescent="0.3"/>
    <row r="1141" s="114" customFormat="1" x14ac:dyDescent="0.3"/>
    <row r="1142" s="114" customFormat="1" x14ac:dyDescent="0.3"/>
    <row r="1143" s="114" customFormat="1" x14ac:dyDescent="0.3"/>
    <row r="1144" s="114" customFormat="1" x14ac:dyDescent="0.3"/>
    <row r="1145" s="114" customFormat="1" x14ac:dyDescent="0.3"/>
    <row r="1146" s="114" customFormat="1" x14ac:dyDescent="0.3"/>
    <row r="1147" s="114" customFormat="1" x14ac:dyDescent="0.3"/>
    <row r="1148" s="114" customFormat="1" x14ac:dyDescent="0.3"/>
    <row r="1149" s="114" customFormat="1" x14ac:dyDescent="0.3"/>
    <row r="1150" s="114" customFormat="1" x14ac:dyDescent="0.3"/>
    <row r="1151" s="114" customFormat="1" x14ac:dyDescent="0.3"/>
    <row r="1152" s="114" customFormat="1" x14ac:dyDescent="0.3"/>
    <row r="1153" s="114" customFormat="1" x14ac:dyDescent="0.3"/>
    <row r="1154" s="114" customFormat="1" x14ac:dyDescent="0.3"/>
    <row r="1155" s="114" customFormat="1" x14ac:dyDescent="0.3"/>
    <row r="1156" s="114" customFormat="1" x14ac:dyDescent="0.3"/>
    <row r="1157" s="114" customFormat="1" x14ac:dyDescent="0.3"/>
    <row r="1158" s="114" customFormat="1" x14ac:dyDescent="0.3"/>
    <row r="1159" s="114" customFormat="1" x14ac:dyDescent="0.3"/>
    <row r="1160" s="114" customFormat="1" x14ac:dyDescent="0.3"/>
    <row r="1161" s="114" customFormat="1" x14ac:dyDescent="0.3"/>
    <row r="1162" s="114" customFormat="1" x14ac:dyDescent="0.3"/>
    <row r="1163" s="114" customFormat="1" x14ac:dyDescent="0.3"/>
    <row r="1164" s="114" customFormat="1" x14ac:dyDescent="0.3"/>
    <row r="1165" s="114" customFormat="1" x14ac:dyDescent="0.3"/>
    <row r="1166" s="114" customFormat="1" x14ac:dyDescent="0.3"/>
    <row r="1167" s="114" customFormat="1" x14ac:dyDescent="0.3"/>
    <row r="1168" s="114" customFormat="1" x14ac:dyDescent="0.3"/>
    <row r="1169" s="114" customFormat="1" x14ac:dyDescent="0.3"/>
    <row r="1170" s="114" customFormat="1" x14ac:dyDescent="0.3"/>
    <row r="1171" s="114" customFormat="1" x14ac:dyDescent="0.3"/>
    <row r="1172" s="114" customFormat="1" x14ac:dyDescent="0.3"/>
    <row r="1173" s="114" customFormat="1" x14ac:dyDescent="0.3"/>
    <row r="1174" s="114" customFormat="1" x14ac:dyDescent="0.3"/>
    <row r="1175" s="114" customFormat="1" x14ac:dyDescent="0.3"/>
    <row r="1176" s="114" customFormat="1" x14ac:dyDescent="0.3"/>
    <row r="1177" s="114" customFormat="1" x14ac:dyDescent="0.3"/>
    <row r="1178" s="114" customFormat="1" x14ac:dyDescent="0.3"/>
    <row r="1179" s="114" customFormat="1" x14ac:dyDescent="0.3"/>
    <row r="1180" s="114" customFormat="1" x14ac:dyDescent="0.3"/>
    <row r="1181" s="114" customFormat="1" x14ac:dyDescent="0.3"/>
    <row r="1182" s="114" customFormat="1" x14ac:dyDescent="0.3"/>
    <row r="1183" s="114" customFormat="1" x14ac:dyDescent="0.3"/>
    <row r="1184" s="114" customFormat="1" x14ac:dyDescent="0.3"/>
    <row r="1185" s="114" customFormat="1" x14ac:dyDescent="0.3"/>
    <row r="1186" s="114" customFormat="1" x14ac:dyDescent="0.3"/>
    <row r="1187" s="114" customFormat="1" x14ac:dyDescent="0.3"/>
    <row r="1188" s="114" customFormat="1" x14ac:dyDescent="0.3"/>
    <row r="1189" s="114" customFormat="1" x14ac:dyDescent="0.3"/>
    <row r="1190" s="114" customFormat="1" x14ac:dyDescent="0.3"/>
    <row r="1191" s="114" customFormat="1" x14ac:dyDescent="0.3"/>
    <row r="1192" s="114" customFormat="1" x14ac:dyDescent="0.3"/>
    <row r="1193" s="114" customFormat="1" x14ac:dyDescent="0.3"/>
    <row r="1194" s="114" customFormat="1" x14ac:dyDescent="0.3"/>
    <row r="1195" s="114" customFormat="1" x14ac:dyDescent="0.3"/>
    <row r="1196" s="114" customFormat="1" x14ac:dyDescent="0.3"/>
    <row r="1197" s="114" customFormat="1" x14ac:dyDescent="0.3"/>
    <row r="1198" s="114" customFormat="1" x14ac:dyDescent="0.3"/>
    <row r="1199" s="114" customFormat="1" x14ac:dyDescent="0.3"/>
    <row r="1200" s="114" customFormat="1" x14ac:dyDescent="0.3"/>
    <row r="1201" s="114" customFormat="1" x14ac:dyDescent="0.3"/>
    <row r="1202" s="114" customFormat="1" x14ac:dyDescent="0.3"/>
    <row r="1203" s="114" customFormat="1" x14ac:dyDescent="0.3"/>
    <row r="1204" s="114" customFormat="1" x14ac:dyDescent="0.3"/>
    <row r="1205" s="114" customFormat="1" x14ac:dyDescent="0.3"/>
    <row r="1206" s="114" customFormat="1" x14ac:dyDescent="0.3"/>
    <row r="1207" s="114" customFormat="1" x14ac:dyDescent="0.3"/>
    <row r="1208" s="114" customFormat="1" x14ac:dyDescent="0.3"/>
    <row r="1209" s="114" customFormat="1" x14ac:dyDescent="0.3"/>
    <row r="1210" s="114" customFormat="1" x14ac:dyDescent="0.3"/>
    <row r="1211" s="114" customFormat="1" x14ac:dyDescent="0.3"/>
    <row r="1212" s="114" customFormat="1" x14ac:dyDescent="0.3"/>
    <row r="1213" s="114" customFormat="1" x14ac:dyDescent="0.3"/>
    <row r="1214" s="114" customFormat="1" x14ac:dyDescent="0.3"/>
    <row r="1215" s="114" customFormat="1" x14ac:dyDescent="0.3"/>
    <row r="1216" s="114" customFormat="1" x14ac:dyDescent="0.3"/>
    <row r="1217" s="114" customFormat="1" x14ac:dyDescent="0.3"/>
    <row r="1218" s="114" customFormat="1" x14ac:dyDescent="0.3"/>
    <row r="1219" s="114" customFormat="1" x14ac:dyDescent="0.3"/>
    <row r="1220" s="114" customFormat="1" x14ac:dyDescent="0.3"/>
    <row r="1221" s="114" customFormat="1" x14ac:dyDescent="0.3"/>
    <row r="1222" s="114" customFormat="1" x14ac:dyDescent="0.3"/>
    <row r="1223" s="114" customFormat="1" x14ac:dyDescent="0.3"/>
    <row r="1224" s="114" customFormat="1" x14ac:dyDescent="0.3"/>
    <row r="1225" s="114" customFormat="1" x14ac:dyDescent="0.3"/>
    <row r="1226" s="114" customFormat="1" x14ac:dyDescent="0.3"/>
    <row r="1227" s="114" customFormat="1" x14ac:dyDescent="0.3"/>
    <row r="1228" s="114" customFormat="1" x14ac:dyDescent="0.3"/>
    <row r="1229" s="114" customFormat="1" x14ac:dyDescent="0.3"/>
    <row r="1230" s="114" customFormat="1" x14ac:dyDescent="0.3"/>
    <row r="1231" s="114" customFormat="1" x14ac:dyDescent="0.3"/>
    <row r="1232" s="114" customFormat="1" x14ac:dyDescent="0.3"/>
    <row r="1233" s="114" customFormat="1" x14ac:dyDescent="0.3"/>
    <row r="1234" s="114" customFormat="1" x14ac:dyDescent="0.3"/>
    <row r="1235" s="114" customFormat="1" x14ac:dyDescent="0.3"/>
    <row r="1236" s="114" customFormat="1" x14ac:dyDescent="0.3"/>
    <row r="1237" s="114" customFormat="1" x14ac:dyDescent="0.3"/>
    <row r="1238" s="114" customFormat="1" x14ac:dyDescent="0.3"/>
    <row r="1239" s="114" customFormat="1" x14ac:dyDescent="0.3"/>
    <row r="1240" s="114" customFormat="1" x14ac:dyDescent="0.3"/>
    <row r="1241" s="114" customFormat="1" x14ac:dyDescent="0.3"/>
    <row r="1242" s="114" customFormat="1" x14ac:dyDescent="0.3"/>
    <row r="1243" s="114" customFormat="1" x14ac:dyDescent="0.3"/>
    <row r="1244" s="114" customFormat="1" x14ac:dyDescent="0.3"/>
    <row r="1245" s="114" customFormat="1" x14ac:dyDescent="0.3"/>
    <row r="1246" s="114" customFormat="1" x14ac:dyDescent="0.3"/>
    <row r="1247" s="114" customFormat="1" x14ac:dyDescent="0.3"/>
    <row r="1248" s="114" customFormat="1" x14ac:dyDescent="0.3"/>
    <row r="1249" s="114" customFormat="1" x14ac:dyDescent="0.3"/>
    <row r="1250" s="114" customFormat="1" x14ac:dyDescent="0.3"/>
    <row r="1251" s="114" customFormat="1" x14ac:dyDescent="0.3"/>
    <row r="1252" s="114" customFormat="1" x14ac:dyDescent="0.3"/>
    <row r="1253" s="114" customFormat="1" x14ac:dyDescent="0.3"/>
    <row r="1254" s="114" customFormat="1" x14ac:dyDescent="0.3"/>
    <row r="1255" s="114" customFormat="1" x14ac:dyDescent="0.3"/>
    <row r="1256" s="114" customFormat="1" x14ac:dyDescent="0.3"/>
    <row r="1257" s="114" customFormat="1" x14ac:dyDescent="0.3"/>
    <row r="1258" s="114" customFormat="1" x14ac:dyDescent="0.3"/>
    <row r="1259" s="114" customFormat="1" x14ac:dyDescent="0.3"/>
    <row r="1260" s="114" customFormat="1" x14ac:dyDescent="0.3"/>
    <row r="1261" s="114" customFormat="1" x14ac:dyDescent="0.3"/>
    <row r="1262" s="114" customFormat="1" x14ac:dyDescent="0.3"/>
    <row r="1263" s="114" customFormat="1" x14ac:dyDescent="0.3"/>
    <row r="1264" s="114" customFormat="1" x14ac:dyDescent="0.3"/>
    <row r="1265" s="114" customFormat="1" x14ac:dyDescent="0.3"/>
    <row r="1266" s="114" customFormat="1" x14ac:dyDescent="0.3"/>
    <row r="1267" s="114" customFormat="1" x14ac:dyDescent="0.3"/>
    <row r="1268" s="114" customFormat="1" x14ac:dyDescent="0.3"/>
    <row r="1269" s="114" customFormat="1" x14ac:dyDescent="0.3"/>
    <row r="1270" s="114" customFormat="1" x14ac:dyDescent="0.3"/>
    <row r="1271" s="114" customFormat="1" x14ac:dyDescent="0.3"/>
    <row r="1272" s="114" customFormat="1" x14ac:dyDescent="0.3"/>
    <row r="1273" s="114" customFormat="1" x14ac:dyDescent="0.3"/>
    <row r="1274" s="114" customFormat="1" x14ac:dyDescent="0.3"/>
    <row r="1275" s="114" customFormat="1" x14ac:dyDescent="0.3"/>
    <row r="1276" s="114" customFormat="1" x14ac:dyDescent="0.3"/>
    <row r="1277" s="114" customFormat="1" x14ac:dyDescent="0.3"/>
    <row r="1278" s="114" customFormat="1" x14ac:dyDescent="0.3"/>
    <row r="1279" s="114" customFormat="1" x14ac:dyDescent="0.3"/>
    <row r="1280" s="114" customFormat="1" x14ac:dyDescent="0.3"/>
    <row r="1281" s="114" customFormat="1" x14ac:dyDescent="0.3"/>
    <row r="1282" s="114" customFormat="1" x14ac:dyDescent="0.3"/>
    <row r="1283" s="114" customFormat="1" x14ac:dyDescent="0.3"/>
    <row r="1284" s="114" customFormat="1" x14ac:dyDescent="0.3"/>
    <row r="1285" s="114" customFormat="1" x14ac:dyDescent="0.3"/>
    <row r="1286" s="114" customFormat="1" x14ac:dyDescent="0.3"/>
    <row r="1287" s="114" customFormat="1" x14ac:dyDescent="0.3"/>
    <row r="1288" s="114" customFormat="1" x14ac:dyDescent="0.3"/>
    <row r="1289" s="114" customFormat="1" x14ac:dyDescent="0.3"/>
    <row r="1290" s="114" customFormat="1" x14ac:dyDescent="0.3"/>
    <row r="1291" s="114" customFormat="1" x14ac:dyDescent="0.3"/>
    <row r="1292" s="114" customFormat="1" x14ac:dyDescent="0.3"/>
    <row r="1293" s="114" customFormat="1" x14ac:dyDescent="0.3"/>
    <row r="1294" s="114" customFormat="1" x14ac:dyDescent="0.3"/>
    <row r="1295" s="114" customFormat="1" x14ac:dyDescent="0.3"/>
    <row r="1296" s="114" customFormat="1" x14ac:dyDescent="0.3"/>
    <row r="1297" s="114" customFormat="1" x14ac:dyDescent="0.3"/>
    <row r="1298" s="114" customFormat="1" x14ac:dyDescent="0.3"/>
    <row r="1299" s="114" customFormat="1" x14ac:dyDescent="0.3"/>
    <row r="1300" s="114" customFormat="1" x14ac:dyDescent="0.3"/>
    <row r="1301" s="114" customFormat="1" x14ac:dyDescent="0.3"/>
    <row r="1302" s="114" customFormat="1" x14ac:dyDescent="0.3"/>
    <row r="1303" s="114" customFormat="1" x14ac:dyDescent="0.3"/>
    <row r="1304" s="114" customFormat="1" x14ac:dyDescent="0.3"/>
    <row r="1305" s="114" customFormat="1" x14ac:dyDescent="0.3"/>
    <row r="1306" s="114" customFormat="1" x14ac:dyDescent="0.3"/>
    <row r="1307" s="114" customFormat="1" x14ac:dyDescent="0.3"/>
    <row r="1308" s="114" customFormat="1" x14ac:dyDescent="0.3"/>
    <row r="1309" s="114" customFormat="1" x14ac:dyDescent="0.3"/>
    <row r="1310" s="114" customFormat="1" x14ac:dyDescent="0.3"/>
    <row r="1311" s="114" customFormat="1" x14ac:dyDescent="0.3"/>
    <row r="1312" s="114" customFormat="1" x14ac:dyDescent="0.3"/>
    <row r="1313" s="114" customFormat="1" x14ac:dyDescent="0.3"/>
    <row r="1314" s="114" customFormat="1" x14ac:dyDescent="0.3"/>
    <row r="1315" s="114" customFormat="1" x14ac:dyDescent="0.3"/>
    <row r="1316" s="114" customFormat="1" x14ac:dyDescent="0.3"/>
    <row r="1317" s="114" customFormat="1" x14ac:dyDescent="0.3"/>
    <row r="1318" s="114" customFormat="1" x14ac:dyDescent="0.3"/>
    <row r="1319" s="114" customFormat="1" x14ac:dyDescent="0.3"/>
    <row r="1320" s="114" customFormat="1" x14ac:dyDescent="0.3"/>
    <row r="1321" s="114" customFormat="1" x14ac:dyDescent="0.3"/>
    <row r="1322" s="114" customFormat="1" x14ac:dyDescent="0.3"/>
    <row r="1323" s="114" customFormat="1" x14ac:dyDescent="0.3"/>
    <row r="1324" s="114" customFormat="1" x14ac:dyDescent="0.3"/>
    <row r="1325" s="114" customFormat="1" x14ac:dyDescent="0.3"/>
    <row r="1326" s="114" customFormat="1" x14ac:dyDescent="0.3"/>
    <row r="1327" s="114" customFormat="1" x14ac:dyDescent="0.3"/>
    <row r="1328" s="114" customFormat="1" x14ac:dyDescent="0.3"/>
    <row r="1329" s="114" customFormat="1" x14ac:dyDescent="0.3"/>
    <row r="1330" s="114" customFormat="1" x14ac:dyDescent="0.3"/>
    <row r="1331" s="114" customFormat="1" x14ac:dyDescent="0.3"/>
    <row r="1332" s="114" customFormat="1" x14ac:dyDescent="0.3"/>
    <row r="1333" s="114" customFormat="1" x14ac:dyDescent="0.3"/>
    <row r="1334" s="114" customFormat="1" x14ac:dyDescent="0.3"/>
    <row r="1335" s="114" customFormat="1" x14ac:dyDescent="0.3"/>
    <row r="1336" s="114" customFormat="1" x14ac:dyDescent="0.3"/>
    <row r="1337" s="114" customFormat="1" x14ac:dyDescent="0.3"/>
    <row r="1338" s="114" customFormat="1" x14ac:dyDescent="0.3"/>
    <row r="1339" s="114" customFormat="1" x14ac:dyDescent="0.3"/>
    <row r="1340" s="114" customFormat="1" x14ac:dyDescent="0.3"/>
    <row r="1341" s="114" customFormat="1" x14ac:dyDescent="0.3"/>
    <row r="1342" s="114" customFormat="1" x14ac:dyDescent="0.3"/>
    <row r="1343" s="114" customFormat="1" x14ac:dyDescent="0.3"/>
    <row r="1344" s="114" customFormat="1" x14ac:dyDescent="0.3"/>
    <row r="1345" s="114" customFormat="1" x14ac:dyDescent="0.3"/>
    <row r="1346" s="114" customFormat="1" x14ac:dyDescent="0.3"/>
    <row r="1347" s="114" customFormat="1" x14ac:dyDescent="0.3"/>
    <row r="1348" s="114" customFormat="1" x14ac:dyDescent="0.3"/>
    <row r="1349" s="114" customFormat="1" x14ac:dyDescent="0.3"/>
    <row r="1350" s="114" customFormat="1" x14ac:dyDescent="0.3"/>
    <row r="1351" s="114" customFormat="1" x14ac:dyDescent="0.3"/>
    <row r="1352" s="114" customFormat="1" x14ac:dyDescent="0.3"/>
    <row r="1353" s="114" customFormat="1" x14ac:dyDescent="0.3"/>
    <row r="1354" s="114" customFormat="1" x14ac:dyDescent="0.3"/>
    <row r="1355" s="114" customFormat="1" x14ac:dyDescent="0.3"/>
    <row r="1356" s="114" customFormat="1" x14ac:dyDescent="0.3"/>
    <row r="1357" s="114" customFormat="1" x14ac:dyDescent="0.3"/>
    <row r="1358" s="114" customFormat="1" x14ac:dyDescent="0.3"/>
    <row r="1359" s="114" customFormat="1" x14ac:dyDescent="0.3"/>
    <row r="1360" s="114" customFormat="1" x14ac:dyDescent="0.3"/>
    <row r="1361" s="114" customFormat="1" x14ac:dyDescent="0.3"/>
    <row r="1362" s="114" customFormat="1" x14ac:dyDescent="0.3"/>
    <row r="1363" s="114" customFormat="1" x14ac:dyDescent="0.3"/>
    <row r="1364" s="114" customFormat="1" x14ac:dyDescent="0.3"/>
    <row r="1365" s="114" customFormat="1" x14ac:dyDescent="0.3"/>
    <row r="1366" s="114" customFormat="1" x14ac:dyDescent="0.3"/>
    <row r="1367" s="114" customFormat="1" x14ac:dyDescent="0.3"/>
    <row r="1368" s="114" customFormat="1" x14ac:dyDescent="0.3"/>
    <row r="1369" s="114" customFormat="1" x14ac:dyDescent="0.3"/>
    <row r="1370" s="114" customFormat="1" x14ac:dyDescent="0.3"/>
    <row r="1371" s="114" customFormat="1" x14ac:dyDescent="0.3"/>
    <row r="1372" s="114" customFormat="1" x14ac:dyDescent="0.3"/>
    <row r="1373" s="114" customFormat="1" x14ac:dyDescent="0.3"/>
    <row r="1374" s="114" customFormat="1" x14ac:dyDescent="0.3"/>
    <row r="1375" s="114" customFormat="1" x14ac:dyDescent="0.3"/>
    <row r="1376" s="114" customFormat="1" x14ac:dyDescent="0.3"/>
    <row r="1377" s="114" customFormat="1" x14ac:dyDescent="0.3"/>
    <row r="1378" s="114" customFormat="1" x14ac:dyDescent="0.3"/>
    <row r="1379" s="114" customFormat="1" x14ac:dyDescent="0.3"/>
    <row r="1380" s="114" customFormat="1" x14ac:dyDescent="0.3"/>
    <row r="1381" s="114" customFormat="1" x14ac:dyDescent="0.3"/>
    <row r="1382" s="114" customFormat="1" x14ac:dyDescent="0.3"/>
    <row r="1383" s="114" customFormat="1" x14ac:dyDescent="0.3"/>
    <row r="1384" s="114" customFormat="1" x14ac:dyDescent="0.3"/>
    <row r="1385" s="114" customFormat="1" x14ac:dyDescent="0.3"/>
    <row r="1386" s="114" customFormat="1" x14ac:dyDescent="0.3"/>
    <row r="1387" s="114" customFormat="1" x14ac:dyDescent="0.3"/>
    <row r="1388" s="114" customFormat="1" x14ac:dyDescent="0.3"/>
    <row r="1389" s="114" customFormat="1" x14ac:dyDescent="0.3"/>
    <row r="1390" s="114" customFormat="1" x14ac:dyDescent="0.3"/>
    <row r="1391" s="114" customFormat="1" x14ac:dyDescent="0.3"/>
    <row r="1392" s="114" customFormat="1" x14ac:dyDescent="0.3"/>
    <row r="1393" s="114" customFormat="1" x14ac:dyDescent="0.3"/>
    <row r="1394" s="114" customFormat="1" x14ac:dyDescent="0.3"/>
    <row r="1395" s="114" customFormat="1" x14ac:dyDescent="0.3"/>
    <row r="1396" s="114" customFormat="1" x14ac:dyDescent="0.3"/>
    <row r="1397" s="114" customFormat="1" x14ac:dyDescent="0.3"/>
    <row r="1398" s="114" customFormat="1" x14ac:dyDescent="0.3"/>
    <row r="1399" s="114" customFormat="1" x14ac:dyDescent="0.3"/>
    <row r="1400" s="114" customFormat="1" x14ac:dyDescent="0.3"/>
    <row r="1401" s="114" customFormat="1" x14ac:dyDescent="0.3"/>
    <row r="1402" s="114" customFormat="1" x14ac:dyDescent="0.3"/>
    <row r="1403" s="114" customFormat="1" x14ac:dyDescent="0.3"/>
    <row r="1404" s="114" customFormat="1" x14ac:dyDescent="0.3"/>
    <row r="1405" s="114" customFormat="1" x14ac:dyDescent="0.3"/>
    <row r="1406" s="114" customFormat="1" x14ac:dyDescent="0.3"/>
    <row r="1407" s="114" customFormat="1" x14ac:dyDescent="0.3"/>
    <row r="1408" s="114" customFormat="1" x14ac:dyDescent="0.3"/>
    <row r="1409" s="114" customFormat="1" x14ac:dyDescent="0.3"/>
    <row r="1410" s="114" customFormat="1" x14ac:dyDescent="0.3"/>
    <row r="1411" s="114" customFormat="1" x14ac:dyDescent="0.3"/>
    <row r="1412" s="114" customFormat="1" x14ac:dyDescent="0.3"/>
    <row r="1413" s="114" customFormat="1" x14ac:dyDescent="0.3"/>
    <row r="1414" s="114" customFormat="1" x14ac:dyDescent="0.3"/>
    <row r="1415" s="114" customFormat="1" x14ac:dyDescent="0.3"/>
    <row r="1416" s="114" customFormat="1" x14ac:dyDescent="0.3"/>
    <row r="1417" s="114" customFormat="1" x14ac:dyDescent="0.3"/>
    <row r="1418" s="114" customFormat="1" x14ac:dyDescent="0.3"/>
    <row r="1419" s="114" customFormat="1" x14ac:dyDescent="0.3"/>
    <row r="1420" s="114" customFormat="1" x14ac:dyDescent="0.3"/>
    <row r="1421" s="114" customFormat="1" x14ac:dyDescent="0.3"/>
    <row r="1422" s="114" customFormat="1" x14ac:dyDescent="0.3"/>
    <row r="1423" s="114" customFormat="1" x14ac:dyDescent="0.3"/>
    <row r="1424" s="114" customFormat="1" x14ac:dyDescent="0.3"/>
    <row r="1425" s="114" customFormat="1" x14ac:dyDescent="0.3"/>
    <row r="1426" s="114" customFormat="1" x14ac:dyDescent="0.3"/>
    <row r="1427" s="114" customFormat="1" x14ac:dyDescent="0.3"/>
    <row r="1428" s="114" customFormat="1" x14ac:dyDescent="0.3"/>
    <row r="1429" s="114" customFormat="1" x14ac:dyDescent="0.3"/>
    <row r="1430" s="114" customFormat="1" x14ac:dyDescent="0.3"/>
    <row r="1431" s="114" customFormat="1" x14ac:dyDescent="0.3"/>
    <row r="1432" s="114" customFormat="1" x14ac:dyDescent="0.3"/>
    <row r="1433" s="114" customFormat="1" x14ac:dyDescent="0.3"/>
    <row r="1434" s="114" customFormat="1" x14ac:dyDescent="0.3"/>
    <row r="1435" s="114" customFormat="1" x14ac:dyDescent="0.3"/>
    <row r="1436" s="114" customFormat="1" x14ac:dyDescent="0.3"/>
    <row r="1437" s="114" customFormat="1" x14ac:dyDescent="0.3"/>
    <row r="1438" s="114" customFormat="1" x14ac:dyDescent="0.3"/>
    <row r="1439" s="114" customFormat="1" x14ac:dyDescent="0.3"/>
    <row r="1440" s="114" customFormat="1" x14ac:dyDescent="0.3"/>
    <row r="1441" s="114" customFormat="1" x14ac:dyDescent="0.3"/>
    <row r="1442" s="114" customFormat="1" x14ac:dyDescent="0.3"/>
    <row r="1443" s="114" customFormat="1" x14ac:dyDescent="0.3"/>
    <row r="1444" s="114" customFormat="1" x14ac:dyDescent="0.3"/>
    <row r="1445" s="114" customFormat="1" x14ac:dyDescent="0.3"/>
    <row r="1446" s="114" customFormat="1" x14ac:dyDescent="0.3"/>
    <row r="1447" s="114" customFormat="1" x14ac:dyDescent="0.3"/>
    <row r="1448" s="114" customFormat="1" x14ac:dyDescent="0.3"/>
    <row r="1449" s="114" customFormat="1" x14ac:dyDescent="0.3"/>
    <row r="1450" s="114" customFormat="1" x14ac:dyDescent="0.3"/>
    <row r="1451" s="114" customFormat="1" x14ac:dyDescent="0.3"/>
    <row r="1452" s="114" customFormat="1" x14ac:dyDescent="0.3"/>
    <row r="1453" s="114" customFormat="1" x14ac:dyDescent="0.3"/>
    <row r="1454" s="114" customFormat="1" x14ac:dyDescent="0.3"/>
    <row r="1455" s="114" customFormat="1" x14ac:dyDescent="0.3"/>
    <row r="1456" s="114" customFormat="1" x14ac:dyDescent="0.3"/>
    <row r="1457" s="114" customFormat="1" x14ac:dyDescent="0.3"/>
    <row r="1458" s="114" customFormat="1" x14ac:dyDescent="0.3"/>
    <row r="1459" s="114" customFormat="1" x14ac:dyDescent="0.3"/>
    <row r="1460" s="114" customFormat="1" x14ac:dyDescent="0.3"/>
    <row r="1461" s="114" customFormat="1" x14ac:dyDescent="0.3"/>
    <row r="1462" s="114" customFormat="1" x14ac:dyDescent="0.3"/>
    <row r="1463" s="114" customFormat="1" x14ac:dyDescent="0.3"/>
    <row r="1464" s="114" customFormat="1" x14ac:dyDescent="0.3"/>
    <row r="1465" s="114" customFormat="1" x14ac:dyDescent="0.3"/>
    <row r="1466" s="114" customFormat="1" x14ac:dyDescent="0.3"/>
    <row r="1467" s="114" customFormat="1" x14ac:dyDescent="0.3"/>
    <row r="1468" s="114" customFormat="1" x14ac:dyDescent="0.3"/>
    <row r="1469" s="114" customFormat="1" x14ac:dyDescent="0.3"/>
    <row r="1470" s="114" customFormat="1" x14ac:dyDescent="0.3"/>
    <row r="1471" s="114" customFormat="1" x14ac:dyDescent="0.3"/>
    <row r="1472" s="114" customFormat="1" x14ac:dyDescent="0.3"/>
    <row r="1473" s="114" customFormat="1" x14ac:dyDescent="0.3"/>
    <row r="1474" s="114" customFormat="1" x14ac:dyDescent="0.3"/>
    <row r="1475" s="114" customFormat="1" x14ac:dyDescent="0.3"/>
    <row r="1476" s="114" customFormat="1" x14ac:dyDescent="0.3"/>
    <row r="1477" s="114" customFormat="1" x14ac:dyDescent="0.3"/>
    <row r="1478" s="114" customFormat="1" x14ac:dyDescent="0.3"/>
    <row r="1479" s="114" customFormat="1" x14ac:dyDescent="0.3"/>
    <row r="1480" s="114" customFormat="1" x14ac:dyDescent="0.3"/>
    <row r="1481" s="114" customFormat="1" x14ac:dyDescent="0.3"/>
    <row r="1482" s="114" customFormat="1" x14ac:dyDescent="0.3"/>
    <row r="1483" s="114" customFormat="1" x14ac:dyDescent="0.3"/>
    <row r="1484" s="114" customFormat="1" x14ac:dyDescent="0.3"/>
    <row r="1485" s="114" customFormat="1" x14ac:dyDescent="0.3"/>
    <row r="1486" s="114" customFormat="1" x14ac:dyDescent="0.3"/>
    <row r="1487" s="114" customFormat="1" x14ac:dyDescent="0.3"/>
    <row r="1488" s="114" customFormat="1" x14ac:dyDescent="0.3"/>
    <row r="1489" s="114" customFormat="1" x14ac:dyDescent="0.3"/>
    <row r="1490" s="114" customFormat="1" x14ac:dyDescent="0.3"/>
    <row r="1491" s="114" customFormat="1" x14ac:dyDescent="0.3"/>
    <row r="1492" s="114" customFormat="1" x14ac:dyDescent="0.3"/>
    <row r="1493" s="114" customFormat="1" x14ac:dyDescent="0.3"/>
    <row r="1494" s="114" customFormat="1" x14ac:dyDescent="0.3"/>
    <row r="1495" s="114" customFormat="1" x14ac:dyDescent="0.3"/>
    <row r="1496" s="114" customFormat="1" x14ac:dyDescent="0.3"/>
    <row r="1497" s="114" customFormat="1" x14ac:dyDescent="0.3"/>
    <row r="1498" s="114" customFormat="1" x14ac:dyDescent="0.3"/>
    <row r="1499" s="114" customFormat="1" x14ac:dyDescent="0.3"/>
    <row r="1500" s="114" customFormat="1" x14ac:dyDescent="0.3"/>
    <row r="1501" s="114" customFormat="1" x14ac:dyDescent="0.3"/>
    <row r="1502" s="114" customFormat="1" x14ac:dyDescent="0.3"/>
    <row r="1503" s="114" customFormat="1" x14ac:dyDescent="0.3"/>
    <row r="1504" s="114" customFormat="1" x14ac:dyDescent="0.3"/>
    <row r="1505" s="114" customFormat="1" x14ac:dyDescent="0.3"/>
    <row r="1506" s="114" customFormat="1" x14ac:dyDescent="0.3"/>
    <row r="1507" s="114" customFormat="1" x14ac:dyDescent="0.3"/>
    <row r="1508" s="114" customFormat="1" x14ac:dyDescent="0.3"/>
    <row r="1509" s="114" customFormat="1" x14ac:dyDescent="0.3"/>
    <row r="1510" s="114" customFormat="1" x14ac:dyDescent="0.3"/>
    <row r="1511" s="114" customFormat="1" x14ac:dyDescent="0.3"/>
    <row r="1512" s="114" customFormat="1" x14ac:dyDescent="0.3"/>
    <row r="1513" s="114" customFormat="1" x14ac:dyDescent="0.3"/>
    <row r="1514" s="114" customFormat="1" x14ac:dyDescent="0.3"/>
    <row r="1515" s="114" customFormat="1" x14ac:dyDescent="0.3"/>
    <row r="1516" s="114" customFormat="1" x14ac:dyDescent="0.3"/>
    <row r="1517" s="114" customFormat="1" x14ac:dyDescent="0.3"/>
    <row r="1518" s="114" customFormat="1" x14ac:dyDescent="0.3"/>
    <row r="1519" s="114" customFormat="1" x14ac:dyDescent="0.3"/>
    <row r="1520" s="114" customFormat="1" x14ac:dyDescent="0.3"/>
    <row r="1521" s="114" customFormat="1" x14ac:dyDescent="0.3"/>
    <row r="1522" s="114" customFormat="1" x14ac:dyDescent="0.3"/>
    <row r="1523" s="114" customFormat="1" x14ac:dyDescent="0.3"/>
    <row r="1524" s="114" customFormat="1" x14ac:dyDescent="0.3"/>
    <row r="1525" s="114" customFormat="1" x14ac:dyDescent="0.3"/>
    <row r="1526" s="114" customFormat="1" x14ac:dyDescent="0.3"/>
    <row r="1527" s="114" customFormat="1" x14ac:dyDescent="0.3"/>
    <row r="1528" s="114" customFormat="1" x14ac:dyDescent="0.3"/>
    <row r="1529" s="114" customFormat="1" x14ac:dyDescent="0.3"/>
    <row r="1530" s="114" customFormat="1" x14ac:dyDescent="0.3"/>
    <row r="1531" s="114" customFormat="1" x14ac:dyDescent="0.3"/>
    <row r="1532" s="114" customFormat="1" x14ac:dyDescent="0.3"/>
    <row r="1533" s="114" customFormat="1" x14ac:dyDescent="0.3"/>
    <row r="1534" s="114" customFormat="1" x14ac:dyDescent="0.3"/>
    <row r="1535" s="114" customFormat="1" x14ac:dyDescent="0.3"/>
    <row r="1536" s="114" customFormat="1" x14ac:dyDescent="0.3"/>
    <row r="1537" s="114" customFormat="1" x14ac:dyDescent="0.3"/>
    <row r="1538" s="114" customFormat="1" x14ac:dyDescent="0.3"/>
    <row r="1539" s="114" customFormat="1" x14ac:dyDescent="0.3"/>
    <row r="1540" s="114" customFormat="1" x14ac:dyDescent="0.3"/>
    <row r="1541" s="114" customFormat="1" x14ac:dyDescent="0.3"/>
    <row r="1542" s="114" customFormat="1" x14ac:dyDescent="0.3"/>
    <row r="1543" s="114" customFormat="1" x14ac:dyDescent="0.3"/>
    <row r="1544" s="114" customFormat="1" x14ac:dyDescent="0.3"/>
    <row r="1545" s="114" customFormat="1" x14ac:dyDescent="0.3"/>
    <row r="1546" s="114" customFormat="1" x14ac:dyDescent="0.3"/>
    <row r="1547" s="114" customFormat="1" x14ac:dyDescent="0.3"/>
    <row r="1548" s="114" customFormat="1" x14ac:dyDescent="0.3"/>
    <row r="1549" s="114" customFormat="1" x14ac:dyDescent="0.3"/>
    <row r="1550" s="114" customFormat="1" x14ac:dyDescent="0.3"/>
    <row r="1551" s="114" customFormat="1" x14ac:dyDescent="0.3"/>
    <row r="1552" s="114" customFormat="1" x14ac:dyDescent="0.3"/>
    <row r="1553" s="114" customFormat="1" x14ac:dyDescent="0.3"/>
    <row r="1554" s="114" customFormat="1" x14ac:dyDescent="0.3"/>
    <row r="1555" s="114" customFormat="1" x14ac:dyDescent="0.3"/>
    <row r="1556" s="114" customFormat="1" x14ac:dyDescent="0.3"/>
    <row r="1557" s="114" customFormat="1" x14ac:dyDescent="0.3"/>
    <row r="1558" s="114" customFormat="1" x14ac:dyDescent="0.3"/>
    <row r="1559" s="114" customFormat="1" x14ac:dyDescent="0.3"/>
    <row r="1560" s="114" customFormat="1" x14ac:dyDescent="0.3"/>
    <row r="1561" s="114" customFormat="1" x14ac:dyDescent="0.3"/>
    <row r="1562" s="114" customFormat="1" x14ac:dyDescent="0.3"/>
    <row r="1563" s="114" customFormat="1" x14ac:dyDescent="0.3"/>
    <row r="1564" s="114" customFormat="1" x14ac:dyDescent="0.3"/>
    <row r="1565" s="114" customFormat="1" x14ac:dyDescent="0.3"/>
    <row r="1566" s="114" customFormat="1" x14ac:dyDescent="0.3"/>
    <row r="1567" s="114" customFormat="1" x14ac:dyDescent="0.3"/>
    <row r="1568" s="114" customFormat="1" x14ac:dyDescent="0.3"/>
    <row r="1569" s="114" customFormat="1" x14ac:dyDescent="0.3"/>
    <row r="1570" s="114" customFormat="1" x14ac:dyDescent="0.3"/>
    <row r="1571" s="114" customFormat="1" x14ac:dyDescent="0.3"/>
    <row r="1572" s="114" customFormat="1" x14ac:dyDescent="0.3"/>
    <row r="1573" s="114" customFormat="1" x14ac:dyDescent="0.3"/>
    <row r="1574" s="114" customFormat="1" x14ac:dyDescent="0.3"/>
    <row r="1575" s="114" customFormat="1" x14ac:dyDescent="0.3"/>
    <row r="1576" s="114" customFormat="1" x14ac:dyDescent="0.3"/>
    <row r="1577" s="114" customFormat="1" x14ac:dyDescent="0.3"/>
    <row r="1578" s="114" customFormat="1" x14ac:dyDescent="0.3"/>
    <row r="1579" s="114" customFormat="1" x14ac:dyDescent="0.3"/>
    <row r="1580" s="114" customFormat="1" x14ac:dyDescent="0.3"/>
    <row r="1581" s="114" customFormat="1" x14ac:dyDescent="0.3"/>
    <row r="1582" s="114" customFormat="1" x14ac:dyDescent="0.3"/>
    <row r="1583" s="114" customFormat="1" x14ac:dyDescent="0.3"/>
    <row r="1584" s="114" customFormat="1" x14ac:dyDescent="0.3"/>
    <row r="1585" s="114" customFormat="1" x14ac:dyDescent="0.3"/>
    <row r="1586" s="114" customFormat="1" x14ac:dyDescent="0.3"/>
    <row r="1587" s="114" customFormat="1" x14ac:dyDescent="0.3"/>
    <row r="1588" s="114" customFormat="1" x14ac:dyDescent="0.3"/>
    <row r="1589" s="114" customFormat="1" x14ac:dyDescent="0.3"/>
    <row r="1590" s="114" customFormat="1" x14ac:dyDescent="0.3"/>
    <row r="1591" s="114" customFormat="1" x14ac:dyDescent="0.3"/>
    <row r="1592" s="114" customFormat="1" x14ac:dyDescent="0.3"/>
    <row r="1593" s="114" customFormat="1" x14ac:dyDescent="0.3"/>
    <row r="1594" s="114" customFormat="1" x14ac:dyDescent="0.3"/>
    <row r="1595" s="114" customFormat="1" x14ac:dyDescent="0.3"/>
    <row r="1596" s="114" customFormat="1" x14ac:dyDescent="0.3"/>
    <row r="1597" s="114" customFormat="1" x14ac:dyDescent="0.3"/>
    <row r="1598" s="114" customFormat="1" x14ac:dyDescent="0.3"/>
    <row r="1599" s="114" customFormat="1" x14ac:dyDescent="0.3"/>
    <row r="1600" s="114" customFormat="1" x14ac:dyDescent="0.3"/>
    <row r="1601" s="114" customFormat="1" x14ac:dyDescent="0.3"/>
    <row r="1602" s="114" customFormat="1" x14ac:dyDescent="0.3"/>
    <row r="1603" s="114" customFormat="1" x14ac:dyDescent="0.3"/>
    <row r="1604" s="114" customFormat="1" x14ac:dyDescent="0.3"/>
    <row r="1605" s="114" customFormat="1" x14ac:dyDescent="0.3"/>
    <row r="1606" s="114" customFormat="1" x14ac:dyDescent="0.3"/>
    <row r="1607" s="114" customFormat="1" x14ac:dyDescent="0.3"/>
    <row r="1608" s="114" customFormat="1" x14ac:dyDescent="0.3"/>
    <row r="1609" s="114" customFormat="1" x14ac:dyDescent="0.3"/>
    <row r="1610" s="114" customFormat="1" x14ac:dyDescent="0.3"/>
    <row r="1611" s="114" customFormat="1" x14ac:dyDescent="0.3"/>
    <row r="1612" s="114" customFormat="1" x14ac:dyDescent="0.3"/>
    <row r="1613" s="114" customFormat="1" x14ac:dyDescent="0.3"/>
    <row r="1614" s="114" customFormat="1" x14ac:dyDescent="0.3"/>
    <row r="1615" s="114" customFormat="1" x14ac:dyDescent="0.3"/>
    <row r="1616" s="114" customFormat="1" x14ac:dyDescent="0.3"/>
    <row r="1617" s="114" customFormat="1" x14ac:dyDescent="0.3"/>
    <row r="1618" s="114" customFormat="1" x14ac:dyDescent="0.3"/>
    <row r="1619" s="114" customFormat="1" x14ac:dyDescent="0.3"/>
    <row r="1620" s="114" customFormat="1" x14ac:dyDescent="0.3"/>
    <row r="1621" s="114" customFormat="1" x14ac:dyDescent="0.3"/>
    <row r="1622" s="114" customFormat="1" x14ac:dyDescent="0.3"/>
    <row r="1623" s="114" customFormat="1" x14ac:dyDescent="0.3"/>
    <row r="1624" s="114" customFormat="1" x14ac:dyDescent="0.3"/>
    <row r="1625" s="114" customFormat="1" x14ac:dyDescent="0.3"/>
    <row r="1626" s="114" customFormat="1" x14ac:dyDescent="0.3"/>
    <row r="1627" s="114" customFormat="1" x14ac:dyDescent="0.3"/>
    <row r="1628" s="114" customFormat="1" x14ac:dyDescent="0.3"/>
    <row r="1629" s="114" customFormat="1" x14ac:dyDescent="0.3"/>
    <row r="1630" s="114" customFormat="1" x14ac:dyDescent="0.3"/>
    <row r="1631" s="114" customFormat="1" x14ac:dyDescent="0.3"/>
    <row r="1632" s="114" customFormat="1" x14ac:dyDescent="0.3"/>
    <row r="1633" s="114" customFormat="1" x14ac:dyDescent="0.3"/>
    <row r="1634" s="114" customFormat="1" x14ac:dyDescent="0.3"/>
    <row r="1635" s="114" customFormat="1" x14ac:dyDescent="0.3"/>
    <row r="1636" s="114" customFormat="1" x14ac:dyDescent="0.3"/>
    <row r="1637" s="114" customFormat="1" x14ac:dyDescent="0.3"/>
    <row r="1638" s="114" customFormat="1" x14ac:dyDescent="0.3"/>
    <row r="1639" s="114" customFormat="1" x14ac:dyDescent="0.3"/>
    <row r="1640" s="114" customFormat="1" x14ac:dyDescent="0.3"/>
    <row r="1641" s="114" customFormat="1" x14ac:dyDescent="0.3"/>
    <row r="1642" s="114" customFormat="1" x14ac:dyDescent="0.3"/>
    <row r="1643" s="114" customFormat="1" x14ac:dyDescent="0.3"/>
    <row r="1644" s="114" customFormat="1" x14ac:dyDescent="0.3"/>
    <row r="1645" s="114" customFormat="1" x14ac:dyDescent="0.3"/>
    <row r="1646" s="114" customFormat="1" x14ac:dyDescent="0.3"/>
    <row r="1647" s="114" customFormat="1" x14ac:dyDescent="0.3"/>
    <row r="1648" s="114" customFormat="1" x14ac:dyDescent="0.3"/>
    <row r="1649" s="114" customFormat="1" x14ac:dyDescent="0.3"/>
    <row r="1650" s="114" customFormat="1" x14ac:dyDescent="0.3"/>
    <row r="1651" s="114" customFormat="1" x14ac:dyDescent="0.3"/>
    <row r="1652" s="114" customFormat="1" x14ac:dyDescent="0.3"/>
    <row r="1653" s="114" customFormat="1" x14ac:dyDescent="0.3"/>
    <row r="1654" s="114" customFormat="1" x14ac:dyDescent="0.3"/>
    <row r="1655" s="114" customFormat="1" x14ac:dyDescent="0.3"/>
    <row r="1656" s="114" customFormat="1" x14ac:dyDescent="0.3"/>
    <row r="1657" s="114" customFormat="1" x14ac:dyDescent="0.3"/>
    <row r="1658" s="114" customFormat="1" x14ac:dyDescent="0.3"/>
    <row r="1659" s="114" customFormat="1" x14ac:dyDescent="0.3"/>
    <row r="1660" s="114" customFormat="1" x14ac:dyDescent="0.3"/>
    <row r="1661" s="114" customFormat="1" x14ac:dyDescent="0.3"/>
    <row r="1662" s="114" customFormat="1" x14ac:dyDescent="0.3"/>
    <row r="1663" s="114" customFormat="1" x14ac:dyDescent="0.3"/>
    <row r="1664" s="114" customFormat="1" x14ac:dyDescent="0.3"/>
    <row r="1665" s="114" customFormat="1" x14ac:dyDescent="0.3"/>
    <row r="1666" s="114" customFormat="1" x14ac:dyDescent="0.3"/>
    <row r="1667" s="114" customFormat="1" x14ac:dyDescent="0.3"/>
    <row r="1668" s="114" customFormat="1" x14ac:dyDescent="0.3"/>
    <row r="1669" s="114" customFormat="1" x14ac:dyDescent="0.3"/>
    <row r="1670" s="114" customFormat="1" x14ac:dyDescent="0.3"/>
    <row r="1671" s="114" customFormat="1" x14ac:dyDescent="0.3"/>
    <row r="1672" s="114" customFormat="1" x14ac:dyDescent="0.3"/>
    <row r="1673" s="114" customFormat="1" x14ac:dyDescent="0.3"/>
    <row r="1674" s="114" customFormat="1" x14ac:dyDescent="0.3"/>
    <row r="1675" s="114" customFormat="1" x14ac:dyDescent="0.3"/>
    <row r="1676" s="114" customFormat="1" x14ac:dyDescent="0.3"/>
    <row r="1677" s="114" customFormat="1" x14ac:dyDescent="0.3"/>
    <row r="1678" s="114" customFormat="1" x14ac:dyDescent="0.3"/>
    <row r="1679" s="114" customFormat="1" x14ac:dyDescent="0.3"/>
    <row r="1680" s="114" customFormat="1" x14ac:dyDescent="0.3"/>
    <row r="1681" s="114" customFormat="1" x14ac:dyDescent="0.3"/>
    <row r="1682" s="114" customFormat="1" x14ac:dyDescent="0.3"/>
    <row r="1683" s="114" customFormat="1" x14ac:dyDescent="0.3"/>
    <row r="1684" s="114" customFormat="1" x14ac:dyDescent="0.3"/>
    <row r="1685" s="114" customFormat="1" x14ac:dyDescent="0.3"/>
    <row r="1686" s="114" customFormat="1" x14ac:dyDescent="0.3"/>
    <row r="1687" s="114" customFormat="1" x14ac:dyDescent="0.3"/>
    <row r="1688" s="114" customFormat="1" x14ac:dyDescent="0.3"/>
    <row r="1689" s="114" customFormat="1" x14ac:dyDescent="0.3"/>
    <row r="1690" s="114" customFormat="1" x14ac:dyDescent="0.3"/>
    <row r="1691" s="114" customFormat="1" x14ac:dyDescent="0.3"/>
    <row r="1692" s="114" customFormat="1" x14ac:dyDescent="0.3"/>
    <row r="1693" s="114" customFormat="1" x14ac:dyDescent="0.3"/>
    <row r="1694" s="114" customFormat="1" x14ac:dyDescent="0.3"/>
    <row r="1695" s="114" customFormat="1" x14ac:dyDescent="0.3"/>
    <row r="1696" s="114" customFormat="1" x14ac:dyDescent="0.3"/>
    <row r="1697" s="114" customFormat="1" x14ac:dyDescent="0.3"/>
    <row r="1698" s="114" customFormat="1" x14ac:dyDescent="0.3"/>
    <row r="1699" s="114" customFormat="1" x14ac:dyDescent="0.3"/>
    <row r="1700" s="114" customFormat="1" x14ac:dyDescent="0.3"/>
    <row r="1701" s="114" customFormat="1" x14ac:dyDescent="0.3"/>
    <row r="1702" s="114" customFormat="1" x14ac:dyDescent="0.3"/>
    <row r="1703" s="114" customFormat="1" x14ac:dyDescent="0.3"/>
    <row r="1704" s="114" customFormat="1" x14ac:dyDescent="0.3"/>
    <row r="1705" s="114" customFormat="1" x14ac:dyDescent="0.3"/>
    <row r="1706" s="114" customFormat="1" x14ac:dyDescent="0.3"/>
    <row r="1707" s="114" customFormat="1" x14ac:dyDescent="0.3"/>
    <row r="1708" s="114" customFormat="1" x14ac:dyDescent="0.3"/>
    <row r="1709" s="114" customFormat="1" x14ac:dyDescent="0.3"/>
    <row r="1710" s="114" customFormat="1" x14ac:dyDescent="0.3"/>
    <row r="1711" s="114" customFormat="1" x14ac:dyDescent="0.3"/>
    <row r="1712" s="114" customFormat="1" x14ac:dyDescent="0.3"/>
    <row r="1713" s="114" customFormat="1" x14ac:dyDescent="0.3"/>
    <row r="1714" s="114" customFormat="1" x14ac:dyDescent="0.3"/>
    <row r="1715" s="114" customFormat="1" x14ac:dyDescent="0.3"/>
  </sheetData>
  <sheetProtection insertRows="0" deleteColumns="0" deleteRows="0" sort="0" autoFilter="0"/>
  <autoFilter ref="A2:J816" xr:uid="{00000000-0001-0000-0300-000000000000}"/>
  <pageMargins left="0.62992125984251968" right="0.19685039370078741" top="0.47244094488188981" bottom="0.38" header="0.27559055118110237" footer="0.19685039370078741"/>
  <pageSetup paperSize="9" scale="46" firstPageNumber="0" fitToHeight="0" orientation="landscape" verticalDpi="300" r:id="rId1"/>
  <headerFooter alignWithMargins="0">
    <oddFooter>&amp;Rстр.&amp;P от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B1540-9BFC-478F-80CF-5DA56DE1936A}">
  <sheetPr>
    <tabColor theme="5" tint="0.59999389629810485"/>
  </sheetPr>
  <dimension ref="A1:R361"/>
  <sheetViews>
    <sheetView workbookViewId="0">
      <selection activeCell="J8" sqref="J8"/>
    </sheetView>
  </sheetViews>
  <sheetFormatPr baseColWidth="10" defaultColWidth="9.109375" defaultRowHeight="14.4" outlineLevelCol="1" x14ac:dyDescent="0.3"/>
  <cols>
    <col min="1" max="1" width="5.88671875" style="256" customWidth="1"/>
    <col min="2" max="2" width="79.5546875" style="256" hidden="1" customWidth="1"/>
    <col min="3" max="3" width="66.109375" style="256" customWidth="1"/>
    <col min="4" max="4" width="16" style="268" customWidth="1"/>
    <col min="5" max="5" width="21.88671875" style="256" hidden="1" customWidth="1"/>
    <col min="6" max="6" width="18.5546875" style="256" hidden="1" customWidth="1"/>
    <col min="7" max="7" width="29" style="256" hidden="1" customWidth="1"/>
    <col min="8" max="8" width="14.33203125" style="256" hidden="1" customWidth="1"/>
    <col min="9" max="9" width="28.88671875" style="269" hidden="1" customWidth="1" outlineLevel="1"/>
    <col min="10" max="10" width="37.33203125" style="256" customWidth="1" collapsed="1"/>
    <col min="11" max="11" width="38.88671875" style="256" hidden="1" customWidth="1"/>
    <col min="12" max="12" width="38.88671875" style="256" customWidth="1"/>
    <col min="13" max="13" width="32.44140625" style="269" hidden="1" customWidth="1"/>
    <col min="14" max="14" width="37.33203125" style="252" customWidth="1"/>
    <col min="15" max="16384" width="9.109375" style="252"/>
  </cols>
  <sheetData>
    <row r="1" spans="1:18" ht="18" x14ac:dyDescent="0.3">
      <c r="A1" s="303" t="s">
        <v>2748</v>
      </c>
      <c r="B1" s="303"/>
      <c r="C1" s="303"/>
      <c r="D1" s="303"/>
      <c r="E1" s="303"/>
      <c r="F1" s="303"/>
      <c r="G1" s="303"/>
      <c r="H1" s="303"/>
      <c r="I1" s="303"/>
      <c r="J1" s="304" t="s">
        <v>2744</v>
      </c>
      <c r="K1" s="304"/>
      <c r="L1" s="304"/>
      <c r="M1" s="304"/>
      <c r="N1" s="304"/>
      <c r="O1" s="270"/>
      <c r="P1" s="270"/>
      <c r="Q1" s="270"/>
      <c r="R1" s="270"/>
    </row>
    <row r="2" spans="1:18" s="256" customFormat="1" x14ac:dyDescent="0.3">
      <c r="A2" s="253" t="s">
        <v>2144</v>
      </c>
      <c r="B2" s="253" t="s">
        <v>2150</v>
      </c>
      <c r="C2" s="253" t="s">
        <v>2151</v>
      </c>
      <c r="D2" s="253" t="s">
        <v>2747</v>
      </c>
      <c r="E2" s="253" t="s">
        <v>2152</v>
      </c>
      <c r="F2" s="253" t="s">
        <v>2153</v>
      </c>
      <c r="G2" s="253" t="s">
        <v>2154</v>
      </c>
      <c r="H2" s="253" t="s">
        <v>121</v>
      </c>
      <c r="I2" s="254" t="s">
        <v>2155</v>
      </c>
      <c r="J2" s="253" t="s">
        <v>2148</v>
      </c>
      <c r="K2" s="253" t="s">
        <v>2156</v>
      </c>
      <c r="L2" s="253" t="s">
        <v>2157</v>
      </c>
      <c r="M2" s="253" t="s">
        <v>2158</v>
      </c>
      <c r="N2" s="255" t="s">
        <v>2159</v>
      </c>
    </row>
    <row r="3" spans="1:18" ht="28.8" x14ac:dyDescent="0.3">
      <c r="A3" s="257">
        <v>1</v>
      </c>
      <c r="B3" s="258" t="s">
        <v>2160</v>
      </c>
      <c r="C3" s="258" t="s">
        <v>2161</v>
      </c>
      <c r="D3" s="259">
        <v>1</v>
      </c>
      <c r="E3" s="258" t="s">
        <v>2162</v>
      </c>
      <c r="F3" s="258" t="s">
        <v>2163</v>
      </c>
      <c r="G3" s="260" t="s">
        <v>2164</v>
      </c>
      <c r="H3" s="260"/>
      <c r="I3" s="260" t="s">
        <v>2165</v>
      </c>
      <c r="J3" s="261" t="s">
        <v>521</v>
      </c>
      <c r="K3" s="258" t="s">
        <v>2166</v>
      </c>
      <c r="L3" s="258" t="s">
        <v>2167</v>
      </c>
      <c r="M3" s="260" t="s">
        <v>2168</v>
      </c>
      <c r="N3" s="258" t="s">
        <v>2169</v>
      </c>
    </row>
    <row r="4" spans="1:18" ht="27.75" customHeight="1" x14ac:dyDescent="0.3">
      <c r="A4" s="257">
        <v>2</v>
      </c>
      <c r="B4" s="258" t="s">
        <v>2170</v>
      </c>
      <c r="C4" s="258" t="s">
        <v>2171</v>
      </c>
      <c r="D4" s="259">
        <v>1</v>
      </c>
      <c r="E4" s="258" t="s">
        <v>2162</v>
      </c>
      <c r="F4" s="258" t="s">
        <v>2163</v>
      </c>
      <c r="G4" s="260" t="s">
        <v>2164</v>
      </c>
      <c r="H4" s="260"/>
      <c r="I4" s="260" t="s">
        <v>2165</v>
      </c>
      <c r="J4" s="261" t="s">
        <v>521</v>
      </c>
      <c r="K4" s="258"/>
      <c r="L4" s="258" t="s">
        <v>2745</v>
      </c>
      <c r="M4" s="260" t="s">
        <v>2172</v>
      </c>
      <c r="N4" s="262" t="s">
        <v>2173</v>
      </c>
    </row>
    <row r="5" spans="1:18" ht="30" customHeight="1" x14ac:dyDescent="0.3">
      <c r="A5" s="257">
        <v>3</v>
      </c>
      <c r="B5" s="258" t="s">
        <v>2174</v>
      </c>
      <c r="C5" s="258" t="s">
        <v>2175</v>
      </c>
      <c r="D5" s="259">
        <v>1</v>
      </c>
      <c r="E5" s="258" t="s">
        <v>2176</v>
      </c>
      <c r="F5" s="258" t="s">
        <v>2163</v>
      </c>
      <c r="G5" s="260" t="s">
        <v>2164</v>
      </c>
      <c r="H5" s="260"/>
      <c r="I5" s="260" t="s">
        <v>2165</v>
      </c>
      <c r="J5" s="261" t="s">
        <v>2177</v>
      </c>
      <c r="K5" s="258"/>
      <c r="L5" s="258" t="s">
        <v>2745</v>
      </c>
      <c r="M5" s="300" t="s">
        <v>2178</v>
      </c>
      <c r="N5" s="300" t="s">
        <v>2179</v>
      </c>
    </row>
    <row r="6" spans="1:18" ht="30" customHeight="1" x14ac:dyDescent="0.3">
      <c r="A6" s="257">
        <v>4</v>
      </c>
      <c r="B6" s="258" t="s">
        <v>2180</v>
      </c>
      <c r="C6" s="258" t="s">
        <v>2181</v>
      </c>
      <c r="D6" s="259">
        <v>1</v>
      </c>
      <c r="E6" s="258" t="s">
        <v>2176</v>
      </c>
      <c r="F6" s="258" t="s">
        <v>2163</v>
      </c>
      <c r="G6" s="260" t="s">
        <v>2164</v>
      </c>
      <c r="H6" s="260"/>
      <c r="I6" s="260" t="s">
        <v>2165</v>
      </c>
      <c r="J6" s="261" t="s">
        <v>2177</v>
      </c>
      <c r="K6" s="258"/>
      <c r="L6" s="258" t="s">
        <v>2745</v>
      </c>
      <c r="M6" s="300"/>
      <c r="N6" s="300"/>
    </row>
    <row r="7" spans="1:18" x14ac:dyDescent="0.3">
      <c r="A7" s="257">
        <v>5</v>
      </c>
      <c r="B7" s="258" t="s">
        <v>2182</v>
      </c>
      <c r="C7" s="258" t="s">
        <v>2183</v>
      </c>
      <c r="D7" s="259">
        <v>1</v>
      </c>
      <c r="E7" s="258" t="s">
        <v>2176</v>
      </c>
      <c r="F7" s="258" t="s">
        <v>2163</v>
      </c>
      <c r="G7" s="260" t="s">
        <v>2164</v>
      </c>
      <c r="H7" s="260"/>
      <c r="I7" s="260" t="s">
        <v>2165</v>
      </c>
      <c r="J7" s="261" t="s">
        <v>2177</v>
      </c>
      <c r="K7" s="258"/>
      <c r="L7" s="258" t="s">
        <v>2745</v>
      </c>
      <c r="M7" s="300"/>
      <c r="N7" s="300"/>
    </row>
    <row r="8" spans="1:18" x14ac:dyDescent="0.3">
      <c r="A8" s="257">
        <v>6</v>
      </c>
      <c r="B8" s="258" t="s">
        <v>2184</v>
      </c>
      <c r="C8" s="258" t="s">
        <v>2185</v>
      </c>
      <c r="D8" s="259">
        <v>1</v>
      </c>
      <c r="E8" s="258" t="s">
        <v>2176</v>
      </c>
      <c r="F8" s="258" t="s">
        <v>2163</v>
      </c>
      <c r="G8" s="260" t="s">
        <v>2164</v>
      </c>
      <c r="H8" s="260"/>
      <c r="I8" s="260" t="s">
        <v>2165</v>
      </c>
      <c r="J8" s="261" t="s">
        <v>2177</v>
      </c>
      <c r="K8" s="258"/>
      <c r="L8" s="258" t="s">
        <v>2745</v>
      </c>
      <c r="M8" s="300"/>
      <c r="N8" s="300"/>
    </row>
    <row r="9" spans="1:18" x14ac:dyDescent="0.3">
      <c r="A9" s="257">
        <v>7</v>
      </c>
      <c r="B9" s="258" t="s">
        <v>2186</v>
      </c>
      <c r="C9" s="258" t="s">
        <v>2187</v>
      </c>
      <c r="D9" s="259">
        <v>1</v>
      </c>
      <c r="E9" s="258" t="s">
        <v>2176</v>
      </c>
      <c r="F9" s="258" t="s">
        <v>2163</v>
      </c>
      <c r="G9" s="260" t="s">
        <v>2164</v>
      </c>
      <c r="H9" s="260"/>
      <c r="I9" s="260" t="s">
        <v>2165</v>
      </c>
      <c r="J9" s="261" t="s">
        <v>2177</v>
      </c>
      <c r="K9" s="258"/>
      <c r="L9" s="258" t="s">
        <v>2745</v>
      </c>
      <c r="M9" s="300"/>
      <c r="N9" s="300"/>
    </row>
    <row r="10" spans="1:18" x14ac:dyDescent="0.3">
      <c r="A10" s="257">
        <v>8</v>
      </c>
      <c r="B10" s="258" t="s">
        <v>2186</v>
      </c>
      <c r="C10" s="258" t="s">
        <v>2187</v>
      </c>
      <c r="D10" s="259">
        <v>1</v>
      </c>
      <c r="E10" s="258" t="s">
        <v>2176</v>
      </c>
      <c r="F10" s="258" t="s">
        <v>2163</v>
      </c>
      <c r="G10" s="260" t="s">
        <v>2164</v>
      </c>
      <c r="H10" s="260"/>
      <c r="I10" s="260" t="s">
        <v>2165</v>
      </c>
      <c r="J10" s="261" t="s">
        <v>2177</v>
      </c>
      <c r="K10" s="258"/>
      <c r="L10" s="258" t="s">
        <v>2745</v>
      </c>
      <c r="M10" s="300"/>
      <c r="N10" s="300"/>
    </row>
    <row r="11" spans="1:18" x14ac:dyDescent="0.3">
      <c r="A11" s="257">
        <v>9</v>
      </c>
      <c r="B11" s="258" t="s">
        <v>2188</v>
      </c>
      <c r="C11" s="258" t="s">
        <v>2189</v>
      </c>
      <c r="D11" s="259">
        <v>1</v>
      </c>
      <c r="E11" s="258" t="s">
        <v>2176</v>
      </c>
      <c r="F11" s="258" t="s">
        <v>2163</v>
      </c>
      <c r="G11" s="260" t="s">
        <v>2164</v>
      </c>
      <c r="H11" s="260"/>
      <c r="I11" s="260" t="s">
        <v>2165</v>
      </c>
      <c r="J11" s="261" t="s">
        <v>2177</v>
      </c>
      <c r="K11" s="258"/>
      <c r="L11" s="258" t="s">
        <v>2745</v>
      </c>
      <c r="M11" s="300"/>
      <c r="N11" s="300"/>
    </row>
    <row r="12" spans="1:18" x14ac:dyDescent="0.3">
      <c r="A12" s="257">
        <v>10</v>
      </c>
      <c r="B12" s="258" t="s">
        <v>2190</v>
      </c>
      <c r="C12" s="258" t="s">
        <v>2191</v>
      </c>
      <c r="D12" s="259">
        <v>1</v>
      </c>
      <c r="E12" s="258" t="s">
        <v>2176</v>
      </c>
      <c r="F12" s="258" t="s">
        <v>2163</v>
      </c>
      <c r="G12" s="260" t="s">
        <v>2164</v>
      </c>
      <c r="H12" s="260"/>
      <c r="I12" s="260" t="s">
        <v>2165</v>
      </c>
      <c r="J12" s="261" t="s">
        <v>2177</v>
      </c>
      <c r="K12" s="258"/>
      <c r="L12" s="258" t="s">
        <v>2745</v>
      </c>
      <c r="M12" s="300"/>
      <c r="N12" s="300"/>
    </row>
    <row r="13" spans="1:18" x14ac:dyDescent="0.3">
      <c r="A13" s="257">
        <v>11</v>
      </c>
      <c r="B13" s="258" t="s">
        <v>2192</v>
      </c>
      <c r="C13" s="258" t="s">
        <v>2193</v>
      </c>
      <c r="D13" s="259">
        <v>1</v>
      </c>
      <c r="E13" s="258" t="s">
        <v>2176</v>
      </c>
      <c r="F13" s="258" t="s">
        <v>2163</v>
      </c>
      <c r="G13" s="260" t="s">
        <v>2164</v>
      </c>
      <c r="H13" s="260"/>
      <c r="I13" s="260" t="s">
        <v>2165</v>
      </c>
      <c r="J13" s="261" t="s">
        <v>2177</v>
      </c>
      <c r="K13" s="258"/>
      <c r="L13" s="258" t="s">
        <v>2745</v>
      </c>
      <c r="M13" s="300"/>
      <c r="N13" s="300"/>
    </row>
    <row r="14" spans="1:18" x14ac:dyDescent="0.3">
      <c r="A14" s="257">
        <v>12</v>
      </c>
      <c r="B14" s="258" t="s">
        <v>2194</v>
      </c>
      <c r="C14" s="258" t="s">
        <v>2195</v>
      </c>
      <c r="D14" s="259">
        <v>1</v>
      </c>
      <c r="E14" s="258" t="s">
        <v>2176</v>
      </c>
      <c r="F14" s="258" t="s">
        <v>2163</v>
      </c>
      <c r="G14" s="260" t="s">
        <v>2164</v>
      </c>
      <c r="H14" s="260"/>
      <c r="I14" s="260" t="s">
        <v>2165</v>
      </c>
      <c r="J14" s="261" t="s">
        <v>2177</v>
      </c>
      <c r="K14" s="258"/>
      <c r="L14" s="258" t="s">
        <v>2745</v>
      </c>
      <c r="M14" s="300"/>
      <c r="N14" s="300"/>
    </row>
    <row r="15" spans="1:18" x14ac:dyDescent="0.3">
      <c r="A15" s="257">
        <v>13</v>
      </c>
      <c r="B15" s="258" t="s">
        <v>2196</v>
      </c>
      <c r="C15" s="258" t="s">
        <v>2197</v>
      </c>
      <c r="D15" s="259">
        <v>1</v>
      </c>
      <c r="E15" s="258" t="s">
        <v>2176</v>
      </c>
      <c r="F15" s="258" t="s">
        <v>2163</v>
      </c>
      <c r="G15" s="260" t="s">
        <v>2164</v>
      </c>
      <c r="H15" s="260"/>
      <c r="I15" s="260" t="s">
        <v>2165</v>
      </c>
      <c r="J15" s="261" t="s">
        <v>2177</v>
      </c>
      <c r="K15" s="258"/>
      <c r="L15" s="258" t="s">
        <v>2745</v>
      </c>
      <c r="M15" s="300"/>
      <c r="N15" s="300"/>
    </row>
    <row r="16" spans="1:18" x14ac:dyDescent="0.3">
      <c r="A16" s="257">
        <v>14</v>
      </c>
      <c r="B16" s="258" t="s">
        <v>2198</v>
      </c>
      <c r="C16" s="258" t="s">
        <v>2199</v>
      </c>
      <c r="D16" s="259">
        <v>1</v>
      </c>
      <c r="E16" s="258" t="s">
        <v>2176</v>
      </c>
      <c r="F16" s="258" t="s">
        <v>2163</v>
      </c>
      <c r="G16" s="260" t="s">
        <v>2164</v>
      </c>
      <c r="H16" s="260"/>
      <c r="I16" s="260" t="s">
        <v>2165</v>
      </c>
      <c r="J16" s="261" t="s">
        <v>2177</v>
      </c>
      <c r="K16" s="258"/>
      <c r="L16" s="258" t="s">
        <v>2745</v>
      </c>
      <c r="M16" s="300"/>
      <c r="N16" s="300"/>
    </row>
    <row r="17" spans="1:14" x14ac:dyDescent="0.3">
      <c r="A17" s="257">
        <v>15</v>
      </c>
      <c r="B17" s="258" t="s">
        <v>2200</v>
      </c>
      <c r="C17" s="258" t="s">
        <v>2201</v>
      </c>
      <c r="D17" s="259">
        <v>2</v>
      </c>
      <c r="E17" s="258" t="s">
        <v>2176</v>
      </c>
      <c r="F17" s="258" t="s">
        <v>2163</v>
      </c>
      <c r="G17" s="260" t="s">
        <v>2164</v>
      </c>
      <c r="H17" s="260"/>
      <c r="I17" s="260" t="s">
        <v>2165</v>
      </c>
      <c r="J17" s="261" t="s">
        <v>2177</v>
      </c>
      <c r="K17" s="300" t="s">
        <v>2202</v>
      </c>
      <c r="L17" s="300" t="s">
        <v>2203</v>
      </c>
      <c r="M17" s="300" t="s">
        <v>2204</v>
      </c>
      <c r="N17" s="300" t="s">
        <v>2205</v>
      </c>
    </row>
    <row r="18" spans="1:14" ht="30" customHeight="1" x14ac:dyDescent="0.3">
      <c r="A18" s="257">
        <v>16</v>
      </c>
      <c r="B18" s="258" t="s">
        <v>2206</v>
      </c>
      <c r="C18" s="258" t="s">
        <v>2207</v>
      </c>
      <c r="D18" s="259">
        <v>1</v>
      </c>
      <c r="E18" s="258" t="s">
        <v>2176</v>
      </c>
      <c r="F18" s="258" t="s">
        <v>2163</v>
      </c>
      <c r="G18" s="260" t="s">
        <v>2164</v>
      </c>
      <c r="H18" s="260"/>
      <c r="I18" s="260" t="s">
        <v>2165</v>
      </c>
      <c r="J18" s="261" t="s">
        <v>2177</v>
      </c>
      <c r="K18" s="300"/>
      <c r="L18" s="300"/>
      <c r="M18" s="300"/>
      <c r="N18" s="300"/>
    </row>
    <row r="19" spans="1:14" x14ac:dyDescent="0.3">
      <c r="A19" s="257">
        <v>17</v>
      </c>
      <c r="B19" s="258" t="s">
        <v>2208</v>
      </c>
      <c r="C19" s="258" t="s">
        <v>2209</v>
      </c>
      <c r="D19" s="259">
        <v>1</v>
      </c>
      <c r="E19" s="258" t="s">
        <v>2176</v>
      </c>
      <c r="F19" s="258" t="s">
        <v>2163</v>
      </c>
      <c r="G19" s="260" t="s">
        <v>2164</v>
      </c>
      <c r="H19" s="260"/>
      <c r="I19" s="260" t="s">
        <v>2165</v>
      </c>
      <c r="J19" s="261" t="s">
        <v>2177</v>
      </c>
      <c r="K19" s="258"/>
      <c r="L19" s="258" t="s">
        <v>2745</v>
      </c>
      <c r="M19" s="300" t="s">
        <v>2210</v>
      </c>
      <c r="N19" s="301" t="s">
        <v>2211</v>
      </c>
    </row>
    <row r="20" spans="1:14" x14ac:dyDescent="0.3">
      <c r="A20" s="257">
        <v>18</v>
      </c>
      <c r="B20" s="258" t="s">
        <v>2208</v>
      </c>
      <c r="C20" s="258" t="s">
        <v>2212</v>
      </c>
      <c r="D20" s="259">
        <v>1</v>
      </c>
      <c r="E20" s="258" t="s">
        <v>2176</v>
      </c>
      <c r="F20" s="258" t="s">
        <v>2163</v>
      </c>
      <c r="G20" s="260" t="s">
        <v>2164</v>
      </c>
      <c r="H20" s="260"/>
      <c r="I20" s="260" t="s">
        <v>2165</v>
      </c>
      <c r="J20" s="261" t="s">
        <v>2177</v>
      </c>
      <c r="K20" s="258"/>
      <c r="L20" s="258" t="s">
        <v>2745</v>
      </c>
      <c r="M20" s="300"/>
      <c r="N20" s="301"/>
    </row>
    <row r="21" spans="1:14" x14ac:dyDescent="0.3">
      <c r="A21" s="257">
        <v>19</v>
      </c>
      <c r="B21" s="258" t="s">
        <v>2213</v>
      </c>
      <c r="C21" s="258" t="s">
        <v>2214</v>
      </c>
      <c r="D21" s="259">
        <v>1</v>
      </c>
      <c r="E21" s="258" t="s">
        <v>2176</v>
      </c>
      <c r="F21" s="258" t="s">
        <v>2163</v>
      </c>
      <c r="G21" s="260" t="s">
        <v>2164</v>
      </c>
      <c r="H21" s="260"/>
      <c r="I21" s="260" t="s">
        <v>2165</v>
      </c>
      <c r="J21" s="261" t="s">
        <v>2177</v>
      </c>
      <c r="K21" s="258"/>
      <c r="L21" s="258" t="s">
        <v>2745</v>
      </c>
      <c r="M21" s="300"/>
      <c r="N21" s="301"/>
    </row>
    <row r="22" spans="1:14" x14ac:dyDescent="0.3">
      <c r="A22" s="257">
        <v>20</v>
      </c>
      <c r="B22" s="258" t="s">
        <v>2213</v>
      </c>
      <c r="C22" s="258" t="s">
        <v>2214</v>
      </c>
      <c r="D22" s="259">
        <v>1</v>
      </c>
      <c r="E22" s="258" t="s">
        <v>2176</v>
      </c>
      <c r="F22" s="258" t="s">
        <v>2163</v>
      </c>
      <c r="G22" s="260" t="s">
        <v>2164</v>
      </c>
      <c r="H22" s="260"/>
      <c r="I22" s="260" t="s">
        <v>2165</v>
      </c>
      <c r="J22" s="261" t="s">
        <v>2177</v>
      </c>
      <c r="K22" s="258"/>
      <c r="L22" s="258" t="s">
        <v>2745</v>
      </c>
      <c r="M22" s="300"/>
      <c r="N22" s="301"/>
    </row>
    <row r="23" spans="1:14" x14ac:dyDescent="0.3">
      <c r="A23" s="257">
        <v>21</v>
      </c>
      <c r="B23" s="258" t="s">
        <v>2213</v>
      </c>
      <c r="C23" s="258" t="s">
        <v>2214</v>
      </c>
      <c r="D23" s="259">
        <v>1</v>
      </c>
      <c r="E23" s="258" t="s">
        <v>2176</v>
      </c>
      <c r="F23" s="258" t="s">
        <v>2163</v>
      </c>
      <c r="G23" s="260" t="s">
        <v>2164</v>
      </c>
      <c r="H23" s="260"/>
      <c r="I23" s="260" t="s">
        <v>2165</v>
      </c>
      <c r="J23" s="261" t="s">
        <v>2177</v>
      </c>
      <c r="K23" s="258"/>
      <c r="L23" s="258" t="s">
        <v>2745</v>
      </c>
      <c r="M23" s="300"/>
      <c r="N23" s="301"/>
    </row>
    <row r="24" spans="1:14" x14ac:dyDescent="0.3">
      <c r="A24" s="257">
        <v>22</v>
      </c>
      <c r="B24" s="258" t="s">
        <v>2215</v>
      </c>
      <c r="C24" s="258" t="s">
        <v>2216</v>
      </c>
      <c r="D24" s="259">
        <v>1</v>
      </c>
      <c r="E24" s="258" t="s">
        <v>2176</v>
      </c>
      <c r="F24" s="258" t="s">
        <v>2163</v>
      </c>
      <c r="G24" s="260" t="s">
        <v>2164</v>
      </c>
      <c r="H24" s="260"/>
      <c r="I24" s="260" t="s">
        <v>2165</v>
      </c>
      <c r="J24" s="261" t="s">
        <v>2177</v>
      </c>
      <c r="K24" s="258"/>
      <c r="L24" s="258" t="s">
        <v>2745</v>
      </c>
      <c r="M24" s="300"/>
      <c r="N24" s="301"/>
    </row>
    <row r="25" spans="1:14" ht="28.8" x14ac:dyDescent="0.3">
      <c r="A25" s="257">
        <v>23</v>
      </c>
      <c r="B25" s="258" t="s">
        <v>2217</v>
      </c>
      <c r="C25" s="258" t="s">
        <v>2218</v>
      </c>
      <c r="D25" s="259">
        <v>1</v>
      </c>
      <c r="E25" s="258" t="s">
        <v>193</v>
      </c>
      <c r="F25" s="258" t="s">
        <v>2163</v>
      </c>
      <c r="G25" s="260" t="s">
        <v>2164</v>
      </c>
      <c r="H25" s="260"/>
      <c r="I25" s="260" t="s">
        <v>2165</v>
      </c>
      <c r="J25" s="261" t="s">
        <v>524</v>
      </c>
      <c r="K25" s="258"/>
      <c r="L25" s="258" t="s">
        <v>2745</v>
      </c>
      <c r="M25" s="260" t="s">
        <v>2219</v>
      </c>
      <c r="N25" s="262" t="s">
        <v>2220</v>
      </c>
    </row>
    <row r="26" spans="1:14" x14ac:dyDescent="0.3">
      <c r="A26" s="257">
        <v>24</v>
      </c>
      <c r="B26" s="258" t="s">
        <v>2217</v>
      </c>
      <c r="C26" s="258" t="s">
        <v>2218</v>
      </c>
      <c r="D26" s="259">
        <v>2</v>
      </c>
      <c r="E26" s="258" t="s">
        <v>2221</v>
      </c>
      <c r="F26" s="258" t="s">
        <v>2163</v>
      </c>
      <c r="G26" s="260" t="s">
        <v>2164</v>
      </c>
      <c r="H26" s="260"/>
      <c r="I26" s="260" t="s">
        <v>2165</v>
      </c>
      <c r="J26" s="261" t="s">
        <v>2222</v>
      </c>
      <c r="K26" s="258" t="s">
        <v>2223</v>
      </c>
      <c r="L26" s="258" t="s">
        <v>2224</v>
      </c>
      <c r="M26" s="260"/>
      <c r="N26" s="262" t="s">
        <v>2745</v>
      </c>
    </row>
    <row r="27" spans="1:14" ht="28.8" x14ac:dyDescent="0.3">
      <c r="A27" s="257">
        <v>25</v>
      </c>
      <c r="B27" s="258" t="s">
        <v>2225</v>
      </c>
      <c r="C27" s="258" t="s">
        <v>2226</v>
      </c>
      <c r="D27" s="259">
        <v>1</v>
      </c>
      <c r="E27" s="258" t="s">
        <v>193</v>
      </c>
      <c r="F27" s="258" t="s">
        <v>2163</v>
      </c>
      <c r="G27" s="260" t="s">
        <v>2164</v>
      </c>
      <c r="H27" s="260"/>
      <c r="I27" s="260" t="s">
        <v>2165</v>
      </c>
      <c r="J27" s="261" t="s">
        <v>524</v>
      </c>
      <c r="K27" s="258"/>
      <c r="L27" s="258" t="s">
        <v>2745</v>
      </c>
      <c r="M27" s="260" t="s">
        <v>2219</v>
      </c>
      <c r="N27" s="262" t="s">
        <v>2220</v>
      </c>
    </row>
    <row r="28" spans="1:14" ht="28.8" x14ac:dyDescent="0.3">
      <c r="A28" s="257">
        <v>26</v>
      </c>
      <c r="B28" s="258" t="s">
        <v>2227</v>
      </c>
      <c r="C28" s="258" t="s">
        <v>2228</v>
      </c>
      <c r="D28" s="259">
        <v>1</v>
      </c>
      <c r="E28" s="258" t="s">
        <v>193</v>
      </c>
      <c r="F28" s="258" t="s">
        <v>2163</v>
      </c>
      <c r="G28" s="260" t="s">
        <v>2164</v>
      </c>
      <c r="H28" s="260"/>
      <c r="I28" s="260" t="s">
        <v>2165</v>
      </c>
      <c r="J28" s="261" t="s">
        <v>524</v>
      </c>
      <c r="K28" s="258"/>
      <c r="L28" s="258" t="s">
        <v>2745</v>
      </c>
      <c r="M28" s="260" t="s">
        <v>2219</v>
      </c>
      <c r="N28" s="262" t="s">
        <v>2220</v>
      </c>
    </row>
    <row r="29" spans="1:14" ht="28.8" x14ac:dyDescent="0.3">
      <c r="A29" s="257">
        <v>27</v>
      </c>
      <c r="B29" s="258" t="s">
        <v>178</v>
      </c>
      <c r="C29" s="261" t="s">
        <v>2229</v>
      </c>
      <c r="D29" s="259">
        <v>1</v>
      </c>
      <c r="E29" s="258" t="s">
        <v>2230</v>
      </c>
      <c r="F29" s="258" t="s">
        <v>2163</v>
      </c>
      <c r="G29" s="260" t="s">
        <v>2164</v>
      </c>
      <c r="H29" s="260"/>
      <c r="I29" s="260" t="s">
        <v>2165</v>
      </c>
      <c r="J29" s="261" t="s">
        <v>2231</v>
      </c>
      <c r="K29" s="258"/>
      <c r="L29" s="258" t="s">
        <v>2745</v>
      </c>
      <c r="M29" s="260" t="s">
        <v>2232</v>
      </c>
      <c r="N29" s="258" t="s">
        <v>2233</v>
      </c>
    </row>
    <row r="30" spans="1:14" ht="28.8" x14ac:dyDescent="0.3">
      <c r="A30" s="257">
        <v>28</v>
      </c>
      <c r="B30" s="258" t="s">
        <v>2234</v>
      </c>
      <c r="C30" s="17" t="s">
        <v>2235</v>
      </c>
      <c r="D30" s="259">
        <v>2</v>
      </c>
      <c r="E30" s="258" t="s">
        <v>2176</v>
      </c>
      <c r="F30" s="258" t="s">
        <v>2163</v>
      </c>
      <c r="G30" s="260" t="s">
        <v>2164</v>
      </c>
      <c r="H30" s="260"/>
      <c r="I30" s="260" t="s">
        <v>2165</v>
      </c>
      <c r="J30" s="261" t="s">
        <v>2177</v>
      </c>
      <c r="K30" s="258"/>
      <c r="L30" s="258" t="s">
        <v>2745</v>
      </c>
      <c r="M30" s="260" t="s">
        <v>2236</v>
      </c>
      <c r="N30" s="262" t="s">
        <v>2237</v>
      </c>
    </row>
    <row r="31" spans="1:14" x14ac:dyDescent="0.3">
      <c r="A31" s="257">
        <v>29</v>
      </c>
      <c r="B31" s="258" t="s">
        <v>2238</v>
      </c>
      <c r="C31" s="261" t="s">
        <v>2239</v>
      </c>
      <c r="D31" s="259">
        <v>1</v>
      </c>
      <c r="E31" s="258" t="s">
        <v>2176</v>
      </c>
      <c r="F31" s="258" t="s">
        <v>2163</v>
      </c>
      <c r="G31" s="260" t="s">
        <v>2164</v>
      </c>
      <c r="H31" s="260"/>
      <c r="I31" s="260" t="s">
        <v>2165</v>
      </c>
      <c r="J31" s="261" t="s">
        <v>2177</v>
      </c>
      <c r="K31" s="258"/>
      <c r="L31" s="258" t="s">
        <v>2745</v>
      </c>
      <c r="M31" s="260"/>
      <c r="N31" s="262" t="s">
        <v>2745</v>
      </c>
    </row>
    <row r="32" spans="1:14" x14ac:dyDescent="0.3">
      <c r="A32" s="257">
        <v>30</v>
      </c>
      <c r="B32" s="258" t="s">
        <v>2240</v>
      </c>
      <c r="C32" s="261" t="s">
        <v>2241</v>
      </c>
      <c r="D32" s="259">
        <v>1</v>
      </c>
      <c r="E32" s="258" t="s">
        <v>2176</v>
      </c>
      <c r="F32" s="258" t="s">
        <v>2163</v>
      </c>
      <c r="G32" s="260" t="s">
        <v>2164</v>
      </c>
      <c r="H32" s="260"/>
      <c r="I32" s="260" t="s">
        <v>2165</v>
      </c>
      <c r="J32" s="261" t="s">
        <v>2177</v>
      </c>
      <c r="K32" s="258"/>
      <c r="L32" s="258" t="s">
        <v>2745</v>
      </c>
      <c r="M32" s="260"/>
      <c r="N32" s="262" t="s">
        <v>2745</v>
      </c>
    </row>
    <row r="33" spans="1:14" ht="45" customHeight="1" x14ac:dyDescent="0.3">
      <c r="A33" s="257">
        <v>31</v>
      </c>
      <c r="B33" s="258" t="s">
        <v>2242</v>
      </c>
      <c r="C33" s="261" t="s">
        <v>2243</v>
      </c>
      <c r="D33" s="259">
        <v>1</v>
      </c>
      <c r="E33" s="258" t="s">
        <v>2176</v>
      </c>
      <c r="F33" s="258" t="s">
        <v>2163</v>
      </c>
      <c r="G33" s="260" t="s">
        <v>2164</v>
      </c>
      <c r="H33" s="260"/>
      <c r="I33" s="260" t="s">
        <v>2165</v>
      </c>
      <c r="J33" s="261" t="s">
        <v>2177</v>
      </c>
      <c r="K33" s="258"/>
      <c r="L33" s="258" t="s">
        <v>2745</v>
      </c>
      <c r="M33" s="300" t="s">
        <v>2244</v>
      </c>
      <c r="N33" s="300" t="s">
        <v>2245</v>
      </c>
    </row>
    <row r="34" spans="1:14" x14ac:dyDescent="0.3">
      <c r="A34" s="257">
        <v>32</v>
      </c>
      <c r="B34" s="258" t="s">
        <v>2242</v>
      </c>
      <c r="C34" s="261" t="s">
        <v>2243</v>
      </c>
      <c r="D34" s="259">
        <v>1</v>
      </c>
      <c r="E34" s="258" t="s">
        <v>2176</v>
      </c>
      <c r="F34" s="258" t="s">
        <v>2163</v>
      </c>
      <c r="G34" s="260" t="s">
        <v>2164</v>
      </c>
      <c r="H34" s="260"/>
      <c r="I34" s="260" t="s">
        <v>2165</v>
      </c>
      <c r="J34" s="261" t="s">
        <v>2177</v>
      </c>
      <c r="K34" s="258"/>
      <c r="L34" s="258" t="s">
        <v>2745</v>
      </c>
      <c r="M34" s="300"/>
      <c r="N34" s="300"/>
    </row>
    <row r="35" spans="1:14" x14ac:dyDescent="0.3">
      <c r="A35" s="257">
        <v>33</v>
      </c>
      <c r="B35" s="258" t="s">
        <v>2246</v>
      </c>
      <c r="C35" s="261" t="s">
        <v>2247</v>
      </c>
      <c r="D35" s="259">
        <v>1</v>
      </c>
      <c r="E35" s="258" t="s">
        <v>2176</v>
      </c>
      <c r="F35" s="258" t="s">
        <v>2163</v>
      </c>
      <c r="G35" s="260" t="s">
        <v>2164</v>
      </c>
      <c r="H35" s="260"/>
      <c r="I35" s="260" t="s">
        <v>2165</v>
      </c>
      <c r="J35" s="261" t="s">
        <v>2177</v>
      </c>
      <c r="K35" s="258"/>
      <c r="L35" s="258" t="s">
        <v>2745</v>
      </c>
      <c r="M35" s="300"/>
      <c r="N35" s="300"/>
    </row>
    <row r="36" spans="1:14" x14ac:dyDescent="0.3">
      <c r="A36" s="257">
        <v>34</v>
      </c>
      <c r="B36" s="258" t="s">
        <v>2246</v>
      </c>
      <c r="C36" s="261" t="s">
        <v>2247</v>
      </c>
      <c r="D36" s="259">
        <v>1</v>
      </c>
      <c r="E36" s="258" t="s">
        <v>2176</v>
      </c>
      <c r="F36" s="258" t="s">
        <v>2163</v>
      </c>
      <c r="G36" s="260" t="s">
        <v>2164</v>
      </c>
      <c r="H36" s="260"/>
      <c r="I36" s="260" t="s">
        <v>2165</v>
      </c>
      <c r="J36" s="261" t="s">
        <v>2177</v>
      </c>
      <c r="K36" s="258"/>
      <c r="L36" s="258" t="s">
        <v>2745</v>
      </c>
      <c r="M36" s="300"/>
      <c r="N36" s="300"/>
    </row>
    <row r="37" spans="1:14" x14ac:dyDescent="0.3">
      <c r="A37" s="257">
        <v>35</v>
      </c>
      <c r="B37" s="258" t="s">
        <v>2246</v>
      </c>
      <c r="C37" s="261" t="s">
        <v>2247</v>
      </c>
      <c r="D37" s="259">
        <v>1</v>
      </c>
      <c r="E37" s="258" t="s">
        <v>2176</v>
      </c>
      <c r="F37" s="258" t="s">
        <v>2163</v>
      </c>
      <c r="G37" s="260" t="s">
        <v>2164</v>
      </c>
      <c r="H37" s="260"/>
      <c r="I37" s="260" t="s">
        <v>2165</v>
      </c>
      <c r="J37" s="261" t="s">
        <v>2177</v>
      </c>
      <c r="K37" s="258"/>
      <c r="L37" s="258" t="s">
        <v>2745</v>
      </c>
      <c r="M37" s="300"/>
      <c r="N37" s="300"/>
    </row>
    <row r="38" spans="1:14" x14ac:dyDescent="0.3">
      <c r="A38" s="257">
        <v>36</v>
      </c>
      <c r="B38" s="258" t="s">
        <v>2248</v>
      </c>
      <c r="C38" s="261" t="s">
        <v>2249</v>
      </c>
      <c r="D38" s="259">
        <v>1</v>
      </c>
      <c r="E38" s="258" t="s">
        <v>2176</v>
      </c>
      <c r="F38" s="258" t="s">
        <v>2163</v>
      </c>
      <c r="G38" s="260" t="s">
        <v>2164</v>
      </c>
      <c r="H38" s="260"/>
      <c r="I38" s="260" t="s">
        <v>2165</v>
      </c>
      <c r="J38" s="261" t="s">
        <v>2177</v>
      </c>
      <c r="K38" s="258"/>
      <c r="L38" s="258" t="s">
        <v>2745</v>
      </c>
      <c r="M38" s="300"/>
      <c r="N38" s="300"/>
    </row>
    <row r="39" spans="1:14" x14ac:dyDescent="0.3">
      <c r="A39" s="257">
        <v>37</v>
      </c>
      <c r="B39" s="258" t="s">
        <v>2248</v>
      </c>
      <c r="C39" s="261" t="s">
        <v>2249</v>
      </c>
      <c r="D39" s="259">
        <v>1</v>
      </c>
      <c r="E39" s="258" t="s">
        <v>2176</v>
      </c>
      <c r="F39" s="258" t="s">
        <v>2163</v>
      </c>
      <c r="G39" s="260" t="s">
        <v>2164</v>
      </c>
      <c r="H39" s="260"/>
      <c r="I39" s="260" t="s">
        <v>2165</v>
      </c>
      <c r="J39" s="261" t="s">
        <v>2177</v>
      </c>
      <c r="K39" s="258"/>
      <c r="L39" s="258" t="s">
        <v>2745</v>
      </c>
      <c r="M39" s="300"/>
      <c r="N39" s="300"/>
    </row>
    <row r="40" spans="1:14" x14ac:dyDescent="0.3">
      <c r="A40" s="257">
        <v>38</v>
      </c>
      <c r="B40" s="258" t="s">
        <v>2250</v>
      </c>
      <c r="C40" s="261" t="s">
        <v>2251</v>
      </c>
      <c r="D40" s="259">
        <v>1</v>
      </c>
      <c r="E40" s="258" t="s">
        <v>2176</v>
      </c>
      <c r="F40" s="258" t="s">
        <v>2163</v>
      </c>
      <c r="G40" s="260" t="s">
        <v>2164</v>
      </c>
      <c r="H40" s="260"/>
      <c r="I40" s="260" t="s">
        <v>2165</v>
      </c>
      <c r="J40" s="261" t="s">
        <v>2177</v>
      </c>
      <c r="K40" s="258"/>
      <c r="L40" s="258" t="s">
        <v>2745</v>
      </c>
      <c r="M40" s="300"/>
      <c r="N40" s="300"/>
    </row>
    <row r="41" spans="1:14" x14ac:dyDescent="0.3">
      <c r="A41" s="257">
        <v>39</v>
      </c>
      <c r="B41" s="258" t="s">
        <v>2252</v>
      </c>
      <c r="C41" s="261" t="s">
        <v>2253</v>
      </c>
      <c r="D41" s="259">
        <v>1</v>
      </c>
      <c r="E41" s="258" t="s">
        <v>2176</v>
      </c>
      <c r="F41" s="258" t="s">
        <v>2163</v>
      </c>
      <c r="G41" s="260" t="s">
        <v>2164</v>
      </c>
      <c r="H41" s="260"/>
      <c r="I41" s="260" t="s">
        <v>2165</v>
      </c>
      <c r="J41" s="261" t="s">
        <v>2177</v>
      </c>
      <c r="K41" s="258"/>
      <c r="L41" s="258" t="s">
        <v>2745</v>
      </c>
      <c r="M41" s="300"/>
      <c r="N41" s="300"/>
    </row>
    <row r="42" spans="1:14" x14ac:dyDescent="0.3">
      <c r="A42" s="257">
        <v>40</v>
      </c>
      <c r="B42" s="258" t="s">
        <v>2254</v>
      </c>
      <c r="C42" s="261" t="s">
        <v>2255</v>
      </c>
      <c r="D42" s="259">
        <v>1</v>
      </c>
      <c r="E42" s="258" t="s">
        <v>2176</v>
      </c>
      <c r="F42" s="258" t="s">
        <v>2163</v>
      </c>
      <c r="G42" s="260" t="s">
        <v>2164</v>
      </c>
      <c r="H42" s="260"/>
      <c r="I42" s="260" t="s">
        <v>2165</v>
      </c>
      <c r="J42" s="261" t="s">
        <v>2177</v>
      </c>
      <c r="K42" s="258"/>
      <c r="L42" s="258" t="s">
        <v>2745</v>
      </c>
      <c r="M42" s="300"/>
      <c r="N42" s="300"/>
    </row>
    <row r="43" spans="1:14" x14ac:dyDescent="0.3">
      <c r="A43" s="257">
        <v>41</v>
      </c>
      <c r="B43" s="258" t="s">
        <v>2256</v>
      </c>
      <c r="C43" s="261" t="s">
        <v>2257</v>
      </c>
      <c r="D43" s="259">
        <v>1</v>
      </c>
      <c r="E43" s="258" t="s">
        <v>2176</v>
      </c>
      <c r="F43" s="258" t="s">
        <v>2163</v>
      </c>
      <c r="G43" s="260" t="s">
        <v>2164</v>
      </c>
      <c r="H43" s="260"/>
      <c r="I43" s="260" t="s">
        <v>2165</v>
      </c>
      <c r="J43" s="261" t="s">
        <v>2177</v>
      </c>
      <c r="K43" s="258"/>
      <c r="L43" s="258" t="s">
        <v>2745</v>
      </c>
      <c r="M43" s="300"/>
      <c r="N43" s="300"/>
    </row>
    <row r="44" spans="1:14" x14ac:dyDescent="0.3">
      <c r="A44" s="257">
        <v>42</v>
      </c>
      <c r="B44" s="258" t="s">
        <v>2256</v>
      </c>
      <c r="C44" s="261" t="s">
        <v>2257</v>
      </c>
      <c r="D44" s="259">
        <v>1</v>
      </c>
      <c r="E44" s="258" t="s">
        <v>2176</v>
      </c>
      <c r="F44" s="258" t="s">
        <v>2163</v>
      </c>
      <c r="G44" s="260" t="s">
        <v>2164</v>
      </c>
      <c r="H44" s="260"/>
      <c r="I44" s="260" t="s">
        <v>2165</v>
      </c>
      <c r="J44" s="261" t="s">
        <v>2177</v>
      </c>
      <c r="K44" s="258"/>
      <c r="L44" s="258" t="s">
        <v>2745</v>
      </c>
      <c r="M44" s="300"/>
      <c r="N44" s="300"/>
    </row>
    <row r="45" spans="1:14" ht="30" customHeight="1" x14ac:dyDescent="0.3">
      <c r="A45" s="257">
        <v>43</v>
      </c>
      <c r="B45" s="258" t="s">
        <v>2258</v>
      </c>
      <c r="C45" s="261" t="s">
        <v>2259</v>
      </c>
      <c r="D45" s="259">
        <v>1</v>
      </c>
      <c r="E45" s="258" t="s">
        <v>2176</v>
      </c>
      <c r="F45" s="258" t="s">
        <v>2163</v>
      </c>
      <c r="G45" s="260" t="s">
        <v>2164</v>
      </c>
      <c r="H45" s="260"/>
      <c r="I45" s="260" t="s">
        <v>2165</v>
      </c>
      <c r="J45" s="261" t="s">
        <v>2177</v>
      </c>
      <c r="K45" s="300" t="s">
        <v>2260</v>
      </c>
      <c r="L45" s="302" t="s">
        <v>2261</v>
      </c>
      <c r="M45" s="302" t="s">
        <v>2262</v>
      </c>
      <c r="N45" s="301" t="s">
        <v>2263</v>
      </c>
    </row>
    <row r="46" spans="1:14" x14ac:dyDescent="0.3">
      <c r="A46" s="257">
        <v>44</v>
      </c>
      <c r="B46" s="258" t="s">
        <v>2258</v>
      </c>
      <c r="C46" s="261" t="s">
        <v>2259</v>
      </c>
      <c r="D46" s="259">
        <v>3</v>
      </c>
      <c r="E46" s="258" t="s">
        <v>2176</v>
      </c>
      <c r="F46" s="258" t="s">
        <v>2163</v>
      </c>
      <c r="G46" s="260" t="s">
        <v>2164</v>
      </c>
      <c r="H46" s="260"/>
      <c r="I46" s="260" t="s">
        <v>2165</v>
      </c>
      <c r="J46" s="261" t="s">
        <v>2177</v>
      </c>
      <c r="K46" s="300"/>
      <c r="L46" s="302"/>
      <c r="M46" s="302"/>
      <c r="N46" s="301"/>
    </row>
    <row r="47" spans="1:14" x14ac:dyDescent="0.3">
      <c r="A47" s="257">
        <v>45</v>
      </c>
      <c r="B47" s="258" t="s">
        <v>2258</v>
      </c>
      <c r="C47" s="261" t="s">
        <v>2259</v>
      </c>
      <c r="D47" s="259">
        <v>1</v>
      </c>
      <c r="E47" s="258" t="s">
        <v>2176</v>
      </c>
      <c r="F47" s="258" t="s">
        <v>2163</v>
      </c>
      <c r="G47" s="260" t="s">
        <v>2164</v>
      </c>
      <c r="H47" s="260"/>
      <c r="I47" s="260" t="s">
        <v>2165</v>
      </c>
      <c r="J47" s="261" t="s">
        <v>2177</v>
      </c>
      <c r="K47" s="300"/>
      <c r="L47" s="302"/>
      <c r="M47" s="302"/>
      <c r="N47" s="301"/>
    </row>
    <row r="48" spans="1:14" x14ac:dyDescent="0.3">
      <c r="A48" s="257">
        <v>46</v>
      </c>
      <c r="B48" s="258" t="s">
        <v>2264</v>
      </c>
      <c r="C48" s="261" t="s">
        <v>2265</v>
      </c>
      <c r="D48" s="259">
        <v>1</v>
      </c>
      <c r="E48" s="258" t="s">
        <v>2176</v>
      </c>
      <c r="F48" s="258" t="s">
        <v>2163</v>
      </c>
      <c r="G48" s="260" t="s">
        <v>2164</v>
      </c>
      <c r="H48" s="260"/>
      <c r="I48" s="260" t="s">
        <v>2165</v>
      </c>
      <c r="J48" s="261" t="s">
        <v>2177</v>
      </c>
      <c r="K48" s="300"/>
      <c r="L48" s="302"/>
      <c r="M48" s="302"/>
      <c r="N48" s="301"/>
    </row>
    <row r="49" spans="1:14" x14ac:dyDescent="0.3">
      <c r="A49" s="257">
        <v>47</v>
      </c>
      <c r="B49" s="258" t="s">
        <v>2266</v>
      </c>
      <c r="C49" s="261" t="s">
        <v>2267</v>
      </c>
      <c r="D49" s="259">
        <v>1</v>
      </c>
      <c r="E49" s="258" t="s">
        <v>2176</v>
      </c>
      <c r="F49" s="258" t="s">
        <v>2163</v>
      </c>
      <c r="G49" s="260" t="s">
        <v>2164</v>
      </c>
      <c r="H49" s="260"/>
      <c r="I49" s="260" t="s">
        <v>2165</v>
      </c>
      <c r="J49" s="261" t="s">
        <v>2177</v>
      </c>
      <c r="K49" s="300"/>
      <c r="L49" s="302"/>
      <c r="M49" s="302"/>
      <c r="N49" s="301"/>
    </row>
    <row r="50" spans="1:14" x14ac:dyDescent="0.3">
      <c r="A50" s="257">
        <v>48</v>
      </c>
      <c r="B50" s="258" t="s">
        <v>2268</v>
      </c>
      <c r="C50" s="261" t="s">
        <v>2269</v>
      </c>
      <c r="D50" s="259">
        <v>1</v>
      </c>
      <c r="E50" s="258" t="s">
        <v>2176</v>
      </c>
      <c r="F50" s="258" t="s">
        <v>2163</v>
      </c>
      <c r="G50" s="260" t="s">
        <v>2164</v>
      </c>
      <c r="H50" s="260"/>
      <c r="I50" s="260" t="s">
        <v>2165</v>
      </c>
      <c r="J50" s="261" t="s">
        <v>2177</v>
      </c>
      <c r="K50" s="300"/>
      <c r="L50" s="302"/>
      <c r="M50" s="302"/>
      <c r="N50" s="301"/>
    </row>
    <row r="51" spans="1:14" x14ac:dyDescent="0.3">
      <c r="A51" s="257">
        <v>49</v>
      </c>
      <c r="B51" s="258" t="s">
        <v>2270</v>
      </c>
      <c r="C51" s="261" t="s">
        <v>2271</v>
      </c>
      <c r="D51" s="259">
        <v>1</v>
      </c>
      <c r="E51" s="258" t="s">
        <v>2176</v>
      </c>
      <c r="F51" s="258" t="s">
        <v>2163</v>
      </c>
      <c r="G51" s="260" t="s">
        <v>2164</v>
      </c>
      <c r="H51" s="260"/>
      <c r="I51" s="260" t="s">
        <v>2165</v>
      </c>
      <c r="J51" s="261" t="s">
        <v>2177</v>
      </c>
      <c r="K51" s="300"/>
      <c r="L51" s="302"/>
      <c r="M51" s="302"/>
      <c r="N51" s="301"/>
    </row>
    <row r="52" spans="1:14" x14ac:dyDescent="0.3">
      <c r="A52" s="257">
        <v>50</v>
      </c>
      <c r="B52" s="258" t="s">
        <v>2270</v>
      </c>
      <c r="C52" s="261" t="s">
        <v>2271</v>
      </c>
      <c r="D52" s="259">
        <v>1</v>
      </c>
      <c r="E52" s="258" t="s">
        <v>2176</v>
      </c>
      <c r="F52" s="258" t="s">
        <v>2163</v>
      </c>
      <c r="G52" s="260" t="s">
        <v>2164</v>
      </c>
      <c r="H52" s="260"/>
      <c r="I52" s="260" t="s">
        <v>2165</v>
      </c>
      <c r="J52" s="261" t="s">
        <v>2177</v>
      </c>
      <c r="K52" s="300"/>
      <c r="L52" s="302"/>
      <c r="M52" s="302"/>
      <c r="N52" s="301"/>
    </row>
    <row r="53" spans="1:14" x14ac:dyDescent="0.3">
      <c r="A53" s="257">
        <v>51</v>
      </c>
      <c r="B53" s="258" t="s">
        <v>2272</v>
      </c>
      <c r="C53" s="261" t="s">
        <v>2273</v>
      </c>
      <c r="D53" s="259">
        <v>1</v>
      </c>
      <c r="E53" s="258" t="s">
        <v>2176</v>
      </c>
      <c r="F53" s="258" t="s">
        <v>2163</v>
      </c>
      <c r="G53" s="260" t="s">
        <v>2164</v>
      </c>
      <c r="H53" s="260"/>
      <c r="I53" s="260" t="s">
        <v>2165</v>
      </c>
      <c r="J53" s="261" t="s">
        <v>2177</v>
      </c>
      <c r="K53" s="300"/>
      <c r="L53" s="302"/>
      <c r="M53" s="302"/>
      <c r="N53" s="301"/>
    </row>
    <row r="54" spans="1:14" x14ac:dyDescent="0.3">
      <c r="A54" s="257">
        <v>52</v>
      </c>
      <c r="B54" s="258" t="s">
        <v>2274</v>
      </c>
      <c r="C54" s="261" t="s">
        <v>2275</v>
      </c>
      <c r="D54" s="259">
        <v>2</v>
      </c>
      <c r="E54" s="258" t="s">
        <v>2176</v>
      </c>
      <c r="F54" s="258" t="s">
        <v>2163</v>
      </c>
      <c r="G54" s="260" t="s">
        <v>2164</v>
      </c>
      <c r="H54" s="260"/>
      <c r="I54" s="260" t="s">
        <v>2165</v>
      </c>
      <c r="J54" s="261" t="s">
        <v>2177</v>
      </c>
      <c r="K54" s="300"/>
      <c r="L54" s="302"/>
      <c r="M54" s="302"/>
      <c r="N54" s="301"/>
    </row>
    <row r="55" spans="1:14" ht="45" customHeight="1" x14ac:dyDescent="0.3">
      <c r="A55" s="257">
        <v>53</v>
      </c>
      <c r="B55" s="258" t="s">
        <v>2276</v>
      </c>
      <c r="C55" s="261" t="s">
        <v>2277</v>
      </c>
      <c r="D55" s="259">
        <v>3</v>
      </c>
      <c r="E55" s="258" t="s">
        <v>2176</v>
      </c>
      <c r="F55" s="258" t="s">
        <v>2163</v>
      </c>
      <c r="G55" s="260" t="s">
        <v>2164</v>
      </c>
      <c r="H55" s="260"/>
      <c r="I55" s="260" t="s">
        <v>2165</v>
      </c>
      <c r="J55" s="261" t="s">
        <v>2177</v>
      </c>
      <c r="K55" s="258"/>
      <c r="L55" s="258" t="s">
        <v>2745</v>
      </c>
      <c r="M55" s="300" t="s">
        <v>2278</v>
      </c>
      <c r="N55" s="300" t="s">
        <v>2279</v>
      </c>
    </row>
    <row r="56" spans="1:14" x14ac:dyDescent="0.3">
      <c r="A56" s="257">
        <v>54</v>
      </c>
      <c r="B56" s="258" t="s">
        <v>2280</v>
      </c>
      <c r="C56" s="261" t="s">
        <v>2281</v>
      </c>
      <c r="D56" s="259">
        <v>3</v>
      </c>
      <c r="E56" s="258" t="s">
        <v>2176</v>
      </c>
      <c r="F56" s="258" t="s">
        <v>2163</v>
      </c>
      <c r="G56" s="260" t="s">
        <v>2164</v>
      </c>
      <c r="H56" s="260"/>
      <c r="I56" s="260" t="s">
        <v>2165</v>
      </c>
      <c r="J56" s="261" t="s">
        <v>2177</v>
      </c>
      <c r="K56" s="258"/>
      <c r="L56" s="258" t="s">
        <v>2745</v>
      </c>
      <c r="M56" s="300"/>
      <c r="N56" s="300"/>
    </row>
    <row r="57" spans="1:14" x14ac:dyDescent="0.3">
      <c r="A57" s="257">
        <v>55</v>
      </c>
      <c r="B57" s="258" t="s">
        <v>2282</v>
      </c>
      <c r="C57" s="261" t="s">
        <v>2283</v>
      </c>
      <c r="D57" s="259">
        <v>2</v>
      </c>
      <c r="E57" s="258" t="s">
        <v>2176</v>
      </c>
      <c r="F57" s="258" t="s">
        <v>2163</v>
      </c>
      <c r="G57" s="260" t="s">
        <v>2164</v>
      </c>
      <c r="H57" s="260"/>
      <c r="I57" s="260" t="s">
        <v>2165</v>
      </c>
      <c r="J57" s="261" t="s">
        <v>2177</v>
      </c>
      <c r="K57" s="258"/>
      <c r="L57" s="258" t="s">
        <v>2745</v>
      </c>
      <c r="M57" s="300"/>
      <c r="N57" s="300"/>
    </row>
    <row r="58" spans="1:14" ht="28.8" x14ac:dyDescent="0.3">
      <c r="A58" s="257">
        <v>56</v>
      </c>
      <c r="B58" s="258" t="s">
        <v>2284</v>
      </c>
      <c r="C58" s="261" t="s">
        <v>2285</v>
      </c>
      <c r="D58" s="259">
        <v>1</v>
      </c>
      <c r="E58" s="258" t="s">
        <v>2176</v>
      </c>
      <c r="F58" s="258" t="s">
        <v>2163</v>
      </c>
      <c r="G58" s="260" t="s">
        <v>2164</v>
      </c>
      <c r="H58" s="260"/>
      <c r="I58" s="260" t="s">
        <v>2165</v>
      </c>
      <c r="J58" s="261" t="s">
        <v>2177</v>
      </c>
      <c r="K58" s="258"/>
      <c r="L58" s="258" t="s">
        <v>2745</v>
      </c>
      <c r="M58" s="260" t="s">
        <v>2286</v>
      </c>
      <c r="N58" s="258" t="s">
        <v>2287</v>
      </c>
    </row>
    <row r="59" spans="1:14" x14ac:dyDescent="0.3">
      <c r="A59" s="257">
        <v>57</v>
      </c>
      <c r="B59" s="258" t="s">
        <v>2288</v>
      </c>
      <c r="C59" s="261" t="s">
        <v>2289</v>
      </c>
      <c r="D59" s="259">
        <v>1</v>
      </c>
      <c r="E59" s="258" t="s">
        <v>2176</v>
      </c>
      <c r="F59" s="258" t="s">
        <v>2163</v>
      </c>
      <c r="G59" s="260" t="s">
        <v>2164</v>
      </c>
      <c r="H59" s="260"/>
      <c r="I59" s="260" t="s">
        <v>2165</v>
      </c>
      <c r="J59" s="261" t="s">
        <v>2177</v>
      </c>
      <c r="K59" s="258"/>
      <c r="L59" s="258" t="s">
        <v>2745</v>
      </c>
      <c r="M59" s="260"/>
      <c r="N59" s="262" t="s">
        <v>2745</v>
      </c>
    </row>
    <row r="60" spans="1:14" x14ac:dyDescent="0.3">
      <c r="A60" s="257">
        <v>58</v>
      </c>
      <c r="B60" s="258" t="s">
        <v>2290</v>
      </c>
      <c r="C60" s="261" t="s">
        <v>2291</v>
      </c>
      <c r="D60" s="259">
        <v>2</v>
      </c>
      <c r="E60" s="258" t="s">
        <v>2176</v>
      </c>
      <c r="F60" s="258" t="s">
        <v>2163</v>
      </c>
      <c r="G60" s="260" t="s">
        <v>2164</v>
      </c>
      <c r="H60" s="260"/>
      <c r="I60" s="260" t="s">
        <v>2165</v>
      </c>
      <c r="J60" s="261" t="s">
        <v>2177</v>
      </c>
      <c r="K60" s="258"/>
      <c r="L60" s="258" t="s">
        <v>2745</v>
      </c>
      <c r="M60" s="260"/>
      <c r="N60" s="262" t="s">
        <v>2745</v>
      </c>
    </row>
    <row r="61" spans="1:14" x14ac:dyDescent="0.3">
      <c r="A61" s="257">
        <v>59</v>
      </c>
      <c r="B61" s="258" t="s">
        <v>2292</v>
      </c>
      <c r="C61" s="261" t="s">
        <v>2293</v>
      </c>
      <c r="D61" s="259">
        <v>1</v>
      </c>
      <c r="E61" s="258" t="s">
        <v>2176</v>
      </c>
      <c r="F61" s="258" t="s">
        <v>2163</v>
      </c>
      <c r="G61" s="260" t="s">
        <v>2164</v>
      </c>
      <c r="H61" s="260"/>
      <c r="I61" s="260" t="s">
        <v>2165</v>
      </c>
      <c r="J61" s="261" t="s">
        <v>2177</v>
      </c>
      <c r="K61" s="258"/>
      <c r="L61" s="258" t="s">
        <v>2745</v>
      </c>
      <c r="M61" s="260"/>
      <c r="N61" s="262" t="s">
        <v>2745</v>
      </c>
    </row>
    <row r="62" spans="1:14" x14ac:dyDescent="0.3">
      <c r="A62" s="257">
        <v>60</v>
      </c>
      <c r="B62" s="258" t="s">
        <v>2292</v>
      </c>
      <c r="C62" s="261" t="s">
        <v>2293</v>
      </c>
      <c r="D62" s="259">
        <v>2</v>
      </c>
      <c r="E62" s="258" t="s">
        <v>2176</v>
      </c>
      <c r="F62" s="258" t="s">
        <v>2163</v>
      </c>
      <c r="G62" s="260" t="s">
        <v>2164</v>
      </c>
      <c r="H62" s="260"/>
      <c r="I62" s="260" t="s">
        <v>2165</v>
      </c>
      <c r="J62" s="261" t="s">
        <v>2177</v>
      </c>
      <c r="K62" s="258"/>
      <c r="L62" s="258" t="s">
        <v>2745</v>
      </c>
      <c r="M62" s="260"/>
      <c r="N62" s="262" t="s">
        <v>2745</v>
      </c>
    </row>
    <row r="63" spans="1:14" x14ac:dyDescent="0.3">
      <c r="A63" s="257">
        <v>61</v>
      </c>
      <c r="B63" s="258" t="s">
        <v>2294</v>
      </c>
      <c r="C63" s="261" t="s">
        <v>2295</v>
      </c>
      <c r="D63" s="259">
        <v>2</v>
      </c>
      <c r="E63" s="258" t="s">
        <v>2176</v>
      </c>
      <c r="F63" s="258" t="s">
        <v>2163</v>
      </c>
      <c r="G63" s="260" t="s">
        <v>2164</v>
      </c>
      <c r="H63" s="260"/>
      <c r="I63" s="260" t="s">
        <v>2165</v>
      </c>
      <c r="J63" s="261" t="s">
        <v>2177</v>
      </c>
      <c r="K63" s="258"/>
      <c r="L63" s="258" t="s">
        <v>2745</v>
      </c>
      <c r="M63" s="260"/>
      <c r="N63" s="262" t="s">
        <v>2745</v>
      </c>
    </row>
    <row r="64" spans="1:14" x14ac:dyDescent="0.3">
      <c r="A64" s="257">
        <v>62</v>
      </c>
      <c r="B64" s="258" t="s">
        <v>2296</v>
      </c>
      <c r="C64" s="261" t="s">
        <v>2297</v>
      </c>
      <c r="D64" s="259">
        <v>9</v>
      </c>
      <c r="E64" s="258" t="s">
        <v>2176</v>
      </c>
      <c r="F64" s="258" t="s">
        <v>2163</v>
      </c>
      <c r="G64" s="260" t="s">
        <v>2164</v>
      </c>
      <c r="H64" s="260"/>
      <c r="I64" s="260" t="s">
        <v>2165</v>
      </c>
      <c r="J64" s="261" t="s">
        <v>2177</v>
      </c>
      <c r="K64" s="258"/>
      <c r="L64" s="258" t="s">
        <v>2745</v>
      </c>
      <c r="M64" s="260"/>
      <c r="N64" s="262" t="s">
        <v>2745</v>
      </c>
    </row>
    <row r="65" spans="1:14" x14ac:dyDescent="0.3">
      <c r="A65" s="257">
        <v>63</v>
      </c>
      <c r="B65" s="258" t="s">
        <v>2298</v>
      </c>
      <c r="C65" s="261" t="s">
        <v>2235</v>
      </c>
      <c r="D65" s="259">
        <v>10</v>
      </c>
      <c r="E65" s="258" t="s">
        <v>2176</v>
      </c>
      <c r="F65" s="258" t="s">
        <v>2163</v>
      </c>
      <c r="G65" s="260" t="s">
        <v>2164</v>
      </c>
      <c r="H65" s="260"/>
      <c r="I65" s="260" t="s">
        <v>2165</v>
      </c>
      <c r="J65" s="261" t="s">
        <v>2177</v>
      </c>
      <c r="K65" s="258"/>
      <c r="L65" s="258" t="s">
        <v>2745</v>
      </c>
      <c r="M65" s="260"/>
      <c r="N65" s="262" t="s">
        <v>2745</v>
      </c>
    </row>
    <row r="66" spans="1:14" x14ac:dyDescent="0.3">
      <c r="A66" s="257">
        <v>64</v>
      </c>
      <c r="B66" s="258" t="s">
        <v>2299</v>
      </c>
      <c r="C66" s="261" t="s">
        <v>2239</v>
      </c>
      <c r="D66" s="259">
        <v>1</v>
      </c>
      <c r="E66" s="258" t="s">
        <v>2176</v>
      </c>
      <c r="F66" s="258" t="s">
        <v>2163</v>
      </c>
      <c r="G66" s="260" t="s">
        <v>2164</v>
      </c>
      <c r="H66" s="260"/>
      <c r="I66" s="260" t="s">
        <v>2165</v>
      </c>
      <c r="J66" s="261" t="s">
        <v>2177</v>
      </c>
      <c r="K66" s="258"/>
      <c r="L66" s="258" t="s">
        <v>2745</v>
      </c>
      <c r="M66" s="260"/>
      <c r="N66" s="262" t="s">
        <v>2745</v>
      </c>
    </row>
    <row r="67" spans="1:14" x14ac:dyDescent="0.3">
      <c r="A67" s="257">
        <v>65</v>
      </c>
      <c r="B67" s="258" t="s">
        <v>2299</v>
      </c>
      <c r="C67" s="261" t="s">
        <v>2239</v>
      </c>
      <c r="D67" s="259">
        <v>4</v>
      </c>
      <c r="E67" s="258" t="s">
        <v>2176</v>
      </c>
      <c r="F67" s="258" t="s">
        <v>2163</v>
      </c>
      <c r="G67" s="260" t="s">
        <v>2164</v>
      </c>
      <c r="H67" s="260"/>
      <c r="I67" s="260" t="s">
        <v>2165</v>
      </c>
      <c r="J67" s="261" t="s">
        <v>2177</v>
      </c>
      <c r="K67" s="258"/>
      <c r="L67" s="258" t="s">
        <v>2745</v>
      </c>
      <c r="M67" s="260"/>
      <c r="N67" s="262" t="s">
        <v>2745</v>
      </c>
    </row>
    <row r="68" spans="1:14" x14ac:dyDescent="0.3">
      <c r="A68" s="257">
        <v>66</v>
      </c>
      <c r="B68" s="258" t="s">
        <v>2300</v>
      </c>
      <c r="C68" s="261" t="s">
        <v>2301</v>
      </c>
      <c r="D68" s="259">
        <v>2</v>
      </c>
      <c r="E68" s="258" t="s">
        <v>2176</v>
      </c>
      <c r="F68" s="258" t="s">
        <v>2163</v>
      </c>
      <c r="G68" s="260" t="s">
        <v>2164</v>
      </c>
      <c r="H68" s="260"/>
      <c r="I68" s="260" t="s">
        <v>2165</v>
      </c>
      <c r="J68" s="261" t="s">
        <v>2177</v>
      </c>
      <c r="K68" s="258"/>
      <c r="L68" s="258" t="s">
        <v>2745</v>
      </c>
      <c r="M68" s="260"/>
      <c r="N68" s="262" t="s">
        <v>2745</v>
      </c>
    </row>
    <row r="69" spans="1:14" x14ac:dyDescent="0.3">
      <c r="A69" s="257">
        <v>67</v>
      </c>
      <c r="B69" s="258" t="s">
        <v>2302</v>
      </c>
      <c r="C69" s="261" t="s">
        <v>2303</v>
      </c>
      <c r="D69" s="259">
        <v>3</v>
      </c>
      <c r="E69" s="258" t="s">
        <v>2176</v>
      </c>
      <c r="F69" s="258" t="s">
        <v>2163</v>
      </c>
      <c r="G69" s="260" t="s">
        <v>2164</v>
      </c>
      <c r="H69" s="260"/>
      <c r="I69" s="260" t="s">
        <v>2165</v>
      </c>
      <c r="J69" s="261" t="s">
        <v>2177</v>
      </c>
      <c r="K69" s="258"/>
      <c r="L69" s="258" t="s">
        <v>2745</v>
      </c>
      <c r="M69" s="260"/>
      <c r="N69" s="262" t="s">
        <v>2745</v>
      </c>
    </row>
    <row r="70" spans="1:14" x14ac:dyDescent="0.3">
      <c r="A70" s="257">
        <v>68</v>
      </c>
      <c r="B70" s="258" t="s">
        <v>2304</v>
      </c>
      <c r="C70" s="261" t="s">
        <v>2305</v>
      </c>
      <c r="D70" s="259">
        <v>1</v>
      </c>
      <c r="E70" s="258" t="s">
        <v>2176</v>
      </c>
      <c r="F70" s="258" t="s">
        <v>2163</v>
      </c>
      <c r="G70" s="260" t="s">
        <v>2164</v>
      </c>
      <c r="H70" s="260"/>
      <c r="I70" s="260" t="s">
        <v>2165</v>
      </c>
      <c r="J70" s="261" t="s">
        <v>2177</v>
      </c>
      <c r="K70" s="258"/>
      <c r="L70" s="258" t="s">
        <v>2745</v>
      </c>
      <c r="M70" s="260"/>
      <c r="N70" s="262" t="s">
        <v>2745</v>
      </c>
    </row>
    <row r="71" spans="1:14" x14ac:dyDescent="0.3">
      <c r="A71" s="257">
        <v>69</v>
      </c>
      <c r="B71" s="258" t="s">
        <v>2304</v>
      </c>
      <c r="C71" s="261" t="s">
        <v>2305</v>
      </c>
      <c r="D71" s="259">
        <v>1</v>
      </c>
      <c r="E71" s="258" t="s">
        <v>2176</v>
      </c>
      <c r="F71" s="258" t="s">
        <v>2163</v>
      </c>
      <c r="G71" s="260" t="s">
        <v>2164</v>
      </c>
      <c r="H71" s="260"/>
      <c r="I71" s="260" t="s">
        <v>2165</v>
      </c>
      <c r="J71" s="261" t="s">
        <v>2177</v>
      </c>
      <c r="K71" s="258"/>
      <c r="L71" s="258" t="s">
        <v>2745</v>
      </c>
      <c r="M71" s="260"/>
      <c r="N71" s="262" t="s">
        <v>2745</v>
      </c>
    </row>
    <row r="72" spans="1:14" x14ac:dyDescent="0.3">
      <c r="A72" s="257">
        <v>70</v>
      </c>
      <c r="B72" s="258" t="s">
        <v>2306</v>
      </c>
      <c r="C72" s="261" t="s">
        <v>2241</v>
      </c>
      <c r="D72" s="259">
        <v>1</v>
      </c>
      <c r="E72" s="258" t="s">
        <v>2176</v>
      </c>
      <c r="F72" s="258" t="s">
        <v>2163</v>
      </c>
      <c r="G72" s="260" t="s">
        <v>2164</v>
      </c>
      <c r="H72" s="260"/>
      <c r="I72" s="260" t="s">
        <v>2165</v>
      </c>
      <c r="J72" s="261" t="s">
        <v>2177</v>
      </c>
      <c r="K72" s="258"/>
      <c r="L72" s="258" t="s">
        <v>2745</v>
      </c>
      <c r="M72" s="260"/>
      <c r="N72" s="262" t="s">
        <v>2745</v>
      </c>
    </row>
    <row r="73" spans="1:14" x14ac:dyDescent="0.3">
      <c r="A73" s="257">
        <v>71</v>
      </c>
      <c r="B73" s="258" t="s">
        <v>2306</v>
      </c>
      <c r="C73" s="261" t="s">
        <v>2241</v>
      </c>
      <c r="D73" s="259">
        <v>1</v>
      </c>
      <c r="E73" s="258" t="s">
        <v>2176</v>
      </c>
      <c r="F73" s="258" t="s">
        <v>2163</v>
      </c>
      <c r="G73" s="260" t="s">
        <v>2164</v>
      </c>
      <c r="H73" s="260"/>
      <c r="I73" s="260" t="s">
        <v>2165</v>
      </c>
      <c r="J73" s="261" t="s">
        <v>2177</v>
      </c>
      <c r="K73" s="258"/>
      <c r="L73" s="258" t="s">
        <v>2745</v>
      </c>
      <c r="M73" s="260"/>
      <c r="N73" s="262" t="s">
        <v>2745</v>
      </c>
    </row>
    <row r="74" spans="1:14" x14ac:dyDescent="0.3">
      <c r="A74" s="257">
        <v>72</v>
      </c>
      <c r="B74" s="258" t="s">
        <v>2306</v>
      </c>
      <c r="C74" s="261" t="s">
        <v>2241</v>
      </c>
      <c r="D74" s="259">
        <v>1</v>
      </c>
      <c r="E74" s="258" t="s">
        <v>2176</v>
      </c>
      <c r="F74" s="258" t="s">
        <v>2163</v>
      </c>
      <c r="G74" s="260" t="s">
        <v>2164</v>
      </c>
      <c r="H74" s="260"/>
      <c r="I74" s="260" t="s">
        <v>2165</v>
      </c>
      <c r="J74" s="261" t="s">
        <v>2177</v>
      </c>
      <c r="K74" s="258"/>
      <c r="L74" s="258" t="s">
        <v>2745</v>
      </c>
      <c r="M74" s="260"/>
      <c r="N74" s="262" t="s">
        <v>2745</v>
      </c>
    </row>
    <row r="75" spans="1:14" x14ac:dyDescent="0.3">
      <c r="A75" s="257">
        <v>73</v>
      </c>
      <c r="B75" s="258" t="s">
        <v>2307</v>
      </c>
      <c r="C75" s="261" t="s">
        <v>2308</v>
      </c>
      <c r="D75" s="259">
        <v>1</v>
      </c>
      <c r="E75" s="258" t="s">
        <v>2176</v>
      </c>
      <c r="F75" s="258" t="s">
        <v>2163</v>
      </c>
      <c r="G75" s="260" t="s">
        <v>2164</v>
      </c>
      <c r="H75" s="260"/>
      <c r="I75" s="260" t="s">
        <v>2165</v>
      </c>
      <c r="J75" s="261" t="s">
        <v>2177</v>
      </c>
      <c r="K75" s="258"/>
      <c r="L75" s="258" t="s">
        <v>2745</v>
      </c>
      <c r="M75" s="260"/>
      <c r="N75" s="262" t="s">
        <v>2745</v>
      </c>
    </row>
    <row r="76" spans="1:14" x14ac:dyDescent="0.3">
      <c r="A76" s="257">
        <v>74</v>
      </c>
      <c r="B76" s="258" t="s">
        <v>2309</v>
      </c>
      <c r="C76" s="261" t="s">
        <v>2310</v>
      </c>
      <c r="D76" s="259">
        <v>1</v>
      </c>
      <c r="E76" s="258" t="s">
        <v>2176</v>
      </c>
      <c r="F76" s="258" t="s">
        <v>2163</v>
      </c>
      <c r="G76" s="260" t="s">
        <v>2164</v>
      </c>
      <c r="H76" s="260"/>
      <c r="I76" s="260" t="s">
        <v>2165</v>
      </c>
      <c r="J76" s="261" t="s">
        <v>2177</v>
      </c>
      <c r="K76" s="258"/>
      <c r="L76" s="258" t="s">
        <v>2745</v>
      </c>
      <c r="M76" s="260"/>
      <c r="N76" s="262" t="s">
        <v>2745</v>
      </c>
    </row>
    <row r="77" spans="1:14" x14ac:dyDescent="0.3">
      <c r="A77" s="257">
        <v>75</v>
      </c>
      <c r="B77" s="258" t="s">
        <v>2311</v>
      </c>
      <c r="C77" s="261" t="s">
        <v>2312</v>
      </c>
      <c r="D77" s="259">
        <v>1</v>
      </c>
      <c r="E77" s="258" t="s">
        <v>2176</v>
      </c>
      <c r="F77" s="258" t="s">
        <v>2163</v>
      </c>
      <c r="G77" s="260" t="s">
        <v>2164</v>
      </c>
      <c r="H77" s="260"/>
      <c r="I77" s="260" t="s">
        <v>2165</v>
      </c>
      <c r="J77" s="261" t="s">
        <v>2177</v>
      </c>
      <c r="K77" s="258"/>
      <c r="L77" s="258" t="s">
        <v>2745</v>
      </c>
      <c r="M77" s="260"/>
      <c r="N77" s="262" t="s">
        <v>2745</v>
      </c>
    </row>
    <row r="78" spans="1:14" x14ac:dyDescent="0.3">
      <c r="A78" s="257">
        <v>76</v>
      </c>
      <c r="B78" s="258" t="s">
        <v>2313</v>
      </c>
      <c r="C78" s="261" t="s">
        <v>2314</v>
      </c>
      <c r="D78" s="259">
        <v>1</v>
      </c>
      <c r="E78" s="258" t="s">
        <v>2176</v>
      </c>
      <c r="F78" s="258" t="s">
        <v>2163</v>
      </c>
      <c r="G78" s="260" t="s">
        <v>2164</v>
      </c>
      <c r="H78" s="260"/>
      <c r="I78" s="260" t="s">
        <v>2165</v>
      </c>
      <c r="J78" s="261" t="s">
        <v>2177</v>
      </c>
      <c r="K78" s="258"/>
      <c r="L78" s="258" t="s">
        <v>2745</v>
      </c>
      <c r="M78" s="260"/>
      <c r="N78" s="262" t="s">
        <v>2745</v>
      </c>
    </row>
    <row r="79" spans="1:14" x14ac:dyDescent="0.3">
      <c r="A79" s="257">
        <v>77</v>
      </c>
      <c r="B79" s="258" t="s">
        <v>2315</v>
      </c>
      <c r="C79" s="261" t="s">
        <v>2316</v>
      </c>
      <c r="D79" s="259">
        <v>1</v>
      </c>
      <c r="E79" s="258" t="s">
        <v>193</v>
      </c>
      <c r="F79" s="258" t="s">
        <v>2163</v>
      </c>
      <c r="G79" s="260" t="s">
        <v>2164</v>
      </c>
      <c r="H79" s="260"/>
      <c r="I79" s="260" t="s">
        <v>2165</v>
      </c>
      <c r="J79" s="261" t="s">
        <v>524</v>
      </c>
      <c r="K79" s="258"/>
      <c r="L79" s="258" t="s">
        <v>2745</v>
      </c>
      <c r="M79" s="260"/>
      <c r="N79" s="262" t="s">
        <v>2745</v>
      </c>
    </row>
    <row r="80" spans="1:14" x14ac:dyDescent="0.3">
      <c r="A80" s="257">
        <v>78</v>
      </c>
      <c r="B80" s="258" t="s">
        <v>2315</v>
      </c>
      <c r="C80" s="261" t="s">
        <v>2316</v>
      </c>
      <c r="D80" s="259">
        <v>1</v>
      </c>
      <c r="E80" s="258" t="s">
        <v>193</v>
      </c>
      <c r="F80" s="258" t="s">
        <v>2163</v>
      </c>
      <c r="G80" s="260" t="s">
        <v>2164</v>
      </c>
      <c r="H80" s="260"/>
      <c r="I80" s="260" t="s">
        <v>2165</v>
      </c>
      <c r="J80" s="261" t="s">
        <v>524</v>
      </c>
      <c r="K80" s="258"/>
      <c r="L80" s="258" t="s">
        <v>2745</v>
      </c>
      <c r="M80" s="260"/>
      <c r="N80" s="262" t="s">
        <v>2745</v>
      </c>
    </row>
    <row r="81" spans="1:14" x14ac:dyDescent="0.3">
      <c r="A81" s="257">
        <v>79</v>
      </c>
      <c r="B81" s="258" t="s">
        <v>2317</v>
      </c>
      <c r="C81" s="261" t="s">
        <v>2318</v>
      </c>
      <c r="D81" s="259">
        <v>1</v>
      </c>
      <c r="E81" s="258" t="s">
        <v>2176</v>
      </c>
      <c r="F81" s="258" t="s">
        <v>2163</v>
      </c>
      <c r="G81" s="260" t="s">
        <v>2164</v>
      </c>
      <c r="H81" s="260"/>
      <c r="I81" s="260" t="s">
        <v>2165</v>
      </c>
      <c r="J81" s="261" t="s">
        <v>2177</v>
      </c>
      <c r="K81" s="258"/>
      <c r="L81" s="258" t="s">
        <v>2745</v>
      </c>
      <c r="M81" s="260"/>
      <c r="N81" s="262" t="s">
        <v>2745</v>
      </c>
    </row>
    <row r="82" spans="1:14" ht="51" customHeight="1" x14ac:dyDescent="0.3">
      <c r="A82" s="257">
        <v>80</v>
      </c>
      <c r="B82" s="258" t="s">
        <v>2319</v>
      </c>
      <c r="C82" s="261" t="s">
        <v>2320</v>
      </c>
      <c r="D82" s="259">
        <v>1</v>
      </c>
      <c r="E82" s="258" t="s">
        <v>2176</v>
      </c>
      <c r="F82" s="258" t="s">
        <v>2163</v>
      </c>
      <c r="G82" s="260" t="s">
        <v>2164</v>
      </c>
      <c r="H82" s="260"/>
      <c r="I82" s="260" t="s">
        <v>2165</v>
      </c>
      <c r="J82" s="261" t="s">
        <v>2177</v>
      </c>
      <c r="K82" s="258" t="s">
        <v>2321</v>
      </c>
      <c r="L82" s="258" t="s">
        <v>2322</v>
      </c>
      <c r="M82" s="260" t="s">
        <v>2323</v>
      </c>
      <c r="N82" s="258" t="s">
        <v>2324</v>
      </c>
    </row>
    <row r="83" spans="1:14" x14ac:dyDescent="0.3">
      <c r="A83" s="257">
        <v>81</v>
      </c>
      <c r="B83" s="258" t="s">
        <v>2325</v>
      </c>
      <c r="C83" s="261" t="s">
        <v>2326</v>
      </c>
      <c r="D83" s="259">
        <v>1</v>
      </c>
      <c r="E83" s="258" t="s">
        <v>2176</v>
      </c>
      <c r="F83" s="258" t="s">
        <v>2163</v>
      </c>
      <c r="G83" s="260" t="s">
        <v>2164</v>
      </c>
      <c r="H83" s="260"/>
      <c r="I83" s="260" t="s">
        <v>2165</v>
      </c>
      <c r="J83" s="261" t="s">
        <v>2177</v>
      </c>
      <c r="K83" s="258" t="s">
        <v>2327</v>
      </c>
      <c r="L83" s="258" t="s">
        <v>2328</v>
      </c>
      <c r="M83" s="260"/>
      <c r="N83" s="262" t="s">
        <v>2745</v>
      </c>
    </row>
    <row r="84" spans="1:14" x14ac:dyDescent="0.3">
      <c r="A84" s="257">
        <v>82</v>
      </c>
      <c r="B84" s="258" t="s">
        <v>2325</v>
      </c>
      <c r="C84" s="261" t="s">
        <v>2326</v>
      </c>
      <c r="D84" s="259">
        <v>1</v>
      </c>
      <c r="E84" s="258" t="s">
        <v>2176</v>
      </c>
      <c r="F84" s="258" t="s">
        <v>2163</v>
      </c>
      <c r="G84" s="260" t="s">
        <v>2164</v>
      </c>
      <c r="H84" s="260"/>
      <c r="I84" s="260" t="s">
        <v>2165</v>
      </c>
      <c r="J84" s="261" t="s">
        <v>2177</v>
      </c>
      <c r="K84" s="258"/>
      <c r="L84" s="258" t="s">
        <v>2745</v>
      </c>
      <c r="M84" s="260"/>
      <c r="N84" s="262" t="s">
        <v>2745</v>
      </c>
    </row>
    <row r="85" spans="1:14" ht="28.8" x14ac:dyDescent="0.3">
      <c r="A85" s="257">
        <v>83</v>
      </c>
      <c r="B85" s="258" t="s">
        <v>2329</v>
      </c>
      <c r="C85" s="261" t="s">
        <v>2330</v>
      </c>
      <c r="D85" s="259">
        <v>1</v>
      </c>
      <c r="E85" s="258" t="s">
        <v>2176</v>
      </c>
      <c r="F85" s="258" t="s">
        <v>2163</v>
      </c>
      <c r="G85" s="260" t="s">
        <v>2164</v>
      </c>
      <c r="H85" s="260"/>
      <c r="I85" s="260" t="s">
        <v>2165</v>
      </c>
      <c r="J85" s="261" t="s">
        <v>2177</v>
      </c>
      <c r="K85" s="258" t="s">
        <v>2331</v>
      </c>
      <c r="L85" s="258" t="s">
        <v>2332</v>
      </c>
      <c r="M85" s="260"/>
      <c r="N85" s="262" t="s">
        <v>2745</v>
      </c>
    </row>
    <row r="86" spans="1:14" x14ac:dyDescent="0.3">
      <c r="A86" s="257">
        <v>84</v>
      </c>
      <c r="B86" s="258" t="s">
        <v>2333</v>
      </c>
      <c r="C86" s="261" t="s">
        <v>2334</v>
      </c>
      <c r="D86" s="259">
        <v>1</v>
      </c>
      <c r="E86" s="258" t="s">
        <v>2176</v>
      </c>
      <c r="F86" s="258" t="s">
        <v>2163</v>
      </c>
      <c r="G86" s="260" t="s">
        <v>2164</v>
      </c>
      <c r="H86" s="260"/>
      <c r="I86" s="260" t="s">
        <v>2165</v>
      </c>
      <c r="J86" s="261" t="s">
        <v>2177</v>
      </c>
      <c r="K86" s="258"/>
      <c r="L86" s="258" t="s">
        <v>2745</v>
      </c>
      <c r="M86" s="260"/>
      <c r="N86" s="262" t="s">
        <v>2745</v>
      </c>
    </row>
    <row r="87" spans="1:14" x14ac:dyDescent="0.3">
      <c r="A87" s="257">
        <v>85</v>
      </c>
      <c r="B87" s="258" t="s">
        <v>2335</v>
      </c>
      <c r="C87" s="261" t="s">
        <v>2336</v>
      </c>
      <c r="D87" s="259">
        <v>1</v>
      </c>
      <c r="E87" s="258" t="s">
        <v>2176</v>
      </c>
      <c r="F87" s="258" t="s">
        <v>2163</v>
      </c>
      <c r="G87" s="260" t="s">
        <v>2164</v>
      </c>
      <c r="H87" s="260"/>
      <c r="I87" s="260" t="s">
        <v>2165</v>
      </c>
      <c r="J87" s="261" t="s">
        <v>2177</v>
      </c>
      <c r="K87" s="258"/>
      <c r="L87" s="258" t="s">
        <v>2745</v>
      </c>
      <c r="M87" s="260"/>
      <c r="N87" s="262" t="s">
        <v>2745</v>
      </c>
    </row>
    <row r="88" spans="1:14" x14ac:dyDescent="0.3">
      <c r="A88" s="257">
        <v>86</v>
      </c>
      <c r="B88" s="258" t="s">
        <v>2337</v>
      </c>
      <c r="C88" s="261" t="s">
        <v>2338</v>
      </c>
      <c r="D88" s="259">
        <v>2</v>
      </c>
      <c r="E88" s="258" t="s">
        <v>2176</v>
      </c>
      <c r="F88" s="258" t="s">
        <v>2163</v>
      </c>
      <c r="G88" s="260" t="s">
        <v>2164</v>
      </c>
      <c r="H88" s="260"/>
      <c r="I88" s="260" t="s">
        <v>2165</v>
      </c>
      <c r="J88" s="261" t="s">
        <v>2177</v>
      </c>
      <c r="K88" s="258"/>
      <c r="L88" s="258" t="s">
        <v>2745</v>
      </c>
      <c r="M88" s="260"/>
      <c r="N88" s="262" t="s">
        <v>2745</v>
      </c>
    </row>
    <row r="89" spans="1:14" x14ac:dyDescent="0.3">
      <c r="A89" s="257">
        <v>87</v>
      </c>
      <c r="B89" s="258" t="s">
        <v>2339</v>
      </c>
      <c r="C89" s="261" t="s">
        <v>2340</v>
      </c>
      <c r="D89" s="259">
        <v>1</v>
      </c>
      <c r="E89" s="258" t="s">
        <v>2176</v>
      </c>
      <c r="F89" s="258" t="s">
        <v>2163</v>
      </c>
      <c r="G89" s="260" t="s">
        <v>2164</v>
      </c>
      <c r="H89" s="260"/>
      <c r="I89" s="260" t="s">
        <v>2165</v>
      </c>
      <c r="J89" s="261" t="s">
        <v>2177</v>
      </c>
      <c r="K89" s="258"/>
      <c r="L89" s="258" t="s">
        <v>2745</v>
      </c>
      <c r="M89" s="260"/>
      <c r="N89" s="262" t="s">
        <v>2745</v>
      </c>
    </row>
    <row r="90" spans="1:14" x14ac:dyDescent="0.3">
      <c r="A90" s="257">
        <v>88</v>
      </c>
      <c r="B90" s="258" t="s">
        <v>2341</v>
      </c>
      <c r="C90" s="261" t="s">
        <v>2342</v>
      </c>
      <c r="D90" s="259">
        <v>2</v>
      </c>
      <c r="E90" s="258" t="s">
        <v>2176</v>
      </c>
      <c r="F90" s="258" t="s">
        <v>2163</v>
      </c>
      <c r="G90" s="260" t="s">
        <v>2164</v>
      </c>
      <c r="H90" s="260"/>
      <c r="I90" s="260" t="s">
        <v>2165</v>
      </c>
      <c r="J90" s="261" t="s">
        <v>2177</v>
      </c>
      <c r="K90" s="258"/>
      <c r="L90" s="258" t="s">
        <v>2745</v>
      </c>
      <c r="M90" s="260"/>
      <c r="N90" s="262" t="s">
        <v>2745</v>
      </c>
    </row>
    <row r="91" spans="1:14" x14ac:dyDescent="0.3">
      <c r="A91" s="257">
        <v>89</v>
      </c>
      <c r="B91" s="258" t="s">
        <v>2343</v>
      </c>
      <c r="C91" s="261" t="s">
        <v>2344</v>
      </c>
      <c r="D91" s="259">
        <v>1</v>
      </c>
      <c r="E91" s="258" t="s">
        <v>193</v>
      </c>
      <c r="F91" s="258" t="s">
        <v>2163</v>
      </c>
      <c r="G91" s="260" t="s">
        <v>2164</v>
      </c>
      <c r="H91" s="260"/>
      <c r="I91" s="260" t="s">
        <v>2165</v>
      </c>
      <c r="J91" s="261" t="s">
        <v>524</v>
      </c>
      <c r="K91" s="258"/>
      <c r="L91" s="258" t="s">
        <v>2745</v>
      </c>
      <c r="M91" s="260" t="s">
        <v>2345</v>
      </c>
      <c r="N91" s="262" t="s">
        <v>2346</v>
      </c>
    </row>
    <row r="92" spans="1:14" x14ac:dyDescent="0.3">
      <c r="A92" s="257">
        <v>90</v>
      </c>
      <c r="B92" s="258" t="s">
        <v>2347</v>
      </c>
      <c r="C92" s="261" t="s">
        <v>2348</v>
      </c>
      <c r="D92" s="259">
        <v>35</v>
      </c>
      <c r="E92" s="258" t="s">
        <v>2176</v>
      </c>
      <c r="F92" s="258" t="s">
        <v>2163</v>
      </c>
      <c r="G92" s="260" t="s">
        <v>2164</v>
      </c>
      <c r="H92" s="260"/>
      <c r="I92" s="260" t="s">
        <v>2165</v>
      </c>
      <c r="J92" s="261" t="s">
        <v>2177</v>
      </c>
      <c r="K92" s="258"/>
      <c r="L92" s="258" t="s">
        <v>2745</v>
      </c>
      <c r="M92" s="260"/>
      <c r="N92" s="262" t="s">
        <v>2745</v>
      </c>
    </row>
    <row r="93" spans="1:14" x14ac:dyDescent="0.3">
      <c r="A93" s="257">
        <v>91</v>
      </c>
      <c r="B93" s="258" t="s">
        <v>2349</v>
      </c>
      <c r="C93" s="261" t="s">
        <v>2350</v>
      </c>
      <c r="D93" s="259">
        <v>4</v>
      </c>
      <c r="E93" s="258" t="s">
        <v>2176</v>
      </c>
      <c r="F93" s="258" t="s">
        <v>2163</v>
      </c>
      <c r="G93" s="260" t="s">
        <v>2164</v>
      </c>
      <c r="H93" s="260"/>
      <c r="I93" s="260" t="s">
        <v>2165</v>
      </c>
      <c r="J93" s="261" t="s">
        <v>2177</v>
      </c>
      <c r="K93" s="258"/>
      <c r="L93" s="258" t="s">
        <v>2745</v>
      </c>
      <c r="M93" s="260"/>
      <c r="N93" s="262" t="s">
        <v>2745</v>
      </c>
    </row>
    <row r="94" spans="1:14" x14ac:dyDescent="0.3">
      <c r="A94" s="257">
        <v>92</v>
      </c>
      <c r="B94" s="258" t="s">
        <v>2351</v>
      </c>
      <c r="C94" s="261" t="s">
        <v>2352</v>
      </c>
      <c r="D94" s="259">
        <v>17</v>
      </c>
      <c r="E94" s="258" t="s">
        <v>2176</v>
      </c>
      <c r="F94" s="258" t="s">
        <v>2163</v>
      </c>
      <c r="G94" s="260" t="s">
        <v>2164</v>
      </c>
      <c r="H94" s="260"/>
      <c r="I94" s="260" t="s">
        <v>2165</v>
      </c>
      <c r="J94" s="261" t="s">
        <v>2177</v>
      </c>
      <c r="K94" s="258"/>
      <c r="L94" s="258" t="s">
        <v>2745</v>
      </c>
      <c r="M94" s="260"/>
      <c r="N94" s="262" t="s">
        <v>2745</v>
      </c>
    </row>
    <row r="95" spans="1:14" x14ac:dyDescent="0.3">
      <c r="A95" s="257">
        <v>93</v>
      </c>
      <c r="B95" s="258" t="s">
        <v>2353</v>
      </c>
      <c r="C95" s="261" t="s">
        <v>2354</v>
      </c>
      <c r="D95" s="259">
        <v>2</v>
      </c>
      <c r="E95" s="258" t="s">
        <v>2176</v>
      </c>
      <c r="F95" s="258" t="s">
        <v>2163</v>
      </c>
      <c r="G95" s="260" t="s">
        <v>2164</v>
      </c>
      <c r="H95" s="260"/>
      <c r="I95" s="260" t="s">
        <v>2165</v>
      </c>
      <c r="J95" s="261" t="s">
        <v>2177</v>
      </c>
      <c r="K95" s="258"/>
      <c r="L95" s="258" t="s">
        <v>2745</v>
      </c>
      <c r="M95" s="260"/>
      <c r="N95" s="262" t="s">
        <v>2745</v>
      </c>
    </row>
    <row r="96" spans="1:14" x14ac:dyDescent="0.3">
      <c r="A96" s="257">
        <v>94</v>
      </c>
      <c r="B96" s="258" t="s">
        <v>2355</v>
      </c>
      <c r="C96" s="261" t="s">
        <v>2356</v>
      </c>
      <c r="D96" s="259">
        <v>2</v>
      </c>
      <c r="E96" s="258" t="s">
        <v>2176</v>
      </c>
      <c r="F96" s="258" t="s">
        <v>2163</v>
      </c>
      <c r="G96" s="260" t="s">
        <v>2164</v>
      </c>
      <c r="H96" s="260"/>
      <c r="I96" s="260" t="s">
        <v>2165</v>
      </c>
      <c r="J96" s="261" t="s">
        <v>2177</v>
      </c>
      <c r="K96" s="258"/>
      <c r="L96" s="258" t="s">
        <v>2745</v>
      </c>
      <c r="M96" s="260"/>
      <c r="N96" s="262" t="s">
        <v>2745</v>
      </c>
    </row>
    <row r="97" spans="1:14" x14ac:dyDescent="0.3">
      <c r="A97" s="257">
        <v>95</v>
      </c>
      <c r="B97" s="258" t="s">
        <v>2357</v>
      </c>
      <c r="C97" s="261" t="s">
        <v>2358</v>
      </c>
      <c r="D97" s="259">
        <v>1</v>
      </c>
      <c r="E97" s="258" t="s">
        <v>2176</v>
      </c>
      <c r="F97" s="258" t="s">
        <v>2163</v>
      </c>
      <c r="G97" s="260" t="s">
        <v>2164</v>
      </c>
      <c r="H97" s="260"/>
      <c r="I97" s="260" t="s">
        <v>2165</v>
      </c>
      <c r="J97" s="261" t="s">
        <v>2177</v>
      </c>
      <c r="K97" s="258"/>
      <c r="L97" s="258" t="s">
        <v>2745</v>
      </c>
      <c r="M97" s="260"/>
      <c r="N97" s="262" t="s">
        <v>2745</v>
      </c>
    </row>
    <row r="98" spans="1:14" x14ac:dyDescent="0.3">
      <c r="A98" s="257">
        <v>96</v>
      </c>
      <c r="B98" s="258" t="s">
        <v>2359</v>
      </c>
      <c r="C98" s="261" t="s">
        <v>2360</v>
      </c>
      <c r="D98" s="259">
        <v>1</v>
      </c>
      <c r="E98" s="258" t="s">
        <v>2176</v>
      </c>
      <c r="F98" s="258" t="s">
        <v>2163</v>
      </c>
      <c r="G98" s="260" t="s">
        <v>2164</v>
      </c>
      <c r="H98" s="260"/>
      <c r="I98" s="260" t="s">
        <v>2165</v>
      </c>
      <c r="J98" s="261" t="s">
        <v>2177</v>
      </c>
      <c r="K98" s="258"/>
      <c r="L98" s="258" t="s">
        <v>2745</v>
      </c>
      <c r="M98" s="260"/>
      <c r="N98" s="262" t="s">
        <v>2745</v>
      </c>
    </row>
    <row r="99" spans="1:14" x14ac:dyDescent="0.3">
      <c r="A99" s="257">
        <v>97</v>
      </c>
      <c r="B99" s="258" t="s">
        <v>2361</v>
      </c>
      <c r="C99" s="261" t="s">
        <v>2362</v>
      </c>
      <c r="D99" s="259">
        <v>9</v>
      </c>
      <c r="E99" s="258" t="s">
        <v>2176</v>
      </c>
      <c r="F99" s="258" t="s">
        <v>2163</v>
      </c>
      <c r="G99" s="260" t="s">
        <v>2164</v>
      </c>
      <c r="H99" s="260"/>
      <c r="I99" s="260" t="s">
        <v>2165</v>
      </c>
      <c r="J99" s="261" t="s">
        <v>2177</v>
      </c>
      <c r="K99" s="258"/>
      <c r="L99" s="258" t="s">
        <v>2745</v>
      </c>
      <c r="M99" s="260"/>
      <c r="N99" s="262" t="s">
        <v>2745</v>
      </c>
    </row>
    <row r="100" spans="1:14" ht="32.25" customHeight="1" x14ac:dyDescent="0.3">
      <c r="A100" s="257">
        <v>98</v>
      </c>
      <c r="B100" s="258" t="s">
        <v>2363</v>
      </c>
      <c r="C100" s="261" t="s">
        <v>2364</v>
      </c>
      <c r="D100" s="259">
        <v>1</v>
      </c>
      <c r="E100" s="258" t="s">
        <v>2365</v>
      </c>
      <c r="F100" s="258" t="s">
        <v>2163</v>
      </c>
      <c r="G100" s="260" t="s">
        <v>2164</v>
      </c>
      <c r="H100" s="260"/>
      <c r="I100" s="260" t="s">
        <v>2165</v>
      </c>
      <c r="J100" s="260" t="s">
        <v>2366</v>
      </c>
      <c r="K100" s="258" t="s">
        <v>2367</v>
      </c>
      <c r="L100" s="258" t="s">
        <v>2368</v>
      </c>
      <c r="M100" s="260" t="s">
        <v>2369</v>
      </c>
      <c r="N100" s="260" t="s">
        <v>2370</v>
      </c>
    </row>
    <row r="101" spans="1:14" x14ac:dyDescent="0.3">
      <c r="A101" s="257">
        <v>99</v>
      </c>
      <c r="B101" s="258" t="s">
        <v>2371</v>
      </c>
      <c r="C101" s="261" t="s">
        <v>2273</v>
      </c>
      <c r="D101" s="259">
        <v>1</v>
      </c>
      <c r="E101" s="258" t="s">
        <v>2176</v>
      </c>
      <c r="F101" s="258" t="s">
        <v>2163</v>
      </c>
      <c r="G101" s="260" t="s">
        <v>2164</v>
      </c>
      <c r="H101" s="260"/>
      <c r="I101" s="260" t="s">
        <v>2165</v>
      </c>
      <c r="J101" s="261" t="s">
        <v>2177</v>
      </c>
      <c r="K101" s="258"/>
      <c r="L101" s="258" t="s">
        <v>2745</v>
      </c>
      <c r="M101" s="260"/>
      <c r="N101" s="262" t="s">
        <v>2745</v>
      </c>
    </row>
    <row r="102" spans="1:14" x14ac:dyDescent="0.3">
      <c r="A102" s="257">
        <v>100</v>
      </c>
      <c r="B102" s="258" t="s">
        <v>2372</v>
      </c>
      <c r="C102" s="261" t="s">
        <v>2373</v>
      </c>
      <c r="D102" s="259">
        <v>1</v>
      </c>
      <c r="E102" s="258" t="s">
        <v>2176</v>
      </c>
      <c r="F102" s="258" t="s">
        <v>2163</v>
      </c>
      <c r="G102" s="260" t="s">
        <v>2164</v>
      </c>
      <c r="H102" s="260"/>
      <c r="I102" s="260" t="s">
        <v>2165</v>
      </c>
      <c r="J102" s="261" t="s">
        <v>2177</v>
      </c>
      <c r="K102" s="258"/>
      <c r="L102" s="258" t="s">
        <v>2745</v>
      </c>
      <c r="M102" s="260"/>
      <c r="N102" s="262" t="s">
        <v>2745</v>
      </c>
    </row>
    <row r="103" spans="1:14" ht="45" customHeight="1" x14ac:dyDescent="0.3">
      <c r="A103" s="257">
        <v>101</v>
      </c>
      <c r="B103" s="258" t="s">
        <v>2374</v>
      </c>
      <c r="C103" s="261" t="s">
        <v>2375</v>
      </c>
      <c r="D103" s="259">
        <v>1</v>
      </c>
      <c r="E103" s="258" t="s">
        <v>2176</v>
      </c>
      <c r="F103" s="258" t="s">
        <v>2163</v>
      </c>
      <c r="G103" s="260" t="s">
        <v>2164</v>
      </c>
      <c r="H103" s="260"/>
      <c r="I103" s="260" t="s">
        <v>2165</v>
      </c>
      <c r="J103" s="261" t="s">
        <v>2177</v>
      </c>
      <c r="K103" s="258"/>
      <c r="L103" s="258" t="s">
        <v>2745</v>
      </c>
      <c r="M103" s="260" t="s">
        <v>2376</v>
      </c>
      <c r="N103" s="258" t="s">
        <v>2377</v>
      </c>
    </row>
    <row r="104" spans="1:14" x14ac:dyDescent="0.3">
      <c r="A104" s="257">
        <v>102</v>
      </c>
      <c r="B104" s="258" t="s">
        <v>2378</v>
      </c>
      <c r="C104" s="261" t="s">
        <v>2379</v>
      </c>
      <c r="D104" s="259">
        <v>1</v>
      </c>
      <c r="E104" s="258" t="s">
        <v>193</v>
      </c>
      <c r="F104" s="258" t="s">
        <v>2163</v>
      </c>
      <c r="G104" s="260" t="s">
        <v>2164</v>
      </c>
      <c r="H104" s="260"/>
      <c r="I104" s="260" t="s">
        <v>2165</v>
      </c>
      <c r="J104" s="261" t="s">
        <v>524</v>
      </c>
      <c r="K104" s="258"/>
      <c r="L104" s="258" t="s">
        <v>2745</v>
      </c>
      <c r="M104" s="260"/>
      <c r="N104" s="262" t="s">
        <v>2745</v>
      </c>
    </row>
    <row r="105" spans="1:14" x14ac:dyDescent="0.3">
      <c r="A105" s="257">
        <v>103</v>
      </c>
      <c r="B105" s="258" t="s">
        <v>2380</v>
      </c>
      <c r="C105" s="261" t="s">
        <v>2354</v>
      </c>
      <c r="D105" s="259">
        <v>4</v>
      </c>
      <c r="E105" s="258" t="s">
        <v>2176</v>
      </c>
      <c r="F105" s="258" t="s">
        <v>2163</v>
      </c>
      <c r="G105" s="260" t="s">
        <v>2164</v>
      </c>
      <c r="H105" s="260"/>
      <c r="I105" s="260" t="s">
        <v>2165</v>
      </c>
      <c r="J105" s="261" t="s">
        <v>2177</v>
      </c>
      <c r="K105" s="258"/>
      <c r="L105" s="258" t="s">
        <v>2745</v>
      </c>
      <c r="M105" s="260"/>
      <c r="N105" s="262" t="s">
        <v>2745</v>
      </c>
    </row>
    <row r="106" spans="1:14" x14ac:dyDescent="0.3">
      <c r="A106" s="257">
        <v>104</v>
      </c>
      <c r="B106" s="258" t="s">
        <v>2381</v>
      </c>
      <c r="C106" s="261" t="s">
        <v>2382</v>
      </c>
      <c r="D106" s="259">
        <v>1</v>
      </c>
      <c r="E106" s="258" t="s">
        <v>2176</v>
      </c>
      <c r="F106" s="258" t="s">
        <v>2163</v>
      </c>
      <c r="G106" s="260" t="s">
        <v>2164</v>
      </c>
      <c r="H106" s="260"/>
      <c r="I106" s="260" t="s">
        <v>2165</v>
      </c>
      <c r="J106" s="261" t="s">
        <v>2177</v>
      </c>
      <c r="K106" s="258"/>
      <c r="L106" s="258" t="s">
        <v>2745</v>
      </c>
      <c r="M106" s="260"/>
      <c r="N106" s="262" t="s">
        <v>2745</v>
      </c>
    </row>
    <row r="107" spans="1:14" x14ac:dyDescent="0.3">
      <c r="A107" s="257">
        <v>105</v>
      </c>
      <c r="B107" s="258" t="s">
        <v>2383</v>
      </c>
      <c r="C107" s="261" t="s">
        <v>2362</v>
      </c>
      <c r="D107" s="259">
        <v>1</v>
      </c>
      <c r="E107" s="258" t="s">
        <v>2176</v>
      </c>
      <c r="F107" s="258" t="s">
        <v>2163</v>
      </c>
      <c r="G107" s="260" t="s">
        <v>2164</v>
      </c>
      <c r="H107" s="260"/>
      <c r="I107" s="260" t="s">
        <v>2165</v>
      </c>
      <c r="J107" s="261" t="s">
        <v>2177</v>
      </c>
      <c r="K107" s="258"/>
      <c r="L107" s="258" t="s">
        <v>2745</v>
      </c>
      <c r="M107" s="260"/>
      <c r="N107" s="262" t="s">
        <v>2745</v>
      </c>
    </row>
    <row r="108" spans="1:14" x14ac:dyDescent="0.3">
      <c r="A108" s="257">
        <v>106</v>
      </c>
      <c r="B108" s="258" t="s">
        <v>2347</v>
      </c>
      <c r="C108" s="261" t="s">
        <v>2348</v>
      </c>
      <c r="D108" s="259">
        <v>2</v>
      </c>
      <c r="E108" s="258" t="s">
        <v>2176</v>
      </c>
      <c r="F108" s="258" t="s">
        <v>2163</v>
      </c>
      <c r="G108" s="260" t="s">
        <v>2164</v>
      </c>
      <c r="H108" s="260"/>
      <c r="I108" s="260" t="s">
        <v>2165</v>
      </c>
      <c r="J108" s="261" t="s">
        <v>2177</v>
      </c>
      <c r="K108" s="258"/>
      <c r="L108" s="258" t="s">
        <v>2745</v>
      </c>
      <c r="M108" s="260"/>
      <c r="N108" s="262" t="s">
        <v>2745</v>
      </c>
    </row>
    <row r="109" spans="1:14" x14ac:dyDescent="0.3">
      <c r="A109" s="257">
        <v>107</v>
      </c>
      <c r="B109" s="258" t="s">
        <v>2384</v>
      </c>
      <c r="C109" s="261" t="s">
        <v>2385</v>
      </c>
      <c r="D109" s="259">
        <v>2</v>
      </c>
      <c r="E109" s="258" t="s">
        <v>2176</v>
      </c>
      <c r="F109" s="258" t="s">
        <v>2163</v>
      </c>
      <c r="G109" s="260" t="s">
        <v>2386</v>
      </c>
      <c r="H109" s="260"/>
      <c r="I109" s="260" t="s">
        <v>2165</v>
      </c>
      <c r="J109" s="261" t="s">
        <v>2177</v>
      </c>
      <c r="K109" s="258"/>
      <c r="L109" s="258" t="s">
        <v>2745</v>
      </c>
      <c r="M109" s="260"/>
      <c r="N109" s="262" t="s">
        <v>2745</v>
      </c>
    </row>
    <row r="110" spans="1:14" x14ac:dyDescent="0.3">
      <c r="A110" s="257">
        <v>108</v>
      </c>
      <c r="B110" s="258" t="s">
        <v>2387</v>
      </c>
      <c r="C110" s="261" t="s">
        <v>2388</v>
      </c>
      <c r="D110" s="259">
        <v>5</v>
      </c>
      <c r="E110" s="258" t="s">
        <v>2176</v>
      </c>
      <c r="F110" s="258" t="s">
        <v>2163</v>
      </c>
      <c r="G110" s="260" t="s">
        <v>2386</v>
      </c>
      <c r="H110" s="260"/>
      <c r="I110" s="260" t="s">
        <v>2165</v>
      </c>
      <c r="J110" s="261" t="s">
        <v>2177</v>
      </c>
      <c r="K110" s="258"/>
      <c r="L110" s="258" t="s">
        <v>2745</v>
      </c>
      <c r="M110" s="260"/>
      <c r="N110" s="262" t="s">
        <v>2745</v>
      </c>
    </row>
    <row r="111" spans="1:14" x14ac:dyDescent="0.3">
      <c r="A111" s="257">
        <v>109</v>
      </c>
      <c r="B111" s="258" t="s">
        <v>2208</v>
      </c>
      <c r="C111" s="261" t="s">
        <v>2389</v>
      </c>
      <c r="D111" s="259">
        <v>1</v>
      </c>
      <c r="E111" s="258" t="s">
        <v>2176</v>
      </c>
      <c r="F111" s="258" t="s">
        <v>2163</v>
      </c>
      <c r="G111" s="260" t="s">
        <v>2390</v>
      </c>
      <c r="H111" s="260"/>
      <c r="I111" s="260" t="s">
        <v>2165</v>
      </c>
      <c r="J111" s="261" t="s">
        <v>2177</v>
      </c>
      <c r="K111" s="258"/>
      <c r="L111" s="258" t="s">
        <v>2745</v>
      </c>
      <c r="M111" s="260"/>
      <c r="N111" s="262" t="s">
        <v>2745</v>
      </c>
    </row>
    <row r="112" spans="1:14" x14ac:dyDescent="0.3">
      <c r="A112" s="257">
        <v>110</v>
      </c>
      <c r="B112" s="258" t="s">
        <v>2391</v>
      </c>
      <c r="C112" s="261" t="s">
        <v>2392</v>
      </c>
      <c r="D112" s="259">
        <v>2</v>
      </c>
      <c r="E112" s="258" t="s">
        <v>2176</v>
      </c>
      <c r="F112" s="258" t="s">
        <v>2163</v>
      </c>
      <c r="G112" s="260" t="s">
        <v>2390</v>
      </c>
      <c r="H112" s="260"/>
      <c r="I112" s="260" t="s">
        <v>2165</v>
      </c>
      <c r="J112" s="261" t="s">
        <v>2177</v>
      </c>
      <c r="K112" s="258"/>
      <c r="L112" s="258" t="s">
        <v>2745</v>
      </c>
      <c r="M112" s="260"/>
      <c r="N112" s="262" t="s">
        <v>2745</v>
      </c>
    </row>
    <row r="113" spans="1:14" x14ac:dyDescent="0.3">
      <c r="A113" s="257">
        <v>111</v>
      </c>
      <c r="B113" s="258" t="s">
        <v>2393</v>
      </c>
      <c r="C113" s="261" t="s">
        <v>2394</v>
      </c>
      <c r="D113" s="259">
        <v>3</v>
      </c>
      <c r="E113" s="258" t="s">
        <v>2176</v>
      </c>
      <c r="F113" s="258" t="s">
        <v>2163</v>
      </c>
      <c r="G113" s="260" t="s">
        <v>2390</v>
      </c>
      <c r="H113" s="260"/>
      <c r="I113" s="260" t="s">
        <v>2165</v>
      </c>
      <c r="J113" s="261" t="s">
        <v>2177</v>
      </c>
      <c r="K113" s="258"/>
      <c r="L113" s="258" t="s">
        <v>2745</v>
      </c>
      <c r="M113" s="260"/>
      <c r="N113" s="262" t="s">
        <v>2745</v>
      </c>
    </row>
    <row r="114" spans="1:14" x14ac:dyDescent="0.3">
      <c r="A114" s="257">
        <v>112</v>
      </c>
      <c r="B114" s="258" t="s">
        <v>2217</v>
      </c>
      <c r="C114" s="261" t="s">
        <v>2218</v>
      </c>
      <c r="D114" s="259">
        <v>1</v>
      </c>
      <c r="E114" s="258" t="s">
        <v>193</v>
      </c>
      <c r="F114" s="258" t="s">
        <v>2163</v>
      </c>
      <c r="G114" s="260" t="s">
        <v>2395</v>
      </c>
      <c r="H114" s="260"/>
      <c r="I114" s="260" t="s">
        <v>2165</v>
      </c>
      <c r="J114" s="260" t="s">
        <v>524</v>
      </c>
      <c r="K114" s="258"/>
      <c r="L114" s="258" t="s">
        <v>2745</v>
      </c>
      <c r="M114" s="260"/>
      <c r="N114" s="262" t="s">
        <v>2745</v>
      </c>
    </row>
    <row r="115" spans="1:14" x14ac:dyDescent="0.3">
      <c r="A115" s="257">
        <v>113</v>
      </c>
      <c r="B115" s="258" t="s">
        <v>2396</v>
      </c>
      <c r="C115" s="261" t="s">
        <v>2397</v>
      </c>
      <c r="D115" s="259">
        <v>1</v>
      </c>
      <c r="E115" s="258" t="s">
        <v>2176</v>
      </c>
      <c r="F115" s="258" t="s">
        <v>2163</v>
      </c>
      <c r="G115" s="260" t="s">
        <v>2395</v>
      </c>
      <c r="H115" s="260"/>
      <c r="I115" s="260" t="s">
        <v>2165</v>
      </c>
      <c r="J115" s="260" t="s">
        <v>2177</v>
      </c>
      <c r="K115" s="258"/>
      <c r="L115" s="258" t="s">
        <v>2745</v>
      </c>
      <c r="M115" s="260"/>
      <c r="N115" s="262" t="s">
        <v>2745</v>
      </c>
    </row>
    <row r="116" spans="1:14" x14ac:dyDescent="0.3">
      <c r="A116" s="257">
        <v>114</v>
      </c>
      <c r="B116" s="258" t="s">
        <v>2294</v>
      </c>
      <c r="C116" s="261" t="s">
        <v>2295</v>
      </c>
      <c r="D116" s="259">
        <v>4</v>
      </c>
      <c r="E116" s="258" t="s">
        <v>2398</v>
      </c>
      <c r="F116" s="258" t="s">
        <v>2163</v>
      </c>
      <c r="G116" s="260" t="s">
        <v>2395</v>
      </c>
      <c r="H116" s="260"/>
      <c r="I116" s="260" t="s">
        <v>2165</v>
      </c>
      <c r="J116" s="261" t="s">
        <v>2399</v>
      </c>
      <c r="K116" s="258"/>
      <c r="L116" s="258" t="s">
        <v>2745</v>
      </c>
      <c r="M116" s="260"/>
      <c r="N116" s="262" t="s">
        <v>2745</v>
      </c>
    </row>
    <row r="117" spans="1:14" x14ac:dyDescent="0.3">
      <c r="A117" s="257">
        <v>115</v>
      </c>
      <c r="B117" s="258" t="s">
        <v>2296</v>
      </c>
      <c r="C117" s="261" t="s">
        <v>2297</v>
      </c>
      <c r="D117" s="259">
        <f>6-2</f>
        <v>4</v>
      </c>
      <c r="E117" s="258" t="s">
        <v>2398</v>
      </c>
      <c r="F117" s="258" t="s">
        <v>2163</v>
      </c>
      <c r="G117" s="260" t="s">
        <v>2395</v>
      </c>
      <c r="H117" s="260"/>
      <c r="I117" s="260" t="s">
        <v>2165</v>
      </c>
      <c r="J117" s="261" t="s">
        <v>2399</v>
      </c>
      <c r="K117" s="258"/>
      <c r="L117" s="258" t="s">
        <v>2745</v>
      </c>
      <c r="M117" s="260"/>
      <c r="N117" s="262" t="s">
        <v>2745</v>
      </c>
    </row>
    <row r="118" spans="1:14" x14ac:dyDescent="0.3">
      <c r="A118" s="257">
        <v>116</v>
      </c>
      <c r="B118" s="258" t="s">
        <v>2298</v>
      </c>
      <c r="C118" s="261" t="s">
        <v>2235</v>
      </c>
      <c r="D118" s="259">
        <f>7-2</f>
        <v>5</v>
      </c>
      <c r="E118" s="258" t="s">
        <v>2398</v>
      </c>
      <c r="F118" s="258" t="s">
        <v>2163</v>
      </c>
      <c r="G118" s="260" t="s">
        <v>2395</v>
      </c>
      <c r="H118" s="260"/>
      <c r="I118" s="260" t="s">
        <v>2165</v>
      </c>
      <c r="J118" s="261" t="s">
        <v>2399</v>
      </c>
      <c r="K118" s="258"/>
      <c r="L118" s="258" t="s">
        <v>2745</v>
      </c>
      <c r="M118" s="260"/>
      <c r="N118" s="262" t="s">
        <v>2745</v>
      </c>
    </row>
    <row r="119" spans="1:14" x14ac:dyDescent="0.3">
      <c r="A119" s="257">
        <v>117</v>
      </c>
      <c r="B119" s="258" t="s">
        <v>2299</v>
      </c>
      <c r="C119" s="261" t="s">
        <v>2239</v>
      </c>
      <c r="D119" s="259">
        <f>4-2</f>
        <v>2</v>
      </c>
      <c r="E119" s="258" t="s">
        <v>2398</v>
      </c>
      <c r="F119" s="258" t="s">
        <v>2163</v>
      </c>
      <c r="G119" s="260" t="s">
        <v>2395</v>
      </c>
      <c r="H119" s="260"/>
      <c r="I119" s="260" t="s">
        <v>2165</v>
      </c>
      <c r="J119" s="261" t="s">
        <v>2399</v>
      </c>
      <c r="K119" s="258"/>
      <c r="L119" s="258" t="s">
        <v>2745</v>
      </c>
      <c r="M119" s="260"/>
      <c r="N119" s="262" t="s">
        <v>2745</v>
      </c>
    </row>
    <row r="120" spans="1:14" x14ac:dyDescent="0.3">
      <c r="A120" s="257">
        <v>118</v>
      </c>
      <c r="B120" s="258" t="s">
        <v>2400</v>
      </c>
      <c r="C120" s="261" t="s">
        <v>2401</v>
      </c>
      <c r="D120" s="259">
        <v>3</v>
      </c>
      <c r="E120" s="258" t="s">
        <v>2176</v>
      </c>
      <c r="F120" s="258" t="s">
        <v>2163</v>
      </c>
      <c r="G120" s="260" t="s">
        <v>2395</v>
      </c>
      <c r="H120" s="260"/>
      <c r="I120" s="260" t="s">
        <v>2165</v>
      </c>
      <c r="J120" s="260" t="s">
        <v>2177</v>
      </c>
      <c r="K120" s="258"/>
      <c r="L120" s="258" t="s">
        <v>2745</v>
      </c>
      <c r="M120" s="260"/>
      <c r="N120" s="262" t="s">
        <v>2745</v>
      </c>
    </row>
    <row r="121" spans="1:14" x14ac:dyDescent="0.3">
      <c r="A121" s="257">
        <v>119</v>
      </c>
      <c r="B121" s="258" t="s">
        <v>2402</v>
      </c>
      <c r="C121" s="261" t="s">
        <v>2403</v>
      </c>
      <c r="D121" s="259">
        <v>3</v>
      </c>
      <c r="E121" s="258" t="s">
        <v>2404</v>
      </c>
      <c r="F121" s="258" t="s">
        <v>2163</v>
      </c>
      <c r="G121" s="260" t="s">
        <v>2395</v>
      </c>
      <c r="H121" s="260"/>
      <c r="I121" s="260" t="s">
        <v>2165</v>
      </c>
      <c r="J121" s="260" t="s">
        <v>2399</v>
      </c>
      <c r="K121" s="258" t="s">
        <v>2405</v>
      </c>
      <c r="L121" s="258" t="s">
        <v>2406</v>
      </c>
      <c r="M121" s="260" t="s">
        <v>2407</v>
      </c>
      <c r="N121" s="262" t="s">
        <v>2408</v>
      </c>
    </row>
    <row r="122" spans="1:14" x14ac:dyDescent="0.3">
      <c r="A122" s="257">
        <v>120</v>
      </c>
      <c r="B122" s="258" t="s">
        <v>2409</v>
      </c>
      <c r="C122" s="261" t="s">
        <v>2410</v>
      </c>
      <c r="D122" s="259">
        <v>1</v>
      </c>
      <c r="E122" s="258" t="s">
        <v>193</v>
      </c>
      <c r="F122" s="258" t="s">
        <v>11</v>
      </c>
      <c r="G122" s="260" t="s">
        <v>2411</v>
      </c>
      <c r="H122" s="260"/>
      <c r="I122" s="260" t="s">
        <v>2165</v>
      </c>
      <c r="J122" s="260" t="s">
        <v>524</v>
      </c>
      <c r="K122" s="258"/>
      <c r="L122" s="258" t="s">
        <v>2745</v>
      </c>
      <c r="M122" s="260"/>
      <c r="N122" s="262" t="s">
        <v>2745</v>
      </c>
    </row>
    <row r="123" spans="1:14" x14ac:dyDescent="0.3">
      <c r="A123" s="257">
        <v>121</v>
      </c>
      <c r="B123" s="258" t="s">
        <v>2412</v>
      </c>
      <c r="C123" s="261" t="s">
        <v>2413</v>
      </c>
      <c r="D123" s="259">
        <v>1</v>
      </c>
      <c r="E123" s="258" t="s">
        <v>193</v>
      </c>
      <c r="F123" s="258" t="s">
        <v>11</v>
      </c>
      <c r="G123" s="260" t="s">
        <v>2411</v>
      </c>
      <c r="H123" s="260"/>
      <c r="I123" s="260" t="s">
        <v>2165</v>
      </c>
      <c r="J123" s="260" t="s">
        <v>524</v>
      </c>
      <c r="K123" s="258"/>
      <c r="L123" s="258" t="s">
        <v>2745</v>
      </c>
      <c r="M123" s="260"/>
      <c r="N123" s="262" t="s">
        <v>2745</v>
      </c>
    </row>
    <row r="124" spans="1:14" x14ac:dyDescent="0.3">
      <c r="A124" s="257">
        <v>122</v>
      </c>
      <c r="B124" s="258" t="s">
        <v>2414</v>
      </c>
      <c r="C124" s="261" t="s">
        <v>2415</v>
      </c>
      <c r="D124" s="259">
        <v>1</v>
      </c>
      <c r="E124" s="258" t="s">
        <v>193</v>
      </c>
      <c r="F124" s="258" t="s">
        <v>11</v>
      </c>
      <c r="G124" s="260" t="s">
        <v>2411</v>
      </c>
      <c r="H124" s="260"/>
      <c r="I124" s="260" t="s">
        <v>2165</v>
      </c>
      <c r="J124" s="260" t="s">
        <v>524</v>
      </c>
      <c r="K124" s="258"/>
      <c r="L124" s="258" t="s">
        <v>2745</v>
      </c>
      <c r="M124" s="260"/>
      <c r="N124" s="262" t="s">
        <v>2745</v>
      </c>
    </row>
    <row r="125" spans="1:14" x14ac:dyDescent="0.3">
      <c r="A125" s="257">
        <v>123</v>
      </c>
      <c r="B125" s="258" t="s">
        <v>2416</v>
      </c>
      <c r="C125" s="261" t="s">
        <v>2417</v>
      </c>
      <c r="D125" s="259">
        <v>3</v>
      </c>
      <c r="E125" s="258" t="s">
        <v>193</v>
      </c>
      <c r="F125" s="258" t="s">
        <v>11</v>
      </c>
      <c r="G125" s="260" t="s">
        <v>2411</v>
      </c>
      <c r="H125" s="260"/>
      <c r="I125" s="260" t="s">
        <v>2165</v>
      </c>
      <c r="J125" s="260" t="s">
        <v>524</v>
      </c>
      <c r="K125" s="258"/>
      <c r="L125" s="258" t="s">
        <v>2745</v>
      </c>
      <c r="M125" s="260"/>
      <c r="N125" s="262" t="s">
        <v>2745</v>
      </c>
    </row>
    <row r="126" spans="1:14" x14ac:dyDescent="0.3">
      <c r="A126" s="257">
        <v>124</v>
      </c>
      <c r="B126" s="258" t="s">
        <v>2213</v>
      </c>
      <c r="C126" s="261" t="s">
        <v>2418</v>
      </c>
      <c r="D126" s="259">
        <v>2</v>
      </c>
      <c r="E126" s="258" t="s">
        <v>2176</v>
      </c>
      <c r="F126" s="258" t="s">
        <v>11</v>
      </c>
      <c r="G126" s="260" t="s">
        <v>2411</v>
      </c>
      <c r="H126" s="260"/>
      <c r="I126" s="260" t="s">
        <v>2165</v>
      </c>
      <c r="J126" s="260" t="s">
        <v>2177</v>
      </c>
      <c r="K126" s="258"/>
      <c r="L126" s="258" t="s">
        <v>2745</v>
      </c>
      <c r="M126" s="260"/>
      <c r="N126" s="262" t="s">
        <v>2745</v>
      </c>
    </row>
    <row r="127" spans="1:14" x14ac:dyDescent="0.3">
      <c r="A127" s="257">
        <v>125</v>
      </c>
      <c r="B127" s="258" t="s">
        <v>178</v>
      </c>
      <c r="C127" s="261" t="s">
        <v>2419</v>
      </c>
      <c r="D127" s="259">
        <v>1</v>
      </c>
      <c r="E127" s="258" t="s">
        <v>2230</v>
      </c>
      <c r="F127" s="258" t="s">
        <v>11</v>
      </c>
      <c r="G127" s="260" t="s">
        <v>2411</v>
      </c>
      <c r="H127" s="260"/>
      <c r="I127" s="260" t="s">
        <v>2165</v>
      </c>
      <c r="J127" s="261" t="s">
        <v>2231</v>
      </c>
      <c r="K127" s="258"/>
      <c r="L127" s="258" t="s">
        <v>2745</v>
      </c>
      <c r="M127" s="260"/>
      <c r="N127" s="262" t="s">
        <v>2745</v>
      </c>
    </row>
    <row r="128" spans="1:14" x14ac:dyDescent="0.3">
      <c r="A128" s="257">
        <v>126</v>
      </c>
      <c r="B128" s="258" t="s">
        <v>2420</v>
      </c>
      <c r="C128" s="261" t="s">
        <v>2421</v>
      </c>
      <c r="D128" s="259">
        <v>2</v>
      </c>
      <c r="E128" s="258" t="s">
        <v>2422</v>
      </c>
      <c r="F128" s="258" t="s">
        <v>11</v>
      </c>
      <c r="G128" s="260" t="s">
        <v>2411</v>
      </c>
      <c r="H128" s="260"/>
      <c r="I128" s="260" t="s">
        <v>2165</v>
      </c>
      <c r="J128" s="261" t="s">
        <v>2423</v>
      </c>
      <c r="K128" s="258"/>
      <c r="L128" s="258" t="s">
        <v>2745</v>
      </c>
      <c r="M128" s="260"/>
      <c r="N128" s="262" t="s">
        <v>2745</v>
      </c>
    </row>
    <row r="129" spans="1:14" x14ac:dyDescent="0.3">
      <c r="A129" s="257">
        <v>127</v>
      </c>
      <c r="B129" s="258" t="s">
        <v>2424</v>
      </c>
      <c r="C129" s="261" t="s">
        <v>2425</v>
      </c>
      <c r="D129" s="259">
        <v>1</v>
      </c>
      <c r="E129" s="258" t="s">
        <v>2176</v>
      </c>
      <c r="F129" s="258" t="s">
        <v>11</v>
      </c>
      <c r="G129" s="260" t="s">
        <v>2411</v>
      </c>
      <c r="H129" s="260"/>
      <c r="I129" s="260" t="s">
        <v>2165</v>
      </c>
      <c r="J129" s="261" t="s">
        <v>2177</v>
      </c>
      <c r="K129" s="258"/>
      <c r="L129" s="258" t="s">
        <v>2745</v>
      </c>
      <c r="M129" s="260"/>
      <c r="N129" s="262" t="s">
        <v>2745</v>
      </c>
    </row>
    <row r="130" spans="1:14" x14ac:dyDescent="0.3">
      <c r="A130" s="257">
        <v>128</v>
      </c>
      <c r="B130" s="258" t="s">
        <v>2426</v>
      </c>
      <c r="C130" s="261" t="s">
        <v>2427</v>
      </c>
      <c r="D130" s="259">
        <v>1</v>
      </c>
      <c r="E130" s="258" t="s">
        <v>193</v>
      </c>
      <c r="F130" s="258" t="s">
        <v>11</v>
      </c>
      <c r="G130" s="260" t="s">
        <v>2411</v>
      </c>
      <c r="H130" s="260"/>
      <c r="I130" s="260" t="s">
        <v>2165</v>
      </c>
      <c r="J130" s="261" t="s">
        <v>524</v>
      </c>
      <c r="K130" s="258"/>
      <c r="L130" s="258" t="s">
        <v>2745</v>
      </c>
      <c r="M130" s="260"/>
      <c r="N130" s="262" t="s">
        <v>2745</v>
      </c>
    </row>
    <row r="131" spans="1:14" x14ac:dyDescent="0.3">
      <c r="A131" s="257">
        <v>129</v>
      </c>
      <c r="B131" s="258" t="s">
        <v>2428</v>
      </c>
      <c r="C131" s="261" t="s">
        <v>2429</v>
      </c>
      <c r="D131" s="259">
        <v>1</v>
      </c>
      <c r="E131" s="258" t="s">
        <v>193</v>
      </c>
      <c r="F131" s="258" t="s">
        <v>11</v>
      </c>
      <c r="G131" s="260" t="s">
        <v>2411</v>
      </c>
      <c r="H131" s="260"/>
      <c r="I131" s="260" t="s">
        <v>2165</v>
      </c>
      <c r="J131" s="261" t="s">
        <v>524</v>
      </c>
      <c r="K131" s="258"/>
      <c r="L131" s="258" t="s">
        <v>2745</v>
      </c>
      <c r="M131" s="260"/>
      <c r="N131" s="262" t="s">
        <v>2745</v>
      </c>
    </row>
    <row r="132" spans="1:14" x14ac:dyDescent="0.3">
      <c r="A132" s="257">
        <v>130</v>
      </c>
      <c r="B132" s="258" t="s">
        <v>2225</v>
      </c>
      <c r="C132" s="261" t="s">
        <v>2226</v>
      </c>
      <c r="D132" s="259">
        <v>1</v>
      </c>
      <c r="E132" s="258" t="s">
        <v>193</v>
      </c>
      <c r="F132" s="258" t="s">
        <v>11</v>
      </c>
      <c r="G132" s="260" t="s">
        <v>2411</v>
      </c>
      <c r="H132" s="260"/>
      <c r="I132" s="260" t="s">
        <v>2165</v>
      </c>
      <c r="J132" s="261" t="s">
        <v>524</v>
      </c>
      <c r="K132" s="258"/>
      <c r="L132" s="258" t="s">
        <v>2745</v>
      </c>
      <c r="M132" s="260"/>
      <c r="N132" s="262" t="s">
        <v>2745</v>
      </c>
    </row>
    <row r="133" spans="1:14" x14ac:dyDescent="0.3">
      <c r="A133" s="257">
        <v>131</v>
      </c>
      <c r="B133" s="258" t="s">
        <v>2430</v>
      </c>
      <c r="C133" s="261" t="s">
        <v>2431</v>
      </c>
      <c r="D133" s="259">
        <v>1</v>
      </c>
      <c r="E133" s="258" t="s">
        <v>193</v>
      </c>
      <c r="F133" s="258" t="s">
        <v>11</v>
      </c>
      <c r="G133" s="260" t="s">
        <v>2411</v>
      </c>
      <c r="H133" s="260"/>
      <c r="I133" s="260" t="s">
        <v>2165</v>
      </c>
      <c r="J133" s="261" t="s">
        <v>524</v>
      </c>
      <c r="K133" s="258"/>
      <c r="L133" s="258" t="s">
        <v>2745</v>
      </c>
      <c r="M133" s="260"/>
      <c r="N133" s="262" t="s">
        <v>2745</v>
      </c>
    </row>
    <row r="134" spans="1:14" x14ac:dyDescent="0.3">
      <c r="A134" s="257">
        <v>132</v>
      </c>
      <c r="B134" s="258" t="s">
        <v>2432</v>
      </c>
      <c r="C134" s="261" t="s">
        <v>2433</v>
      </c>
      <c r="D134" s="259">
        <v>3</v>
      </c>
      <c r="E134" s="258" t="s">
        <v>2176</v>
      </c>
      <c r="F134" s="258" t="s">
        <v>11</v>
      </c>
      <c r="G134" s="260" t="s">
        <v>2411</v>
      </c>
      <c r="H134" s="260"/>
      <c r="I134" s="260" t="s">
        <v>2165</v>
      </c>
      <c r="J134" s="261" t="s">
        <v>2177</v>
      </c>
      <c r="K134" s="258"/>
      <c r="L134" s="258" t="s">
        <v>2745</v>
      </c>
      <c r="M134" s="260"/>
      <c r="N134" s="262" t="s">
        <v>2745</v>
      </c>
    </row>
    <row r="135" spans="1:14" x14ac:dyDescent="0.3">
      <c r="A135" s="257">
        <v>133</v>
      </c>
      <c r="B135" s="258" t="s">
        <v>2434</v>
      </c>
      <c r="C135" s="261" t="s">
        <v>2435</v>
      </c>
      <c r="D135" s="259">
        <v>1</v>
      </c>
      <c r="E135" s="258" t="s">
        <v>2176</v>
      </c>
      <c r="F135" s="258" t="s">
        <v>11</v>
      </c>
      <c r="G135" s="260" t="s">
        <v>2411</v>
      </c>
      <c r="H135" s="260"/>
      <c r="I135" s="260" t="s">
        <v>2165</v>
      </c>
      <c r="J135" s="261" t="s">
        <v>2177</v>
      </c>
      <c r="K135" s="258"/>
      <c r="L135" s="258" t="s">
        <v>2745</v>
      </c>
      <c r="M135" s="260"/>
      <c r="N135" s="262" t="s">
        <v>2745</v>
      </c>
    </row>
    <row r="136" spans="1:14" x14ac:dyDescent="0.3">
      <c r="A136" s="257">
        <v>134</v>
      </c>
      <c r="B136" s="258" t="s">
        <v>2436</v>
      </c>
      <c r="C136" s="261" t="s">
        <v>2437</v>
      </c>
      <c r="D136" s="259">
        <v>2</v>
      </c>
      <c r="E136" s="258" t="s">
        <v>2176</v>
      </c>
      <c r="F136" s="258" t="s">
        <v>11</v>
      </c>
      <c r="G136" s="260" t="s">
        <v>2411</v>
      </c>
      <c r="H136" s="260"/>
      <c r="I136" s="260" t="s">
        <v>2165</v>
      </c>
      <c r="J136" s="261" t="s">
        <v>2177</v>
      </c>
      <c r="K136" s="258"/>
      <c r="L136" s="258" t="s">
        <v>2745</v>
      </c>
      <c r="M136" s="260"/>
      <c r="N136" s="262" t="s">
        <v>2745</v>
      </c>
    </row>
    <row r="137" spans="1:14" x14ac:dyDescent="0.3">
      <c r="A137" s="257">
        <v>135</v>
      </c>
      <c r="B137" s="258" t="s">
        <v>2282</v>
      </c>
      <c r="C137" s="261" t="s">
        <v>2283</v>
      </c>
      <c r="D137" s="259">
        <v>2</v>
      </c>
      <c r="E137" s="258" t="s">
        <v>2176</v>
      </c>
      <c r="F137" s="258" t="s">
        <v>11</v>
      </c>
      <c r="G137" s="260" t="s">
        <v>2411</v>
      </c>
      <c r="H137" s="260"/>
      <c r="I137" s="260" t="s">
        <v>2165</v>
      </c>
      <c r="J137" s="261" t="s">
        <v>2177</v>
      </c>
      <c r="K137" s="258"/>
      <c r="L137" s="258" t="s">
        <v>2745</v>
      </c>
      <c r="M137" s="260"/>
      <c r="N137" s="262" t="s">
        <v>2745</v>
      </c>
    </row>
    <row r="138" spans="1:14" x14ac:dyDescent="0.3">
      <c r="A138" s="257">
        <v>136</v>
      </c>
      <c r="B138" s="258" t="s">
        <v>2280</v>
      </c>
      <c r="C138" s="261" t="s">
        <v>2281</v>
      </c>
      <c r="D138" s="259">
        <v>2</v>
      </c>
      <c r="E138" s="258" t="s">
        <v>2176</v>
      </c>
      <c r="F138" s="258" t="s">
        <v>11</v>
      </c>
      <c r="G138" s="260" t="s">
        <v>2411</v>
      </c>
      <c r="H138" s="260"/>
      <c r="I138" s="260" t="s">
        <v>2165</v>
      </c>
      <c r="J138" s="261" t="s">
        <v>2177</v>
      </c>
      <c r="K138" s="258"/>
      <c r="L138" s="258" t="s">
        <v>2745</v>
      </c>
      <c r="M138" s="260"/>
      <c r="N138" s="262" t="s">
        <v>2745</v>
      </c>
    </row>
    <row r="139" spans="1:14" x14ac:dyDescent="0.3">
      <c r="A139" s="257">
        <v>137</v>
      </c>
      <c r="B139" s="258" t="s">
        <v>2234</v>
      </c>
      <c r="C139" s="261" t="s">
        <v>2235</v>
      </c>
      <c r="D139" s="259">
        <v>3</v>
      </c>
      <c r="E139" s="258" t="s">
        <v>2176</v>
      </c>
      <c r="F139" s="258" t="s">
        <v>11</v>
      </c>
      <c r="G139" s="260" t="s">
        <v>2411</v>
      </c>
      <c r="H139" s="260"/>
      <c r="I139" s="260" t="s">
        <v>2165</v>
      </c>
      <c r="J139" s="261" t="s">
        <v>2177</v>
      </c>
      <c r="K139" s="258"/>
      <c r="L139" s="258" t="s">
        <v>2745</v>
      </c>
      <c r="M139" s="260"/>
      <c r="N139" s="262" t="s">
        <v>2745</v>
      </c>
    </row>
    <row r="140" spans="1:14" x14ac:dyDescent="0.3">
      <c r="A140" s="257">
        <v>138</v>
      </c>
      <c r="B140" s="258" t="s">
        <v>2438</v>
      </c>
      <c r="C140" s="261" t="s">
        <v>2439</v>
      </c>
      <c r="D140" s="259">
        <v>1</v>
      </c>
      <c r="E140" s="258" t="s">
        <v>2176</v>
      </c>
      <c r="F140" s="258" t="s">
        <v>11</v>
      </c>
      <c r="G140" s="260" t="s">
        <v>2411</v>
      </c>
      <c r="H140" s="260"/>
      <c r="I140" s="260" t="s">
        <v>2165</v>
      </c>
      <c r="J140" s="261" t="s">
        <v>2177</v>
      </c>
      <c r="K140" s="258"/>
      <c r="L140" s="258" t="s">
        <v>2745</v>
      </c>
      <c r="M140" s="260"/>
      <c r="N140" s="262" t="s">
        <v>2745</v>
      </c>
    </row>
    <row r="141" spans="1:14" x14ac:dyDescent="0.3">
      <c r="A141" s="257">
        <v>139</v>
      </c>
      <c r="B141" s="258" t="s">
        <v>2440</v>
      </c>
      <c r="C141" s="261" t="s">
        <v>2441</v>
      </c>
      <c r="D141" s="259">
        <v>1</v>
      </c>
      <c r="E141" s="258" t="s">
        <v>2176</v>
      </c>
      <c r="F141" s="258" t="s">
        <v>11</v>
      </c>
      <c r="G141" s="260" t="s">
        <v>2411</v>
      </c>
      <c r="H141" s="260"/>
      <c r="I141" s="260" t="s">
        <v>2165</v>
      </c>
      <c r="J141" s="261" t="s">
        <v>2177</v>
      </c>
      <c r="K141" s="258"/>
      <c r="L141" s="258" t="s">
        <v>2745</v>
      </c>
      <c r="M141" s="260"/>
      <c r="N141" s="262" t="s">
        <v>2745</v>
      </c>
    </row>
    <row r="142" spans="1:14" x14ac:dyDescent="0.3">
      <c r="A142" s="257">
        <v>140</v>
      </c>
      <c r="B142" s="258" t="s">
        <v>2234</v>
      </c>
      <c r="C142" s="261" t="s">
        <v>2235</v>
      </c>
      <c r="D142" s="259">
        <v>1</v>
      </c>
      <c r="E142" s="258" t="s">
        <v>2176</v>
      </c>
      <c r="F142" s="258" t="s">
        <v>11</v>
      </c>
      <c r="G142" s="260" t="s">
        <v>2411</v>
      </c>
      <c r="H142" s="260"/>
      <c r="I142" s="260" t="s">
        <v>2165</v>
      </c>
      <c r="J142" s="261" t="s">
        <v>2177</v>
      </c>
      <c r="K142" s="258"/>
      <c r="L142" s="258" t="s">
        <v>2745</v>
      </c>
      <c r="M142" s="260"/>
      <c r="N142" s="262" t="s">
        <v>2745</v>
      </c>
    </row>
    <row r="143" spans="1:14" x14ac:dyDescent="0.3">
      <c r="A143" s="257">
        <v>141</v>
      </c>
      <c r="B143" s="258" t="s">
        <v>2442</v>
      </c>
      <c r="C143" s="261" t="s">
        <v>2443</v>
      </c>
      <c r="D143" s="259">
        <v>1</v>
      </c>
      <c r="E143" s="258" t="s">
        <v>2176</v>
      </c>
      <c r="F143" s="258" t="s">
        <v>11</v>
      </c>
      <c r="G143" s="260" t="s">
        <v>2411</v>
      </c>
      <c r="H143" s="260"/>
      <c r="I143" s="260" t="s">
        <v>2165</v>
      </c>
      <c r="J143" s="261" t="s">
        <v>2177</v>
      </c>
      <c r="K143" s="258"/>
      <c r="L143" s="258" t="s">
        <v>2745</v>
      </c>
      <c r="M143" s="260"/>
      <c r="N143" s="262" t="s">
        <v>2745</v>
      </c>
    </row>
    <row r="144" spans="1:14" x14ac:dyDescent="0.3">
      <c r="A144" s="257">
        <v>142</v>
      </c>
      <c r="B144" s="258" t="s">
        <v>2444</v>
      </c>
      <c r="C144" s="261" t="s">
        <v>2445</v>
      </c>
      <c r="D144" s="259">
        <v>3</v>
      </c>
      <c r="E144" s="258" t="s">
        <v>2176</v>
      </c>
      <c r="F144" s="258" t="s">
        <v>11</v>
      </c>
      <c r="G144" s="260" t="s">
        <v>2411</v>
      </c>
      <c r="H144" s="260"/>
      <c r="I144" s="260" t="s">
        <v>2165</v>
      </c>
      <c r="J144" s="261" t="s">
        <v>2177</v>
      </c>
      <c r="K144" s="258"/>
      <c r="L144" s="258" t="s">
        <v>2745</v>
      </c>
      <c r="M144" s="260"/>
      <c r="N144" s="262" t="s">
        <v>2745</v>
      </c>
    </row>
    <row r="145" spans="1:14" x14ac:dyDescent="0.3">
      <c r="A145" s="257">
        <v>143</v>
      </c>
      <c r="B145" s="258" t="s">
        <v>2246</v>
      </c>
      <c r="C145" s="261" t="s">
        <v>2247</v>
      </c>
      <c r="D145" s="259">
        <v>2</v>
      </c>
      <c r="E145" s="258" t="s">
        <v>2176</v>
      </c>
      <c r="F145" s="258" t="s">
        <v>11</v>
      </c>
      <c r="G145" s="260" t="s">
        <v>2411</v>
      </c>
      <c r="H145" s="260"/>
      <c r="I145" s="260" t="s">
        <v>2165</v>
      </c>
      <c r="J145" s="261" t="s">
        <v>2177</v>
      </c>
      <c r="K145" s="258"/>
      <c r="L145" s="258" t="s">
        <v>2745</v>
      </c>
      <c r="M145" s="260"/>
      <c r="N145" s="262" t="s">
        <v>2745</v>
      </c>
    </row>
    <row r="146" spans="1:14" x14ac:dyDescent="0.3">
      <c r="A146" s="257">
        <v>144</v>
      </c>
      <c r="B146" s="258" t="s">
        <v>2248</v>
      </c>
      <c r="C146" s="261" t="s">
        <v>2249</v>
      </c>
      <c r="D146" s="259">
        <v>1</v>
      </c>
      <c r="E146" s="258" t="s">
        <v>2176</v>
      </c>
      <c r="F146" s="258" t="s">
        <v>11</v>
      </c>
      <c r="G146" s="260" t="s">
        <v>2411</v>
      </c>
      <c r="H146" s="260"/>
      <c r="I146" s="260" t="s">
        <v>2165</v>
      </c>
      <c r="J146" s="261" t="s">
        <v>2177</v>
      </c>
      <c r="K146" s="258"/>
      <c r="L146" s="258" t="s">
        <v>2745</v>
      </c>
      <c r="M146" s="260"/>
      <c r="N146" s="262" t="s">
        <v>2745</v>
      </c>
    </row>
    <row r="147" spans="1:14" x14ac:dyDescent="0.3">
      <c r="A147" s="257">
        <v>145</v>
      </c>
      <c r="B147" s="258" t="s">
        <v>2446</v>
      </c>
      <c r="C147" s="261" t="s">
        <v>2447</v>
      </c>
      <c r="D147" s="259">
        <v>1</v>
      </c>
      <c r="E147" s="258" t="s">
        <v>2176</v>
      </c>
      <c r="F147" s="258" t="s">
        <v>11</v>
      </c>
      <c r="G147" s="260" t="s">
        <v>2411</v>
      </c>
      <c r="H147" s="260"/>
      <c r="I147" s="260" t="s">
        <v>2165</v>
      </c>
      <c r="J147" s="261" t="s">
        <v>2177</v>
      </c>
      <c r="K147" s="258"/>
      <c r="L147" s="258" t="s">
        <v>2745</v>
      </c>
      <c r="M147" s="260"/>
      <c r="N147" s="262" t="s">
        <v>2745</v>
      </c>
    </row>
    <row r="148" spans="1:14" x14ac:dyDescent="0.3">
      <c r="A148" s="257">
        <v>146</v>
      </c>
      <c r="B148" s="258" t="s">
        <v>2448</v>
      </c>
      <c r="C148" s="261" t="s">
        <v>2449</v>
      </c>
      <c r="D148" s="259">
        <v>1</v>
      </c>
      <c r="E148" s="258" t="s">
        <v>2176</v>
      </c>
      <c r="F148" s="258" t="s">
        <v>11</v>
      </c>
      <c r="G148" s="260" t="s">
        <v>2411</v>
      </c>
      <c r="H148" s="260"/>
      <c r="I148" s="260" t="s">
        <v>2165</v>
      </c>
      <c r="J148" s="261" t="s">
        <v>2177</v>
      </c>
      <c r="K148" s="258"/>
      <c r="L148" s="258" t="s">
        <v>2745</v>
      </c>
      <c r="M148" s="260"/>
      <c r="N148" s="262" t="s">
        <v>2745</v>
      </c>
    </row>
    <row r="149" spans="1:14" x14ac:dyDescent="0.3">
      <c r="A149" s="257">
        <v>147</v>
      </c>
      <c r="B149" s="258" t="s">
        <v>2450</v>
      </c>
      <c r="C149" s="261" t="s">
        <v>2295</v>
      </c>
      <c r="D149" s="259">
        <v>1</v>
      </c>
      <c r="E149" s="258" t="s">
        <v>2176</v>
      </c>
      <c r="F149" s="258" t="s">
        <v>11</v>
      </c>
      <c r="G149" s="260" t="s">
        <v>2411</v>
      </c>
      <c r="H149" s="260"/>
      <c r="I149" s="260" t="s">
        <v>2165</v>
      </c>
      <c r="J149" s="261" t="s">
        <v>2177</v>
      </c>
      <c r="K149" s="258"/>
      <c r="L149" s="258" t="s">
        <v>2745</v>
      </c>
      <c r="M149" s="260"/>
      <c r="N149" s="262" t="s">
        <v>2745</v>
      </c>
    </row>
    <row r="150" spans="1:14" x14ac:dyDescent="0.3">
      <c r="A150" s="257">
        <v>148</v>
      </c>
      <c r="B150" s="258" t="s">
        <v>2451</v>
      </c>
      <c r="C150" s="261" t="s">
        <v>2452</v>
      </c>
      <c r="D150" s="259">
        <v>1</v>
      </c>
      <c r="E150" s="258" t="s">
        <v>2176</v>
      </c>
      <c r="F150" s="258" t="s">
        <v>11</v>
      </c>
      <c r="G150" s="260" t="s">
        <v>2411</v>
      </c>
      <c r="H150" s="260"/>
      <c r="I150" s="260" t="s">
        <v>2165</v>
      </c>
      <c r="J150" s="261" t="s">
        <v>2177</v>
      </c>
      <c r="K150" s="258"/>
      <c r="L150" s="258" t="s">
        <v>2745</v>
      </c>
      <c r="M150" s="260"/>
      <c r="N150" s="262" t="s">
        <v>2745</v>
      </c>
    </row>
    <row r="151" spans="1:14" x14ac:dyDescent="0.3">
      <c r="A151" s="257">
        <v>149</v>
      </c>
      <c r="B151" s="258" t="s">
        <v>2453</v>
      </c>
      <c r="C151" s="261" t="s">
        <v>2454</v>
      </c>
      <c r="D151" s="259">
        <v>1</v>
      </c>
      <c r="E151" s="258" t="s">
        <v>2176</v>
      </c>
      <c r="F151" s="258" t="s">
        <v>11</v>
      </c>
      <c r="G151" s="260" t="s">
        <v>2411</v>
      </c>
      <c r="H151" s="260"/>
      <c r="I151" s="260" t="s">
        <v>2165</v>
      </c>
      <c r="J151" s="261" t="s">
        <v>2177</v>
      </c>
      <c r="K151" s="258"/>
      <c r="L151" s="258" t="s">
        <v>2745</v>
      </c>
      <c r="M151" s="260"/>
      <c r="N151" s="262" t="s">
        <v>2745</v>
      </c>
    </row>
    <row r="152" spans="1:14" x14ac:dyDescent="0.3">
      <c r="A152" s="257">
        <v>150</v>
      </c>
      <c r="B152" s="258" t="s">
        <v>2455</v>
      </c>
      <c r="C152" s="261" t="s">
        <v>2456</v>
      </c>
      <c r="D152" s="259">
        <v>1</v>
      </c>
      <c r="E152" s="258" t="s">
        <v>2176</v>
      </c>
      <c r="F152" s="258" t="s">
        <v>11</v>
      </c>
      <c r="G152" s="260" t="s">
        <v>2411</v>
      </c>
      <c r="H152" s="260"/>
      <c r="I152" s="260" t="s">
        <v>2165</v>
      </c>
      <c r="J152" s="261" t="s">
        <v>2177</v>
      </c>
      <c r="K152" s="258"/>
      <c r="L152" s="258" t="s">
        <v>2745</v>
      </c>
      <c r="M152" s="260"/>
      <c r="N152" s="262" t="s">
        <v>2745</v>
      </c>
    </row>
    <row r="153" spans="1:14" x14ac:dyDescent="0.3">
      <c r="A153" s="257">
        <v>151</v>
      </c>
      <c r="B153" s="258" t="s">
        <v>2457</v>
      </c>
      <c r="C153" s="261" t="s">
        <v>2303</v>
      </c>
      <c r="D153" s="259">
        <v>1</v>
      </c>
      <c r="E153" s="258" t="s">
        <v>2176</v>
      </c>
      <c r="F153" s="258" t="s">
        <v>11</v>
      </c>
      <c r="G153" s="260" t="s">
        <v>2411</v>
      </c>
      <c r="H153" s="260"/>
      <c r="I153" s="260" t="s">
        <v>2165</v>
      </c>
      <c r="J153" s="261" t="s">
        <v>2177</v>
      </c>
      <c r="K153" s="258"/>
      <c r="L153" s="258" t="s">
        <v>2745</v>
      </c>
      <c r="M153" s="260"/>
      <c r="N153" s="262" t="s">
        <v>2745</v>
      </c>
    </row>
    <row r="154" spans="1:14" x14ac:dyDescent="0.3">
      <c r="A154" s="257">
        <v>152</v>
      </c>
      <c r="B154" s="258" t="s">
        <v>2458</v>
      </c>
      <c r="C154" s="261" t="s">
        <v>2459</v>
      </c>
      <c r="D154" s="259">
        <v>2</v>
      </c>
      <c r="E154" s="258" t="s">
        <v>2176</v>
      </c>
      <c r="F154" s="258" t="s">
        <v>11</v>
      </c>
      <c r="G154" s="260" t="s">
        <v>2411</v>
      </c>
      <c r="H154" s="260"/>
      <c r="I154" s="260" t="s">
        <v>2165</v>
      </c>
      <c r="J154" s="261" t="s">
        <v>2177</v>
      </c>
      <c r="K154" s="258"/>
      <c r="L154" s="258" t="s">
        <v>2745</v>
      </c>
      <c r="M154" s="260"/>
      <c r="N154" s="262" t="s">
        <v>2745</v>
      </c>
    </row>
    <row r="155" spans="1:14" x14ac:dyDescent="0.3">
      <c r="A155" s="257">
        <v>153</v>
      </c>
      <c r="B155" s="258" t="s">
        <v>2460</v>
      </c>
      <c r="C155" s="261" t="s">
        <v>2461</v>
      </c>
      <c r="D155" s="259">
        <v>1</v>
      </c>
      <c r="E155" s="258" t="s">
        <v>2422</v>
      </c>
      <c r="F155" s="258" t="s">
        <v>11</v>
      </c>
      <c r="G155" s="260" t="s">
        <v>2411</v>
      </c>
      <c r="H155" s="260"/>
      <c r="I155" s="260" t="s">
        <v>2165</v>
      </c>
      <c r="J155" s="260" t="s">
        <v>2423</v>
      </c>
      <c r="K155" s="258"/>
      <c r="L155" s="258" t="s">
        <v>2745</v>
      </c>
      <c r="M155" s="260"/>
      <c r="N155" s="262" t="s">
        <v>2745</v>
      </c>
    </row>
    <row r="156" spans="1:14" x14ac:dyDescent="0.3">
      <c r="A156" s="257">
        <v>154</v>
      </c>
      <c r="B156" s="258" t="s">
        <v>2462</v>
      </c>
      <c r="C156" s="261" t="s">
        <v>2463</v>
      </c>
      <c r="D156" s="259">
        <v>1</v>
      </c>
      <c r="E156" s="258" t="s">
        <v>2176</v>
      </c>
      <c r="F156" s="258" t="s">
        <v>11</v>
      </c>
      <c r="G156" s="260" t="s">
        <v>2411</v>
      </c>
      <c r="H156" s="260"/>
      <c r="I156" s="260" t="s">
        <v>2165</v>
      </c>
      <c r="J156" s="260" t="s">
        <v>2177</v>
      </c>
      <c r="K156" s="258"/>
      <c r="L156" s="258" t="s">
        <v>2745</v>
      </c>
      <c r="M156" s="260"/>
      <c r="N156" s="262" t="s">
        <v>2745</v>
      </c>
    </row>
    <row r="157" spans="1:14" x14ac:dyDescent="0.3">
      <c r="A157" s="257">
        <v>155</v>
      </c>
      <c r="B157" s="258" t="s">
        <v>2464</v>
      </c>
      <c r="C157" s="261" t="s">
        <v>2465</v>
      </c>
      <c r="D157" s="259">
        <v>1</v>
      </c>
      <c r="E157" s="258" t="s">
        <v>2176</v>
      </c>
      <c r="F157" s="258" t="s">
        <v>11</v>
      </c>
      <c r="G157" s="260" t="s">
        <v>2466</v>
      </c>
      <c r="H157" s="260"/>
      <c r="I157" s="260" t="s">
        <v>2165</v>
      </c>
      <c r="J157" s="260" t="s">
        <v>2177</v>
      </c>
      <c r="K157" s="258"/>
      <c r="L157" s="258" t="s">
        <v>2745</v>
      </c>
      <c r="M157" s="260"/>
      <c r="N157" s="262" t="s">
        <v>2745</v>
      </c>
    </row>
    <row r="158" spans="1:14" x14ac:dyDescent="0.3">
      <c r="A158" s="257">
        <v>156</v>
      </c>
      <c r="B158" s="258" t="s">
        <v>2467</v>
      </c>
      <c r="C158" s="261" t="s">
        <v>2468</v>
      </c>
      <c r="D158" s="259">
        <v>1</v>
      </c>
      <c r="E158" s="258" t="s">
        <v>2176</v>
      </c>
      <c r="F158" s="258" t="s">
        <v>11</v>
      </c>
      <c r="G158" s="260" t="s">
        <v>2466</v>
      </c>
      <c r="H158" s="260"/>
      <c r="I158" s="260" t="s">
        <v>2165</v>
      </c>
      <c r="J158" s="260" t="s">
        <v>2177</v>
      </c>
      <c r="K158" s="258"/>
      <c r="L158" s="258" t="s">
        <v>2745</v>
      </c>
      <c r="M158" s="260"/>
      <c r="N158" s="262" t="s">
        <v>2745</v>
      </c>
    </row>
    <row r="159" spans="1:14" x14ac:dyDescent="0.3">
      <c r="A159" s="257">
        <v>157</v>
      </c>
      <c r="B159" s="258" t="s">
        <v>2469</v>
      </c>
      <c r="C159" s="261" t="s">
        <v>2470</v>
      </c>
      <c r="D159" s="259">
        <v>1</v>
      </c>
      <c r="E159" s="258" t="s">
        <v>2176</v>
      </c>
      <c r="F159" s="258" t="s">
        <v>11</v>
      </c>
      <c r="G159" s="260" t="s">
        <v>2466</v>
      </c>
      <c r="H159" s="260"/>
      <c r="I159" s="260" t="s">
        <v>2165</v>
      </c>
      <c r="J159" s="260" t="s">
        <v>2177</v>
      </c>
      <c r="K159" s="258"/>
      <c r="L159" s="258" t="s">
        <v>2745</v>
      </c>
      <c r="M159" s="260"/>
      <c r="N159" s="262" t="s">
        <v>2745</v>
      </c>
    </row>
    <row r="160" spans="1:14" x14ac:dyDescent="0.3">
      <c r="A160" s="257">
        <v>158</v>
      </c>
      <c r="B160" s="258" t="s">
        <v>2471</v>
      </c>
      <c r="C160" s="261" t="s">
        <v>2472</v>
      </c>
      <c r="D160" s="259">
        <v>3</v>
      </c>
      <c r="E160" s="258" t="s">
        <v>2162</v>
      </c>
      <c r="F160" s="258" t="s">
        <v>11</v>
      </c>
      <c r="G160" s="260" t="s">
        <v>2466</v>
      </c>
      <c r="H160" s="260"/>
      <c r="I160" s="260" t="s">
        <v>2165</v>
      </c>
      <c r="J160" s="260" t="s">
        <v>521</v>
      </c>
      <c r="K160" s="258"/>
      <c r="L160" s="258" t="s">
        <v>2745</v>
      </c>
      <c r="M160" s="260"/>
      <c r="N160" s="262" t="s">
        <v>2745</v>
      </c>
    </row>
    <row r="161" spans="1:14" x14ac:dyDescent="0.3">
      <c r="A161" s="257">
        <v>159</v>
      </c>
      <c r="B161" s="258" t="s">
        <v>2473</v>
      </c>
      <c r="C161" s="261" t="s">
        <v>2474</v>
      </c>
      <c r="D161" s="259">
        <v>1</v>
      </c>
      <c r="E161" s="258" t="s">
        <v>2176</v>
      </c>
      <c r="F161" s="258" t="s">
        <v>11</v>
      </c>
      <c r="G161" s="260" t="s">
        <v>2466</v>
      </c>
      <c r="H161" s="260"/>
      <c r="I161" s="260" t="s">
        <v>2165</v>
      </c>
      <c r="J161" s="260" t="s">
        <v>2177</v>
      </c>
      <c r="K161" s="258"/>
      <c r="L161" s="258" t="s">
        <v>2745</v>
      </c>
      <c r="M161" s="260"/>
      <c r="N161" s="262" t="s">
        <v>2745</v>
      </c>
    </row>
    <row r="162" spans="1:14" x14ac:dyDescent="0.3">
      <c r="A162" s="257">
        <v>160</v>
      </c>
      <c r="B162" s="258" t="s">
        <v>2475</v>
      </c>
      <c r="C162" s="261" t="s">
        <v>2476</v>
      </c>
      <c r="D162" s="259">
        <v>1</v>
      </c>
      <c r="E162" s="258" t="s">
        <v>2176</v>
      </c>
      <c r="F162" s="258" t="s">
        <v>11</v>
      </c>
      <c r="G162" s="260" t="s">
        <v>2466</v>
      </c>
      <c r="H162" s="260"/>
      <c r="I162" s="260" t="s">
        <v>2165</v>
      </c>
      <c r="J162" s="260" t="s">
        <v>2177</v>
      </c>
      <c r="K162" s="258"/>
      <c r="L162" s="258" t="s">
        <v>2745</v>
      </c>
      <c r="M162" s="260"/>
      <c r="N162" s="262" t="s">
        <v>2745</v>
      </c>
    </row>
    <row r="163" spans="1:14" x14ac:dyDescent="0.3">
      <c r="A163" s="257">
        <v>161</v>
      </c>
      <c r="B163" s="258" t="s">
        <v>2477</v>
      </c>
      <c r="C163" s="261" t="s">
        <v>2478</v>
      </c>
      <c r="D163" s="259">
        <v>1</v>
      </c>
      <c r="E163" s="258" t="s">
        <v>2176</v>
      </c>
      <c r="F163" s="258" t="s">
        <v>11</v>
      </c>
      <c r="G163" s="260" t="s">
        <v>2466</v>
      </c>
      <c r="H163" s="260"/>
      <c r="I163" s="260" t="s">
        <v>2165</v>
      </c>
      <c r="J163" s="260" t="s">
        <v>2177</v>
      </c>
      <c r="K163" s="258"/>
      <c r="L163" s="258" t="s">
        <v>2745</v>
      </c>
      <c r="M163" s="260"/>
      <c r="N163" s="262" t="s">
        <v>2745</v>
      </c>
    </row>
    <row r="164" spans="1:14" x14ac:dyDescent="0.3">
      <c r="A164" s="257">
        <v>162</v>
      </c>
      <c r="B164" s="258" t="s">
        <v>2479</v>
      </c>
      <c r="C164" s="261" t="s">
        <v>2480</v>
      </c>
      <c r="D164" s="259">
        <v>2</v>
      </c>
      <c r="E164" s="258" t="s">
        <v>2176</v>
      </c>
      <c r="F164" s="258" t="s">
        <v>11</v>
      </c>
      <c r="G164" s="260" t="s">
        <v>2466</v>
      </c>
      <c r="H164" s="260"/>
      <c r="I164" s="260" t="s">
        <v>2165</v>
      </c>
      <c r="J164" s="260" t="s">
        <v>2177</v>
      </c>
      <c r="K164" s="258"/>
      <c r="L164" s="258" t="s">
        <v>2745</v>
      </c>
      <c r="M164" s="260"/>
      <c r="N164" s="262" t="s">
        <v>2745</v>
      </c>
    </row>
    <row r="165" spans="1:14" x14ac:dyDescent="0.3">
      <c r="A165" s="257">
        <v>163</v>
      </c>
      <c r="B165" s="258" t="s">
        <v>2481</v>
      </c>
      <c r="C165" s="261" t="s">
        <v>2482</v>
      </c>
      <c r="D165" s="259">
        <v>1</v>
      </c>
      <c r="E165" s="258" t="s">
        <v>2176</v>
      </c>
      <c r="F165" s="258" t="s">
        <v>11</v>
      </c>
      <c r="G165" s="260" t="s">
        <v>2466</v>
      </c>
      <c r="H165" s="260"/>
      <c r="I165" s="260" t="s">
        <v>2165</v>
      </c>
      <c r="J165" s="260" t="s">
        <v>2177</v>
      </c>
      <c r="K165" s="258"/>
      <c r="L165" s="258" t="s">
        <v>2745</v>
      </c>
      <c r="M165" s="260"/>
      <c r="N165" s="262" t="s">
        <v>2745</v>
      </c>
    </row>
    <row r="166" spans="1:14" x14ac:dyDescent="0.3">
      <c r="A166" s="257">
        <v>164</v>
      </c>
      <c r="B166" s="258" t="s">
        <v>2483</v>
      </c>
      <c r="C166" s="261" t="s">
        <v>2484</v>
      </c>
      <c r="D166" s="259">
        <v>1</v>
      </c>
      <c r="E166" s="258" t="s">
        <v>2176</v>
      </c>
      <c r="F166" s="258" t="s">
        <v>11</v>
      </c>
      <c r="G166" s="260" t="s">
        <v>2466</v>
      </c>
      <c r="H166" s="260"/>
      <c r="I166" s="260" t="s">
        <v>2165</v>
      </c>
      <c r="J166" s="260" t="s">
        <v>2177</v>
      </c>
      <c r="K166" s="258"/>
      <c r="L166" s="258" t="s">
        <v>2745</v>
      </c>
      <c r="M166" s="260"/>
      <c r="N166" s="262" t="s">
        <v>2745</v>
      </c>
    </row>
    <row r="167" spans="1:14" x14ac:dyDescent="0.3">
      <c r="A167" s="257">
        <v>165</v>
      </c>
      <c r="B167" s="258" t="s">
        <v>2485</v>
      </c>
      <c r="C167" s="261" t="s">
        <v>2486</v>
      </c>
      <c r="D167" s="259">
        <v>2</v>
      </c>
      <c r="E167" s="258" t="s">
        <v>2176</v>
      </c>
      <c r="F167" s="258" t="s">
        <v>11</v>
      </c>
      <c r="G167" s="260" t="s">
        <v>2466</v>
      </c>
      <c r="H167" s="260"/>
      <c r="I167" s="260" t="s">
        <v>2165</v>
      </c>
      <c r="J167" s="260" t="s">
        <v>2177</v>
      </c>
      <c r="K167" s="258"/>
      <c r="L167" s="258" t="s">
        <v>2745</v>
      </c>
      <c r="M167" s="260"/>
      <c r="N167" s="262" t="s">
        <v>2745</v>
      </c>
    </row>
    <row r="168" spans="1:14" x14ac:dyDescent="0.3">
      <c r="A168" s="257">
        <v>166</v>
      </c>
      <c r="B168" s="258" t="s">
        <v>2246</v>
      </c>
      <c r="C168" s="261" t="s">
        <v>2247</v>
      </c>
      <c r="D168" s="259">
        <v>2</v>
      </c>
      <c r="E168" s="258" t="s">
        <v>2176</v>
      </c>
      <c r="F168" s="258" t="s">
        <v>11</v>
      </c>
      <c r="G168" s="260" t="s">
        <v>2466</v>
      </c>
      <c r="H168" s="260"/>
      <c r="I168" s="260" t="s">
        <v>2165</v>
      </c>
      <c r="J168" s="260" t="s">
        <v>2177</v>
      </c>
      <c r="K168" s="258"/>
      <c r="L168" s="258" t="s">
        <v>2745</v>
      </c>
      <c r="M168" s="260"/>
      <c r="N168" s="262" t="s">
        <v>2745</v>
      </c>
    </row>
    <row r="169" spans="1:14" x14ac:dyDescent="0.3">
      <c r="A169" s="257">
        <v>167</v>
      </c>
      <c r="B169" s="258" t="s">
        <v>2487</v>
      </c>
      <c r="C169" s="261" t="s">
        <v>2488</v>
      </c>
      <c r="D169" s="259">
        <v>1</v>
      </c>
      <c r="E169" s="258" t="s">
        <v>2162</v>
      </c>
      <c r="F169" s="258" t="s">
        <v>11</v>
      </c>
      <c r="G169" s="260" t="s">
        <v>2466</v>
      </c>
      <c r="H169" s="260"/>
      <c r="I169" s="260" t="s">
        <v>2165</v>
      </c>
      <c r="J169" s="260" t="s">
        <v>2745</v>
      </c>
      <c r="K169" s="258"/>
      <c r="L169" s="258" t="s">
        <v>2745</v>
      </c>
      <c r="M169" s="260"/>
      <c r="N169" s="262" t="s">
        <v>2745</v>
      </c>
    </row>
    <row r="170" spans="1:14" x14ac:dyDescent="0.3">
      <c r="A170" s="257">
        <v>168</v>
      </c>
      <c r="B170" s="258" t="s">
        <v>2284</v>
      </c>
      <c r="C170" s="261" t="s">
        <v>2285</v>
      </c>
      <c r="D170" s="259">
        <v>2</v>
      </c>
      <c r="E170" s="258" t="s">
        <v>2176</v>
      </c>
      <c r="F170" s="258" t="s">
        <v>11</v>
      </c>
      <c r="G170" s="260" t="s">
        <v>2466</v>
      </c>
      <c r="H170" s="260"/>
      <c r="I170" s="260" t="s">
        <v>2165</v>
      </c>
      <c r="J170" s="260" t="s">
        <v>2177</v>
      </c>
      <c r="K170" s="258"/>
      <c r="L170" s="258" t="s">
        <v>2745</v>
      </c>
      <c r="M170" s="260"/>
      <c r="N170" s="262" t="s">
        <v>2745</v>
      </c>
    </row>
    <row r="171" spans="1:14" x14ac:dyDescent="0.3">
      <c r="A171" s="257">
        <v>169</v>
      </c>
      <c r="B171" s="258" t="s">
        <v>2489</v>
      </c>
      <c r="C171" s="261" t="s">
        <v>2201</v>
      </c>
      <c r="D171" s="259">
        <v>2</v>
      </c>
      <c r="E171" s="258" t="s">
        <v>2176</v>
      </c>
      <c r="F171" s="258" t="s">
        <v>11</v>
      </c>
      <c r="G171" s="260" t="s">
        <v>2466</v>
      </c>
      <c r="H171" s="260"/>
      <c r="I171" s="260" t="s">
        <v>2165</v>
      </c>
      <c r="J171" s="260" t="s">
        <v>2177</v>
      </c>
      <c r="K171" s="258"/>
      <c r="L171" s="258" t="s">
        <v>2745</v>
      </c>
      <c r="M171" s="260"/>
      <c r="N171" s="262" t="s">
        <v>2745</v>
      </c>
    </row>
    <row r="172" spans="1:14" x14ac:dyDescent="0.3">
      <c r="A172" s="257">
        <v>170</v>
      </c>
      <c r="B172" s="258" t="s">
        <v>2490</v>
      </c>
      <c r="C172" s="261" t="s">
        <v>2491</v>
      </c>
      <c r="D172" s="259">
        <v>1</v>
      </c>
      <c r="E172" s="258" t="s">
        <v>2176</v>
      </c>
      <c r="F172" s="258" t="s">
        <v>11</v>
      </c>
      <c r="G172" s="260" t="s">
        <v>2466</v>
      </c>
      <c r="H172" s="260"/>
      <c r="I172" s="260" t="s">
        <v>2165</v>
      </c>
      <c r="J172" s="260" t="s">
        <v>2177</v>
      </c>
      <c r="K172" s="258"/>
      <c r="L172" s="258" t="s">
        <v>2745</v>
      </c>
      <c r="M172" s="260"/>
      <c r="N172" s="262" t="s">
        <v>2745</v>
      </c>
    </row>
    <row r="173" spans="1:14" x14ac:dyDescent="0.3">
      <c r="A173" s="257">
        <v>171</v>
      </c>
      <c r="B173" s="258" t="s">
        <v>2492</v>
      </c>
      <c r="C173" s="261" t="s">
        <v>2418</v>
      </c>
      <c r="D173" s="259">
        <v>5</v>
      </c>
      <c r="E173" s="258" t="s">
        <v>2176</v>
      </c>
      <c r="F173" s="258" t="s">
        <v>11</v>
      </c>
      <c r="G173" s="260" t="s">
        <v>2466</v>
      </c>
      <c r="H173" s="260"/>
      <c r="I173" s="260" t="s">
        <v>2165</v>
      </c>
      <c r="J173" s="260" t="s">
        <v>2177</v>
      </c>
      <c r="K173" s="258"/>
      <c r="L173" s="258" t="s">
        <v>2745</v>
      </c>
      <c r="M173" s="260"/>
      <c r="N173" s="262" t="s">
        <v>2745</v>
      </c>
    </row>
    <row r="174" spans="1:14" x14ac:dyDescent="0.3">
      <c r="A174" s="257">
        <v>172</v>
      </c>
      <c r="B174" s="258" t="s">
        <v>2493</v>
      </c>
      <c r="C174" s="261" t="s">
        <v>2389</v>
      </c>
      <c r="D174" s="259">
        <v>1</v>
      </c>
      <c r="E174" s="258" t="s">
        <v>2176</v>
      </c>
      <c r="F174" s="258" t="s">
        <v>11</v>
      </c>
      <c r="G174" s="260" t="s">
        <v>2466</v>
      </c>
      <c r="H174" s="260"/>
      <c r="I174" s="260" t="s">
        <v>2165</v>
      </c>
      <c r="J174" s="260" t="s">
        <v>2177</v>
      </c>
      <c r="K174" s="258"/>
      <c r="L174" s="258" t="s">
        <v>2745</v>
      </c>
      <c r="M174" s="260"/>
      <c r="N174" s="262" t="s">
        <v>2745</v>
      </c>
    </row>
    <row r="175" spans="1:14" x14ac:dyDescent="0.3">
      <c r="A175" s="257">
        <v>173</v>
      </c>
      <c r="B175" s="258" t="s">
        <v>2494</v>
      </c>
      <c r="C175" s="261" t="s">
        <v>2495</v>
      </c>
      <c r="D175" s="259">
        <v>1</v>
      </c>
      <c r="E175" s="258" t="s">
        <v>2176</v>
      </c>
      <c r="F175" s="258" t="s">
        <v>11</v>
      </c>
      <c r="G175" s="260" t="s">
        <v>2466</v>
      </c>
      <c r="H175" s="260"/>
      <c r="I175" s="260" t="s">
        <v>2165</v>
      </c>
      <c r="J175" s="260" t="s">
        <v>2177</v>
      </c>
      <c r="K175" s="258"/>
      <c r="L175" s="258" t="s">
        <v>2745</v>
      </c>
      <c r="M175" s="260"/>
      <c r="N175" s="262" t="s">
        <v>2745</v>
      </c>
    </row>
    <row r="176" spans="1:14" x14ac:dyDescent="0.3">
      <c r="A176" s="257">
        <v>174</v>
      </c>
      <c r="B176" s="258" t="s">
        <v>2496</v>
      </c>
      <c r="C176" s="261" t="s">
        <v>2497</v>
      </c>
      <c r="D176" s="259">
        <v>1</v>
      </c>
      <c r="E176" s="258" t="s">
        <v>2176</v>
      </c>
      <c r="F176" s="258" t="s">
        <v>11</v>
      </c>
      <c r="G176" s="260" t="s">
        <v>2466</v>
      </c>
      <c r="H176" s="260"/>
      <c r="I176" s="260" t="s">
        <v>2165</v>
      </c>
      <c r="J176" s="260" t="s">
        <v>2177</v>
      </c>
      <c r="K176" s="258"/>
      <c r="L176" s="258" t="s">
        <v>2745</v>
      </c>
      <c r="M176" s="260"/>
      <c r="N176" s="262" t="s">
        <v>2745</v>
      </c>
    </row>
    <row r="177" spans="1:14" x14ac:dyDescent="0.3">
      <c r="A177" s="257">
        <v>175</v>
      </c>
      <c r="B177" s="258" t="s">
        <v>2498</v>
      </c>
      <c r="C177" s="261" t="s">
        <v>2197</v>
      </c>
      <c r="D177" s="259">
        <v>1</v>
      </c>
      <c r="E177" s="258" t="s">
        <v>2176</v>
      </c>
      <c r="F177" s="258" t="s">
        <v>11</v>
      </c>
      <c r="G177" s="260" t="s">
        <v>2466</v>
      </c>
      <c r="H177" s="260"/>
      <c r="I177" s="260" t="s">
        <v>2165</v>
      </c>
      <c r="J177" s="260" t="s">
        <v>2177</v>
      </c>
      <c r="K177" s="258"/>
      <c r="L177" s="258" t="s">
        <v>2745</v>
      </c>
      <c r="M177" s="260"/>
      <c r="N177" s="262" t="s">
        <v>2745</v>
      </c>
    </row>
    <row r="178" spans="1:14" x14ac:dyDescent="0.3">
      <c r="A178" s="257">
        <v>176</v>
      </c>
      <c r="B178" s="258" t="s">
        <v>2499</v>
      </c>
      <c r="C178" s="261" t="s">
        <v>2500</v>
      </c>
      <c r="D178" s="259">
        <v>1</v>
      </c>
      <c r="E178" s="258" t="s">
        <v>2176</v>
      </c>
      <c r="F178" s="258" t="s">
        <v>11</v>
      </c>
      <c r="G178" s="260" t="s">
        <v>2466</v>
      </c>
      <c r="H178" s="260"/>
      <c r="I178" s="260" t="s">
        <v>2165</v>
      </c>
      <c r="J178" s="260" t="s">
        <v>2177</v>
      </c>
      <c r="K178" s="258"/>
      <c r="L178" s="258" t="s">
        <v>2745</v>
      </c>
      <c r="M178" s="260"/>
      <c r="N178" s="262" t="s">
        <v>2745</v>
      </c>
    </row>
    <row r="179" spans="1:14" x14ac:dyDescent="0.3">
      <c r="A179" s="257">
        <v>177</v>
      </c>
      <c r="B179" s="258" t="s">
        <v>2501</v>
      </c>
      <c r="C179" s="261" t="s">
        <v>2502</v>
      </c>
      <c r="D179" s="259">
        <v>1</v>
      </c>
      <c r="E179" s="258" t="s">
        <v>2176</v>
      </c>
      <c r="F179" s="258" t="s">
        <v>11</v>
      </c>
      <c r="G179" s="260" t="s">
        <v>2466</v>
      </c>
      <c r="H179" s="260"/>
      <c r="I179" s="260" t="s">
        <v>2165</v>
      </c>
      <c r="J179" s="260" t="s">
        <v>2177</v>
      </c>
      <c r="K179" s="258"/>
      <c r="L179" s="258" t="s">
        <v>2745</v>
      </c>
      <c r="M179" s="260"/>
      <c r="N179" s="262" t="s">
        <v>2745</v>
      </c>
    </row>
    <row r="180" spans="1:14" x14ac:dyDescent="0.3">
      <c r="A180" s="257">
        <v>178</v>
      </c>
      <c r="B180" s="258" t="s">
        <v>2503</v>
      </c>
      <c r="C180" s="261" t="s">
        <v>2504</v>
      </c>
      <c r="D180" s="259">
        <v>2</v>
      </c>
      <c r="E180" s="258" t="s">
        <v>2176</v>
      </c>
      <c r="F180" s="258" t="s">
        <v>11</v>
      </c>
      <c r="G180" s="260" t="s">
        <v>2466</v>
      </c>
      <c r="H180" s="260"/>
      <c r="I180" s="260" t="s">
        <v>2165</v>
      </c>
      <c r="J180" s="260" t="s">
        <v>2177</v>
      </c>
      <c r="K180" s="258"/>
      <c r="L180" s="258" t="s">
        <v>2745</v>
      </c>
      <c r="M180" s="260"/>
      <c r="N180" s="262" t="s">
        <v>2745</v>
      </c>
    </row>
    <row r="181" spans="1:14" x14ac:dyDescent="0.3">
      <c r="A181" s="257">
        <v>179</v>
      </c>
      <c r="B181" s="258" t="s">
        <v>2505</v>
      </c>
      <c r="C181" s="261" t="s">
        <v>2187</v>
      </c>
      <c r="D181" s="259">
        <v>1</v>
      </c>
      <c r="E181" s="258" t="s">
        <v>2176</v>
      </c>
      <c r="F181" s="258" t="s">
        <v>11</v>
      </c>
      <c r="G181" s="260" t="s">
        <v>2466</v>
      </c>
      <c r="H181" s="260"/>
      <c r="I181" s="260" t="s">
        <v>2165</v>
      </c>
      <c r="J181" s="260" t="s">
        <v>2177</v>
      </c>
      <c r="K181" s="258"/>
      <c r="L181" s="258" t="s">
        <v>2745</v>
      </c>
      <c r="M181" s="260"/>
      <c r="N181" s="262" t="s">
        <v>2745</v>
      </c>
    </row>
    <row r="182" spans="1:14" x14ac:dyDescent="0.3">
      <c r="A182" s="257">
        <v>180</v>
      </c>
      <c r="B182" s="258" t="s">
        <v>2506</v>
      </c>
      <c r="C182" s="261" t="s">
        <v>2507</v>
      </c>
      <c r="D182" s="259">
        <v>1</v>
      </c>
      <c r="E182" s="258" t="s">
        <v>2176</v>
      </c>
      <c r="F182" s="258" t="s">
        <v>11</v>
      </c>
      <c r="G182" s="260" t="s">
        <v>2466</v>
      </c>
      <c r="H182" s="260"/>
      <c r="I182" s="260" t="s">
        <v>2165</v>
      </c>
      <c r="J182" s="260" t="s">
        <v>2177</v>
      </c>
      <c r="K182" s="258"/>
      <c r="L182" s="258" t="s">
        <v>2745</v>
      </c>
      <c r="M182" s="260"/>
      <c r="N182" s="262" t="s">
        <v>2745</v>
      </c>
    </row>
    <row r="183" spans="1:14" x14ac:dyDescent="0.3">
      <c r="A183" s="257">
        <v>181</v>
      </c>
      <c r="B183" s="258" t="s">
        <v>2508</v>
      </c>
      <c r="C183" s="261" t="s">
        <v>2509</v>
      </c>
      <c r="D183" s="259">
        <v>3</v>
      </c>
      <c r="E183" s="258" t="s">
        <v>2176</v>
      </c>
      <c r="F183" s="258" t="s">
        <v>11</v>
      </c>
      <c r="G183" s="260" t="s">
        <v>2466</v>
      </c>
      <c r="H183" s="260"/>
      <c r="I183" s="260" t="s">
        <v>2165</v>
      </c>
      <c r="J183" s="260" t="s">
        <v>2177</v>
      </c>
      <c r="K183" s="258"/>
      <c r="L183" s="258" t="s">
        <v>2745</v>
      </c>
      <c r="M183" s="260"/>
      <c r="N183" s="262" t="s">
        <v>2745</v>
      </c>
    </row>
    <row r="184" spans="1:14" x14ac:dyDescent="0.3">
      <c r="A184" s="257">
        <v>182</v>
      </c>
      <c r="B184" s="258" t="s">
        <v>2510</v>
      </c>
      <c r="C184" s="261" t="s">
        <v>2511</v>
      </c>
      <c r="D184" s="259">
        <v>1</v>
      </c>
      <c r="E184" s="258" t="s">
        <v>2422</v>
      </c>
      <c r="F184" s="258" t="s">
        <v>11</v>
      </c>
      <c r="G184" s="260" t="s">
        <v>2466</v>
      </c>
      <c r="H184" s="260"/>
      <c r="I184" s="260" t="s">
        <v>2165</v>
      </c>
      <c r="J184" s="260" t="s">
        <v>2423</v>
      </c>
      <c r="K184" s="258"/>
      <c r="L184" s="258" t="s">
        <v>2745</v>
      </c>
      <c r="M184" s="260"/>
      <c r="N184" s="262" t="s">
        <v>2745</v>
      </c>
    </row>
    <row r="185" spans="1:14" x14ac:dyDescent="0.3">
      <c r="A185" s="257">
        <v>183</v>
      </c>
      <c r="B185" s="258" t="s">
        <v>2512</v>
      </c>
      <c r="C185" s="261" t="s">
        <v>2513</v>
      </c>
      <c r="D185" s="259">
        <v>1</v>
      </c>
      <c r="E185" s="258" t="s">
        <v>2176</v>
      </c>
      <c r="F185" s="258" t="s">
        <v>11</v>
      </c>
      <c r="G185" s="260" t="s">
        <v>2466</v>
      </c>
      <c r="H185" s="260"/>
      <c r="I185" s="260" t="s">
        <v>2165</v>
      </c>
      <c r="J185" s="260" t="s">
        <v>2177</v>
      </c>
      <c r="K185" s="258"/>
      <c r="L185" s="258" t="s">
        <v>2745</v>
      </c>
      <c r="M185" s="260"/>
      <c r="N185" s="262" t="s">
        <v>2745</v>
      </c>
    </row>
    <row r="186" spans="1:14" x14ac:dyDescent="0.3">
      <c r="A186" s="257">
        <v>184</v>
      </c>
      <c r="B186" s="258" t="s">
        <v>2514</v>
      </c>
      <c r="C186" s="261" t="s">
        <v>2515</v>
      </c>
      <c r="D186" s="259">
        <v>1</v>
      </c>
      <c r="E186" s="258" t="s">
        <v>2176</v>
      </c>
      <c r="F186" s="258" t="s">
        <v>11</v>
      </c>
      <c r="G186" s="260" t="s">
        <v>2466</v>
      </c>
      <c r="H186" s="260"/>
      <c r="I186" s="260" t="s">
        <v>2165</v>
      </c>
      <c r="J186" s="260" t="s">
        <v>2177</v>
      </c>
      <c r="K186" s="258"/>
      <c r="L186" s="258" t="s">
        <v>2745</v>
      </c>
      <c r="M186" s="260"/>
      <c r="N186" s="262" t="s">
        <v>2745</v>
      </c>
    </row>
    <row r="187" spans="1:14" x14ac:dyDescent="0.3">
      <c r="A187" s="257">
        <v>185</v>
      </c>
      <c r="B187" s="258" t="s">
        <v>2516</v>
      </c>
      <c r="C187" s="261" t="s">
        <v>2517</v>
      </c>
      <c r="D187" s="259">
        <v>1</v>
      </c>
      <c r="E187" s="258" t="s">
        <v>2176</v>
      </c>
      <c r="F187" s="258" t="s">
        <v>11</v>
      </c>
      <c r="G187" s="260" t="s">
        <v>2466</v>
      </c>
      <c r="H187" s="260"/>
      <c r="I187" s="260" t="s">
        <v>2165</v>
      </c>
      <c r="J187" s="260" t="s">
        <v>2177</v>
      </c>
      <c r="K187" s="258"/>
      <c r="L187" s="258" t="s">
        <v>2745</v>
      </c>
      <c r="M187" s="260"/>
      <c r="N187" s="262" t="s">
        <v>2745</v>
      </c>
    </row>
    <row r="188" spans="1:14" x14ac:dyDescent="0.3">
      <c r="A188" s="257">
        <v>186</v>
      </c>
      <c r="B188" s="258" t="s">
        <v>2518</v>
      </c>
      <c r="C188" s="261" t="s">
        <v>2519</v>
      </c>
      <c r="D188" s="259">
        <v>1</v>
      </c>
      <c r="E188" s="258" t="s">
        <v>2176</v>
      </c>
      <c r="F188" s="258" t="s">
        <v>11</v>
      </c>
      <c r="G188" s="260" t="s">
        <v>2466</v>
      </c>
      <c r="H188" s="260"/>
      <c r="I188" s="260" t="s">
        <v>2165</v>
      </c>
      <c r="J188" s="260" t="s">
        <v>2177</v>
      </c>
      <c r="K188" s="258"/>
      <c r="L188" s="258" t="s">
        <v>2745</v>
      </c>
      <c r="M188" s="260"/>
      <c r="N188" s="262" t="s">
        <v>2745</v>
      </c>
    </row>
    <row r="189" spans="1:14" x14ac:dyDescent="0.3">
      <c r="A189" s="257">
        <v>187</v>
      </c>
      <c r="B189" s="258" t="s">
        <v>2238</v>
      </c>
      <c r="C189" s="261" t="s">
        <v>2239</v>
      </c>
      <c r="D189" s="259">
        <v>1</v>
      </c>
      <c r="E189" s="258" t="s">
        <v>2176</v>
      </c>
      <c r="F189" s="258" t="s">
        <v>11</v>
      </c>
      <c r="G189" s="260" t="s">
        <v>2466</v>
      </c>
      <c r="H189" s="260"/>
      <c r="I189" s="260" t="s">
        <v>2165</v>
      </c>
      <c r="J189" s="260" t="s">
        <v>2177</v>
      </c>
      <c r="K189" s="258"/>
      <c r="L189" s="258" t="s">
        <v>2745</v>
      </c>
      <c r="M189" s="260"/>
      <c r="N189" s="262" t="s">
        <v>2745</v>
      </c>
    </row>
    <row r="190" spans="1:14" x14ac:dyDescent="0.3">
      <c r="A190" s="257">
        <v>188</v>
      </c>
      <c r="B190" s="258" t="s">
        <v>2520</v>
      </c>
      <c r="C190" s="261" t="s">
        <v>2305</v>
      </c>
      <c r="D190" s="259">
        <v>1</v>
      </c>
      <c r="E190" s="258" t="s">
        <v>2176</v>
      </c>
      <c r="F190" s="258" t="s">
        <v>11</v>
      </c>
      <c r="G190" s="260" t="s">
        <v>2466</v>
      </c>
      <c r="H190" s="260"/>
      <c r="I190" s="260" t="s">
        <v>2165</v>
      </c>
      <c r="J190" s="260" t="s">
        <v>2177</v>
      </c>
      <c r="K190" s="258"/>
      <c r="L190" s="258" t="s">
        <v>2745</v>
      </c>
      <c r="M190" s="260"/>
      <c r="N190" s="262" t="s">
        <v>2745</v>
      </c>
    </row>
    <row r="191" spans="1:14" x14ac:dyDescent="0.3">
      <c r="A191" s="257">
        <v>189</v>
      </c>
      <c r="B191" s="258" t="s">
        <v>2234</v>
      </c>
      <c r="C191" s="261" t="s">
        <v>2235</v>
      </c>
      <c r="D191" s="259">
        <v>2</v>
      </c>
      <c r="E191" s="258" t="s">
        <v>2176</v>
      </c>
      <c r="F191" s="258" t="s">
        <v>11</v>
      </c>
      <c r="G191" s="260" t="s">
        <v>2466</v>
      </c>
      <c r="H191" s="260"/>
      <c r="I191" s="260" t="s">
        <v>2165</v>
      </c>
      <c r="J191" s="260" t="s">
        <v>2177</v>
      </c>
      <c r="K191" s="258"/>
      <c r="L191" s="258" t="s">
        <v>2745</v>
      </c>
      <c r="M191" s="260"/>
      <c r="N191" s="262" t="s">
        <v>2745</v>
      </c>
    </row>
    <row r="192" spans="1:14" x14ac:dyDescent="0.3">
      <c r="A192" s="257">
        <v>190</v>
      </c>
      <c r="B192" s="258" t="s">
        <v>2521</v>
      </c>
      <c r="C192" s="261" t="s">
        <v>2297</v>
      </c>
      <c r="D192" s="259">
        <v>1</v>
      </c>
      <c r="E192" s="258" t="s">
        <v>2176</v>
      </c>
      <c r="F192" s="258" t="s">
        <v>11</v>
      </c>
      <c r="G192" s="260" t="s">
        <v>2466</v>
      </c>
      <c r="H192" s="260"/>
      <c r="I192" s="260" t="s">
        <v>2165</v>
      </c>
      <c r="J192" s="260" t="s">
        <v>2177</v>
      </c>
      <c r="K192" s="258"/>
      <c r="L192" s="258" t="s">
        <v>2745</v>
      </c>
      <c r="M192" s="260"/>
      <c r="N192" s="262" t="s">
        <v>2745</v>
      </c>
    </row>
    <row r="193" spans="1:14" x14ac:dyDescent="0.3">
      <c r="A193" s="257">
        <v>191</v>
      </c>
      <c r="B193" s="258" t="s">
        <v>2450</v>
      </c>
      <c r="C193" s="261" t="s">
        <v>2295</v>
      </c>
      <c r="D193" s="259">
        <v>1</v>
      </c>
      <c r="E193" s="258" t="s">
        <v>2176</v>
      </c>
      <c r="F193" s="258" t="s">
        <v>11</v>
      </c>
      <c r="G193" s="260" t="s">
        <v>2466</v>
      </c>
      <c r="H193" s="260"/>
      <c r="I193" s="260" t="s">
        <v>2165</v>
      </c>
      <c r="J193" s="260" t="s">
        <v>2177</v>
      </c>
      <c r="K193" s="258"/>
      <c r="L193" s="258" t="s">
        <v>2745</v>
      </c>
      <c r="M193" s="260"/>
      <c r="N193" s="262" t="s">
        <v>2745</v>
      </c>
    </row>
    <row r="194" spans="1:14" x14ac:dyDescent="0.3">
      <c r="A194" s="257">
        <v>192</v>
      </c>
      <c r="B194" s="258" t="s">
        <v>2520</v>
      </c>
      <c r="C194" s="261" t="s">
        <v>2305</v>
      </c>
      <c r="D194" s="259">
        <v>1</v>
      </c>
      <c r="E194" s="258" t="s">
        <v>2176</v>
      </c>
      <c r="F194" s="258" t="s">
        <v>11</v>
      </c>
      <c r="G194" s="260" t="s">
        <v>2466</v>
      </c>
      <c r="H194" s="260"/>
      <c r="I194" s="260" t="s">
        <v>2165</v>
      </c>
      <c r="J194" s="260" t="s">
        <v>2177</v>
      </c>
      <c r="K194" s="258"/>
      <c r="L194" s="258" t="s">
        <v>2745</v>
      </c>
      <c r="M194" s="260"/>
      <c r="N194" s="262" t="s">
        <v>2745</v>
      </c>
    </row>
    <row r="195" spans="1:14" x14ac:dyDescent="0.3">
      <c r="A195" s="257">
        <v>193</v>
      </c>
      <c r="B195" s="258" t="s">
        <v>2521</v>
      </c>
      <c r="C195" s="261" t="s">
        <v>2297</v>
      </c>
      <c r="D195" s="259">
        <v>1</v>
      </c>
      <c r="E195" s="258" t="s">
        <v>2176</v>
      </c>
      <c r="F195" s="258" t="s">
        <v>11</v>
      </c>
      <c r="G195" s="260" t="s">
        <v>2466</v>
      </c>
      <c r="H195" s="260"/>
      <c r="I195" s="260" t="s">
        <v>2165</v>
      </c>
      <c r="J195" s="260" t="s">
        <v>2177</v>
      </c>
      <c r="K195" s="258"/>
      <c r="L195" s="258" t="s">
        <v>2745</v>
      </c>
      <c r="M195" s="260"/>
      <c r="N195" s="262" t="s">
        <v>2745</v>
      </c>
    </row>
    <row r="196" spans="1:14" x14ac:dyDescent="0.3">
      <c r="A196" s="257">
        <v>194</v>
      </c>
      <c r="B196" s="258" t="s">
        <v>2238</v>
      </c>
      <c r="C196" s="261" t="s">
        <v>2239</v>
      </c>
      <c r="D196" s="259">
        <v>1</v>
      </c>
      <c r="E196" s="258" t="s">
        <v>2176</v>
      </c>
      <c r="F196" s="258" t="s">
        <v>11</v>
      </c>
      <c r="G196" s="260" t="s">
        <v>2466</v>
      </c>
      <c r="H196" s="260"/>
      <c r="I196" s="260" t="s">
        <v>2165</v>
      </c>
      <c r="J196" s="260" t="s">
        <v>2177</v>
      </c>
      <c r="K196" s="258"/>
      <c r="L196" s="258" t="s">
        <v>2745</v>
      </c>
      <c r="M196" s="260"/>
      <c r="N196" s="262" t="s">
        <v>2745</v>
      </c>
    </row>
    <row r="197" spans="1:14" x14ac:dyDescent="0.3">
      <c r="A197" s="257">
        <v>195</v>
      </c>
      <c r="B197" s="258" t="s">
        <v>2450</v>
      </c>
      <c r="C197" s="261" t="s">
        <v>2295</v>
      </c>
      <c r="D197" s="259">
        <v>1</v>
      </c>
      <c r="E197" s="258" t="s">
        <v>2176</v>
      </c>
      <c r="F197" s="258" t="s">
        <v>11</v>
      </c>
      <c r="G197" s="260" t="s">
        <v>2466</v>
      </c>
      <c r="H197" s="260"/>
      <c r="I197" s="260" t="s">
        <v>2165</v>
      </c>
      <c r="J197" s="260" t="s">
        <v>2177</v>
      </c>
      <c r="K197" s="258"/>
      <c r="L197" s="258" t="s">
        <v>2745</v>
      </c>
      <c r="M197" s="260"/>
      <c r="N197" s="262" t="s">
        <v>2745</v>
      </c>
    </row>
    <row r="198" spans="1:14" x14ac:dyDescent="0.3">
      <c r="A198" s="257">
        <v>196</v>
      </c>
      <c r="B198" s="258" t="s">
        <v>2520</v>
      </c>
      <c r="C198" s="261" t="s">
        <v>2305</v>
      </c>
      <c r="D198" s="259">
        <v>1</v>
      </c>
      <c r="E198" s="258" t="s">
        <v>2176</v>
      </c>
      <c r="F198" s="258" t="s">
        <v>11</v>
      </c>
      <c r="G198" s="260" t="s">
        <v>2466</v>
      </c>
      <c r="H198" s="260"/>
      <c r="I198" s="260" t="s">
        <v>2165</v>
      </c>
      <c r="J198" s="260" t="s">
        <v>2177</v>
      </c>
      <c r="K198" s="258"/>
      <c r="L198" s="258" t="s">
        <v>2745</v>
      </c>
      <c r="M198" s="260"/>
      <c r="N198" s="262" t="s">
        <v>2745</v>
      </c>
    </row>
    <row r="199" spans="1:14" x14ac:dyDescent="0.3">
      <c r="A199" s="257">
        <v>197</v>
      </c>
      <c r="B199" s="258" t="s">
        <v>2450</v>
      </c>
      <c r="C199" s="261" t="s">
        <v>2295</v>
      </c>
      <c r="D199" s="259">
        <v>2</v>
      </c>
      <c r="E199" s="258" t="s">
        <v>2176</v>
      </c>
      <c r="F199" s="258" t="s">
        <v>11</v>
      </c>
      <c r="G199" s="260" t="s">
        <v>2466</v>
      </c>
      <c r="H199" s="260"/>
      <c r="I199" s="260" t="s">
        <v>2165</v>
      </c>
      <c r="J199" s="260" t="s">
        <v>2177</v>
      </c>
      <c r="K199" s="258"/>
      <c r="L199" s="258" t="s">
        <v>2745</v>
      </c>
      <c r="M199" s="260"/>
      <c r="N199" s="262" t="s">
        <v>2745</v>
      </c>
    </row>
    <row r="200" spans="1:14" x14ac:dyDescent="0.3">
      <c r="A200" s="257">
        <v>198</v>
      </c>
      <c r="B200" s="258" t="s">
        <v>2522</v>
      </c>
      <c r="C200" s="261" t="s">
        <v>2523</v>
      </c>
      <c r="D200" s="259">
        <v>1</v>
      </c>
      <c r="E200" s="258" t="s">
        <v>2176</v>
      </c>
      <c r="F200" s="258" t="s">
        <v>11</v>
      </c>
      <c r="G200" s="260" t="s">
        <v>2466</v>
      </c>
      <c r="H200" s="260"/>
      <c r="I200" s="260" t="s">
        <v>2165</v>
      </c>
      <c r="J200" s="260" t="s">
        <v>2177</v>
      </c>
      <c r="K200" s="258"/>
      <c r="L200" s="258" t="s">
        <v>2745</v>
      </c>
      <c r="M200" s="260"/>
      <c r="N200" s="262" t="s">
        <v>2745</v>
      </c>
    </row>
    <row r="201" spans="1:14" x14ac:dyDescent="0.3">
      <c r="A201" s="257">
        <v>199</v>
      </c>
      <c r="B201" s="258" t="s">
        <v>2240</v>
      </c>
      <c r="C201" s="261" t="s">
        <v>2241</v>
      </c>
      <c r="D201" s="259">
        <v>1</v>
      </c>
      <c r="E201" s="258" t="s">
        <v>2176</v>
      </c>
      <c r="F201" s="258" t="s">
        <v>11</v>
      </c>
      <c r="G201" s="260" t="s">
        <v>2466</v>
      </c>
      <c r="H201" s="260"/>
      <c r="I201" s="260" t="s">
        <v>2165</v>
      </c>
      <c r="J201" s="260" t="s">
        <v>2177</v>
      </c>
      <c r="K201" s="258"/>
      <c r="L201" s="258" t="s">
        <v>2745</v>
      </c>
      <c r="M201" s="260"/>
      <c r="N201" s="262" t="s">
        <v>2745</v>
      </c>
    </row>
    <row r="202" spans="1:14" x14ac:dyDescent="0.3">
      <c r="A202" s="257">
        <v>200</v>
      </c>
      <c r="B202" s="258" t="s">
        <v>2521</v>
      </c>
      <c r="C202" s="261" t="s">
        <v>2297</v>
      </c>
      <c r="D202" s="259">
        <v>2</v>
      </c>
      <c r="E202" s="258" t="s">
        <v>2176</v>
      </c>
      <c r="F202" s="258" t="s">
        <v>11</v>
      </c>
      <c r="G202" s="260" t="s">
        <v>2466</v>
      </c>
      <c r="H202" s="260"/>
      <c r="I202" s="260" t="s">
        <v>2165</v>
      </c>
      <c r="J202" s="260" t="s">
        <v>2177</v>
      </c>
      <c r="K202" s="258"/>
      <c r="L202" s="258" t="s">
        <v>2745</v>
      </c>
      <c r="M202" s="260"/>
      <c r="N202" s="262" t="s">
        <v>2745</v>
      </c>
    </row>
    <row r="203" spans="1:14" x14ac:dyDescent="0.3">
      <c r="A203" s="257">
        <v>201</v>
      </c>
      <c r="B203" s="258" t="s">
        <v>2450</v>
      </c>
      <c r="C203" s="261" t="s">
        <v>2295</v>
      </c>
      <c r="D203" s="259">
        <v>1</v>
      </c>
      <c r="E203" s="258" t="s">
        <v>2176</v>
      </c>
      <c r="F203" s="258" t="s">
        <v>11</v>
      </c>
      <c r="G203" s="260" t="s">
        <v>2466</v>
      </c>
      <c r="H203" s="260"/>
      <c r="I203" s="260" t="s">
        <v>2165</v>
      </c>
      <c r="J203" s="260" t="s">
        <v>2177</v>
      </c>
      <c r="K203" s="258"/>
      <c r="L203" s="258" t="s">
        <v>2745</v>
      </c>
      <c r="M203" s="260"/>
      <c r="N203" s="262" t="s">
        <v>2745</v>
      </c>
    </row>
    <row r="204" spans="1:14" x14ac:dyDescent="0.3">
      <c r="A204" s="257">
        <v>202</v>
      </c>
      <c r="B204" s="258" t="s">
        <v>2457</v>
      </c>
      <c r="C204" s="261" t="s">
        <v>2303</v>
      </c>
      <c r="D204" s="259">
        <v>1</v>
      </c>
      <c r="E204" s="258" t="s">
        <v>2176</v>
      </c>
      <c r="F204" s="258" t="s">
        <v>11</v>
      </c>
      <c r="G204" s="260" t="s">
        <v>2466</v>
      </c>
      <c r="H204" s="260"/>
      <c r="I204" s="260" t="s">
        <v>2165</v>
      </c>
      <c r="J204" s="260" t="s">
        <v>2177</v>
      </c>
      <c r="K204" s="258"/>
      <c r="L204" s="258" t="s">
        <v>2745</v>
      </c>
      <c r="M204" s="260"/>
      <c r="N204" s="262" t="s">
        <v>2745</v>
      </c>
    </row>
    <row r="205" spans="1:14" x14ac:dyDescent="0.3">
      <c r="A205" s="257">
        <v>203</v>
      </c>
      <c r="B205" s="258" t="s">
        <v>2524</v>
      </c>
      <c r="C205" s="261" t="s">
        <v>2291</v>
      </c>
      <c r="D205" s="259">
        <v>1</v>
      </c>
      <c r="E205" s="258" t="s">
        <v>2176</v>
      </c>
      <c r="F205" s="258" t="s">
        <v>11</v>
      </c>
      <c r="G205" s="260" t="s">
        <v>2466</v>
      </c>
      <c r="H205" s="260"/>
      <c r="I205" s="260" t="s">
        <v>2165</v>
      </c>
      <c r="J205" s="260" t="s">
        <v>2177</v>
      </c>
      <c r="K205" s="258"/>
      <c r="L205" s="258" t="s">
        <v>2745</v>
      </c>
      <c r="M205" s="260"/>
      <c r="N205" s="262" t="s">
        <v>2745</v>
      </c>
    </row>
    <row r="206" spans="1:14" x14ac:dyDescent="0.3">
      <c r="A206" s="257">
        <v>204</v>
      </c>
      <c r="B206" s="258" t="s">
        <v>2450</v>
      </c>
      <c r="C206" s="261" t="s">
        <v>2295</v>
      </c>
      <c r="D206" s="259">
        <v>1</v>
      </c>
      <c r="E206" s="258" t="s">
        <v>2176</v>
      </c>
      <c r="F206" s="258" t="s">
        <v>11</v>
      </c>
      <c r="G206" s="260" t="s">
        <v>2466</v>
      </c>
      <c r="H206" s="260"/>
      <c r="I206" s="260" t="s">
        <v>2165</v>
      </c>
      <c r="J206" s="260" t="s">
        <v>2177</v>
      </c>
      <c r="K206" s="258"/>
      <c r="L206" s="258" t="s">
        <v>2745</v>
      </c>
      <c r="M206" s="260"/>
      <c r="N206" s="262" t="s">
        <v>2745</v>
      </c>
    </row>
    <row r="207" spans="1:14" x14ac:dyDescent="0.3">
      <c r="A207" s="257">
        <v>205</v>
      </c>
      <c r="B207" s="258" t="s">
        <v>2525</v>
      </c>
      <c r="C207" s="261" t="s">
        <v>2293</v>
      </c>
      <c r="D207" s="259">
        <v>2</v>
      </c>
      <c r="E207" s="258" t="s">
        <v>2176</v>
      </c>
      <c r="F207" s="258" t="s">
        <v>11</v>
      </c>
      <c r="G207" s="260" t="s">
        <v>2466</v>
      </c>
      <c r="H207" s="260"/>
      <c r="I207" s="260" t="s">
        <v>2165</v>
      </c>
      <c r="J207" s="260" t="s">
        <v>2177</v>
      </c>
      <c r="K207" s="258"/>
      <c r="L207" s="258" t="s">
        <v>2745</v>
      </c>
      <c r="M207" s="260"/>
      <c r="N207" s="262" t="s">
        <v>2745</v>
      </c>
    </row>
    <row r="208" spans="1:14" x14ac:dyDescent="0.3">
      <c r="A208" s="257">
        <v>206</v>
      </c>
      <c r="B208" s="258" t="s">
        <v>2526</v>
      </c>
      <c r="C208" s="261" t="s">
        <v>2527</v>
      </c>
      <c r="D208" s="259">
        <v>1</v>
      </c>
      <c r="E208" s="258" t="s">
        <v>2176</v>
      </c>
      <c r="F208" s="258" t="s">
        <v>11</v>
      </c>
      <c r="G208" s="260" t="s">
        <v>2466</v>
      </c>
      <c r="H208" s="260"/>
      <c r="I208" s="260" t="s">
        <v>2165</v>
      </c>
      <c r="J208" s="260" t="s">
        <v>2177</v>
      </c>
      <c r="K208" s="258"/>
      <c r="L208" s="258" t="s">
        <v>2745</v>
      </c>
      <c r="M208" s="260"/>
      <c r="N208" s="262" t="s">
        <v>2745</v>
      </c>
    </row>
    <row r="209" spans="1:14" x14ac:dyDescent="0.3">
      <c r="A209" s="257">
        <v>207</v>
      </c>
      <c r="B209" s="258" t="s">
        <v>2524</v>
      </c>
      <c r="C209" s="261" t="s">
        <v>2291</v>
      </c>
      <c r="D209" s="259">
        <v>1</v>
      </c>
      <c r="E209" s="258" t="s">
        <v>2176</v>
      </c>
      <c r="F209" s="258" t="s">
        <v>11</v>
      </c>
      <c r="G209" s="260" t="s">
        <v>2466</v>
      </c>
      <c r="H209" s="260"/>
      <c r="I209" s="260" t="s">
        <v>2165</v>
      </c>
      <c r="J209" s="260" t="s">
        <v>2177</v>
      </c>
      <c r="K209" s="258"/>
      <c r="L209" s="258" t="s">
        <v>2745</v>
      </c>
      <c r="M209" s="260"/>
      <c r="N209" s="262" t="s">
        <v>2745</v>
      </c>
    </row>
    <row r="210" spans="1:14" x14ac:dyDescent="0.3">
      <c r="A210" s="257">
        <v>208</v>
      </c>
      <c r="B210" s="258" t="s">
        <v>2528</v>
      </c>
      <c r="C210" s="261" t="s">
        <v>2529</v>
      </c>
      <c r="D210" s="259">
        <v>1</v>
      </c>
      <c r="E210" s="258" t="s">
        <v>2176</v>
      </c>
      <c r="F210" s="258" t="s">
        <v>11</v>
      </c>
      <c r="G210" s="260" t="s">
        <v>2466</v>
      </c>
      <c r="H210" s="260"/>
      <c r="I210" s="260" t="s">
        <v>2165</v>
      </c>
      <c r="J210" s="260" t="s">
        <v>2177</v>
      </c>
      <c r="K210" s="258"/>
      <c r="L210" s="258" t="s">
        <v>2745</v>
      </c>
      <c r="M210" s="260"/>
      <c r="N210" s="262" t="s">
        <v>2745</v>
      </c>
    </row>
    <row r="211" spans="1:14" x14ac:dyDescent="0.3">
      <c r="A211" s="257">
        <v>209</v>
      </c>
      <c r="B211" s="258" t="s">
        <v>2521</v>
      </c>
      <c r="C211" s="261" t="s">
        <v>2297</v>
      </c>
      <c r="D211" s="259">
        <v>1</v>
      </c>
      <c r="E211" s="258" t="s">
        <v>2176</v>
      </c>
      <c r="F211" s="258" t="s">
        <v>11</v>
      </c>
      <c r="G211" s="260" t="s">
        <v>2466</v>
      </c>
      <c r="H211" s="260"/>
      <c r="I211" s="260" t="s">
        <v>2165</v>
      </c>
      <c r="J211" s="260" t="s">
        <v>2177</v>
      </c>
      <c r="K211" s="258"/>
      <c r="L211" s="258" t="s">
        <v>2745</v>
      </c>
      <c r="M211" s="260"/>
      <c r="N211" s="262" t="s">
        <v>2745</v>
      </c>
    </row>
    <row r="212" spans="1:14" x14ac:dyDescent="0.3">
      <c r="A212" s="257">
        <v>210</v>
      </c>
      <c r="B212" s="258" t="s">
        <v>2526</v>
      </c>
      <c r="C212" s="261" t="s">
        <v>2527</v>
      </c>
      <c r="D212" s="259">
        <v>1</v>
      </c>
      <c r="E212" s="258" t="s">
        <v>2176</v>
      </c>
      <c r="F212" s="258" t="s">
        <v>11</v>
      </c>
      <c r="G212" s="260" t="s">
        <v>2466</v>
      </c>
      <c r="H212" s="260"/>
      <c r="I212" s="260" t="s">
        <v>2165</v>
      </c>
      <c r="J212" s="260" t="s">
        <v>2177</v>
      </c>
      <c r="K212" s="258"/>
      <c r="L212" s="258" t="s">
        <v>2745</v>
      </c>
      <c r="M212" s="260"/>
      <c r="N212" s="262" t="s">
        <v>2745</v>
      </c>
    </row>
    <row r="213" spans="1:14" x14ac:dyDescent="0.3">
      <c r="A213" s="257">
        <v>211</v>
      </c>
      <c r="B213" s="258" t="s">
        <v>2530</v>
      </c>
      <c r="C213" s="261" t="s">
        <v>2199</v>
      </c>
      <c r="D213" s="259">
        <v>2</v>
      </c>
      <c r="E213" s="258" t="s">
        <v>2176</v>
      </c>
      <c r="F213" s="258" t="s">
        <v>11</v>
      </c>
      <c r="G213" s="260" t="s">
        <v>2531</v>
      </c>
      <c r="H213" s="260"/>
      <c r="I213" s="260" t="s">
        <v>2165</v>
      </c>
      <c r="J213" s="260" t="s">
        <v>2177</v>
      </c>
      <c r="K213" s="258"/>
      <c r="L213" s="258" t="s">
        <v>2745</v>
      </c>
      <c r="M213" s="260"/>
      <c r="N213" s="262" t="s">
        <v>2745</v>
      </c>
    </row>
    <row r="214" spans="1:14" x14ac:dyDescent="0.3">
      <c r="A214" s="257">
        <v>212</v>
      </c>
      <c r="B214" s="258" t="s">
        <v>2505</v>
      </c>
      <c r="C214" s="261" t="s">
        <v>2187</v>
      </c>
      <c r="D214" s="259">
        <v>1</v>
      </c>
      <c r="E214" s="258" t="s">
        <v>2176</v>
      </c>
      <c r="F214" s="258" t="s">
        <v>11</v>
      </c>
      <c r="G214" s="260" t="s">
        <v>2531</v>
      </c>
      <c r="H214" s="260"/>
      <c r="I214" s="260" t="s">
        <v>2165</v>
      </c>
      <c r="J214" s="260" t="s">
        <v>2177</v>
      </c>
      <c r="K214" s="258"/>
      <c r="L214" s="258" t="s">
        <v>2745</v>
      </c>
      <c r="M214" s="260"/>
      <c r="N214" s="262" t="s">
        <v>2745</v>
      </c>
    </row>
    <row r="215" spans="1:14" x14ac:dyDescent="0.3">
      <c r="A215" s="257">
        <v>213</v>
      </c>
      <c r="B215" s="258" t="s">
        <v>2530</v>
      </c>
      <c r="C215" s="261" t="s">
        <v>2199</v>
      </c>
      <c r="D215" s="259">
        <v>1</v>
      </c>
      <c r="E215" s="258" t="s">
        <v>2176</v>
      </c>
      <c r="F215" s="258" t="s">
        <v>11</v>
      </c>
      <c r="G215" s="260" t="s">
        <v>2531</v>
      </c>
      <c r="H215" s="260"/>
      <c r="I215" s="260" t="s">
        <v>2165</v>
      </c>
      <c r="J215" s="260" t="s">
        <v>2177</v>
      </c>
      <c r="K215" s="258"/>
      <c r="L215" s="258" t="s">
        <v>2745</v>
      </c>
      <c r="M215" s="260"/>
      <c r="N215" s="262" t="s">
        <v>2745</v>
      </c>
    </row>
    <row r="216" spans="1:14" x14ac:dyDescent="0.3">
      <c r="A216" s="257">
        <v>214</v>
      </c>
      <c r="B216" s="258" t="s">
        <v>2530</v>
      </c>
      <c r="C216" s="261" t="s">
        <v>2199</v>
      </c>
      <c r="D216" s="259">
        <v>1</v>
      </c>
      <c r="E216" s="258" t="s">
        <v>2176</v>
      </c>
      <c r="F216" s="258" t="s">
        <v>11</v>
      </c>
      <c r="G216" s="260" t="s">
        <v>2531</v>
      </c>
      <c r="H216" s="260"/>
      <c r="I216" s="260" t="s">
        <v>2165</v>
      </c>
      <c r="J216" s="260" t="s">
        <v>2177</v>
      </c>
      <c r="K216" s="258"/>
      <c r="L216" s="258" t="s">
        <v>2745</v>
      </c>
      <c r="M216" s="260"/>
      <c r="N216" s="262" t="s">
        <v>2745</v>
      </c>
    </row>
    <row r="217" spans="1:14" x14ac:dyDescent="0.3">
      <c r="A217" s="257">
        <v>215</v>
      </c>
      <c r="B217" s="258" t="s">
        <v>2532</v>
      </c>
      <c r="C217" s="261" t="s">
        <v>2533</v>
      </c>
      <c r="D217" s="259">
        <v>1</v>
      </c>
      <c r="E217" s="258" t="s">
        <v>2176</v>
      </c>
      <c r="F217" s="258" t="s">
        <v>11</v>
      </c>
      <c r="G217" s="260" t="s">
        <v>2531</v>
      </c>
      <c r="H217" s="260"/>
      <c r="I217" s="260" t="s">
        <v>2165</v>
      </c>
      <c r="J217" s="260" t="s">
        <v>2177</v>
      </c>
      <c r="K217" s="258"/>
      <c r="L217" s="258" t="s">
        <v>2745</v>
      </c>
      <c r="M217" s="260"/>
      <c r="N217" s="262" t="s">
        <v>2745</v>
      </c>
    </row>
    <row r="218" spans="1:14" x14ac:dyDescent="0.3">
      <c r="A218" s="257">
        <v>216</v>
      </c>
      <c r="B218" s="258" t="s">
        <v>2534</v>
      </c>
      <c r="C218" s="261" t="s">
        <v>2195</v>
      </c>
      <c r="D218" s="259">
        <v>1</v>
      </c>
      <c r="E218" s="258" t="s">
        <v>2176</v>
      </c>
      <c r="F218" s="258" t="s">
        <v>11</v>
      </c>
      <c r="G218" s="260" t="s">
        <v>2531</v>
      </c>
      <c r="H218" s="260"/>
      <c r="I218" s="260" t="s">
        <v>2165</v>
      </c>
      <c r="J218" s="260" t="s">
        <v>2177</v>
      </c>
      <c r="K218" s="258"/>
      <c r="L218" s="258" t="s">
        <v>2745</v>
      </c>
      <c r="M218" s="260"/>
      <c r="N218" s="262" t="s">
        <v>2745</v>
      </c>
    </row>
    <row r="219" spans="1:14" x14ac:dyDescent="0.3">
      <c r="A219" s="257">
        <v>217</v>
      </c>
      <c r="B219" s="258" t="s">
        <v>2499</v>
      </c>
      <c r="C219" s="261" t="s">
        <v>2500</v>
      </c>
      <c r="D219" s="259">
        <v>2</v>
      </c>
      <c r="E219" s="258" t="s">
        <v>2176</v>
      </c>
      <c r="F219" s="258" t="s">
        <v>11</v>
      </c>
      <c r="G219" s="260" t="s">
        <v>2531</v>
      </c>
      <c r="H219" s="260"/>
      <c r="I219" s="260" t="s">
        <v>2165</v>
      </c>
      <c r="J219" s="260" t="s">
        <v>2177</v>
      </c>
      <c r="K219" s="258"/>
      <c r="L219" s="258" t="s">
        <v>2745</v>
      </c>
      <c r="M219" s="260"/>
      <c r="N219" s="262" t="s">
        <v>2745</v>
      </c>
    </row>
    <row r="220" spans="1:14" x14ac:dyDescent="0.3">
      <c r="A220" s="257">
        <v>218</v>
      </c>
      <c r="B220" s="258" t="s">
        <v>2499</v>
      </c>
      <c r="C220" s="261" t="s">
        <v>2500</v>
      </c>
      <c r="D220" s="259">
        <v>2</v>
      </c>
      <c r="E220" s="258" t="s">
        <v>2176</v>
      </c>
      <c r="F220" s="258" t="s">
        <v>11</v>
      </c>
      <c r="G220" s="260" t="s">
        <v>2531</v>
      </c>
      <c r="H220" s="260"/>
      <c r="I220" s="260" t="s">
        <v>2165</v>
      </c>
      <c r="J220" s="260" t="s">
        <v>2177</v>
      </c>
      <c r="K220" s="258"/>
      <c r="L220" s="258" t="s">
        <v>2745</v>
      </c>
      <c r="M220" s="260"/>
      <c r="N220" s="262" t="s">
        <v>2745</v>
      </c>
    </row>
    <row r="221" spans="1:14" x14ac:dyDescent="0.3">
      <c r="A221" s="257">
        <v>219</v>
      </c>
      <c r="B221" s="258" t="s">
        <v>2530</v>
      </c>
      <c r="C221" s="261" t="s">
        <v>2199</v>
      </c>
      <c r="D221" s="259">
        <v>1</v>
      </c>
      <c r="E221" s="258" t="s">
        <v>2176</v>
      </c>
      <c r="F221" s="258" t="s">
        <v>11</v>
      </c>
      <c r="G221" s="260" t="s">
        <v>2531</v>
      </c>
      <c r="H221" s="260"/>
      <c r="I221" s="260" t="s">
        <v>2165</v>
      </c>
      <c r="J221" s="260" t="s">
        <v>2177</v>
      </c>
      <c r="K221" s="258"/>
      <c r="L221" s="258" t="s">
        <v>2745</v>
      </c>
      <c r="M221" s="260"/>
      <c r="N221" s="262" t="s">
        <v>2745</v>
      </c>
    </row>
    <row r="222" spans="1:14" x14ac:dyDescent="0.3">
      <c r="A222" s="257">
        <v>220</v>
      </c>
      <c r="B222" s="258" t="s">
        <v>2535</v>
      </c>
      <c r="C222" s="261" t="s">
        <v>2189</v>
      </c>
      <c r="D222" s="259">
        <v>1</v>
      </c>
      <c r="E222" s="258" t="s">
        <v>2176</v>
      </c>
      <c r="F222" s="258" t="s">
        <v>11</v>
      </c>
      <c r="G222" s="260" t="s">
        <v>2531</v>
      </c>
      <c r="H222" s="260"/>
      <c r="I222" s="260" t="s">
        <v>2165</v>
      </c>
      <c r="J222" s="260" t="s">
        <v>2177</v>
      </c>
      <c r="K222" s="258"/>
      <c r="L222" s="258" t="s">
        <v>2745</v>
      </c>
      <c r="M222" s="260"/>
      <c r="N222" s="262" t="s">
        <v>2745</v>
      </c>
    </row>
    <row r="223" spans="1:14" x14ac:dyDescent="0.3">
      <c r="A223" s="257">
        <v>221</v>
      </c>
      <c r="B223" s="258" t="s">
        <v>2498</v>
      </c>
      <c r="C223" s="261" t="s">
        <v>2197</v>
      </c>
      <c r="D223" s="259">
        <v>1</v>
      </c>
      <c r="E223" s="258" t="s">
        <v>2176</v>
      </c>
      <c r="F223" s="258" t="s">
        <v>11</v>
      </c>
      <c r="G223" s="260" t="s">
        <v>2531</v>
      </c>
      <c r="H223" s="260"/>
      <c r="I223" s="260" t="s">
        <v>2165</v>
      </c>
      <c r="J223" s="260" t="s">
        <v>2177</v>
      </c>
      <c r="K223" s="258"/>
      <c r="L223" s="258" t="s">
        <v>2745</v>
      </c>
      <c r="M223" s="260"/>
      <c r="N223" s="262" t="s">
        <v>2745</v>
      </c>
    </row>
    <row r="224" spans="1:14" x14ac:dyDescent="0.3">
      <c r="A224" s="257">
        <v>222</v>
      </c>
      <c r="B224" s="258" t="s">
        <v>2498</v>
      </c>
      <c r="C224" s="261" t="s">
        <v>2197</v>
      </c>
      <c r="D224" s="259">
        <v>1</v>
      </c>
      <c r="E224" s="258" t="s">
        <v>2176</v>
      </c>
      <c r="F224" s="258" t="s">
        <v>11</v>
      </c>
      <c r="G224" s="260" t="s">
        <v>2531</v>
      </c>
      <c r="H224" s="260"/>
      <c r="I224" s="260" t="s">
        <v>2165</v>
      </c>
      <c r="J224" s="260" t="s">
        <v>2177</v>
      </c>
      <c r="K224" s="258"/>
      <c r="L224" s="258" t="s">
        <v>2745</v>
      </c>
      <c r="M224" s="260"/>
      <c r="N224" s="262" t="s">
        <v>2745</v>
      </c>
    </row>
    <row r="225" spans="1:14" x14ac:dyDescent="0.3">
      <c r="A225" s="257">
        <v>223</v>
      </c>
      <c r="B225" s="258" t="s">
        <v>2499</v>
      </c>
      <c r="C225" s="261" t="s">
        <v>2500</v>
      </c>
      <c r="D225" s="259">
        <v>1</v>
      </c>
      <c r="E225" s="258" t="s">
        <v>2176</v>
      </c>
      <c r="F225" s="258" t="s">
        <v>11</v>
      </c>
      <c r="G225" s="260" t="s">
        <v>2531</v>
      </c>
      <c r="H225" s="260"/>
      <c r="I225" s="260" t="s">
        <v>2165</v>
      </c>
      <c r="J225" s="260" t="s">
        <v>2177</v>
      </c>
      <c r="K225" s="258"/>
      <c r="L225" s="258" t="s">
        <v>2745</v>
      </c>
      <c r="M225" s="260"/>
      <c r="N225" s="262" t="s">
        <v>2745</v>
      </c>
    </row>
    <row r="226" spans="1:14" x14ac:dyDescent="0.3">
      <c r="A226" s="257">
        <v>224</v>
      </c>
      <c r="B226" s="258" t="s">
        <v>2534</v>
      </c>
      <c r="C226" s="261" t="s">
        <v>2195</v>
      </c>
      <c r="D226" s="259">
        <v>1</v>
      </c>
      <c r="E226" s="258" t="s">
        <v>2176</v>
      </c>
      <c r="F226" s="258" t="s">
        <v>11</v>
      </c>
      <c r="G226" s="260" t="s">
        <v>2531</v>
      </c>
      <c r="H226" s="260"/>
      <c r="I226" s="260" t="s">
        <v>2165</v>
      </c>
      <c r="J226" s="260" t="s">
        <v>2177</v>
      </c>
      <c r="K226" s="258"/>
      <c r="L226" s="258" t="s">
        <v>2745</v>
      </c>
      <c r="M226" s="260"/>
      <c r="N226" s="262" t="s">
        <v>2745</v>
      </c>
    </row>
    <row r="227" spans="1:14" x14ac:dyDescent="0.3">
      <c r="A227" s="257">
        <v>225</v>
      </c>
      <c r="B227" s="258" t="s">
        <v>2503</v>
      </c>
      <c r="C227" s="261" t="s">
        <v>2504</v>
      </c>
      <c r="D227" s="259">
        <v>1</v>
      </c>
      <c r="E227" s="258" t="s">
        <v>2176</v>
      </c>
      <c r="F227" s="258" t="s">
        <v>11</v>
      </c>
      <c r="G227" s="260" t="s">
        <v>2531</v>
      </c>
      <c r="H227" s="260"/>
      <c r="I227" s="260" t="s">
        <v>2165</v>
      </c>
      <c r="J227" s="260" t="s">
        <v>2177</v>
      </c>
      <c r="K227" s="258"/>
      <c r="L227" s="258" t="s">
        <v>2745</v>
      </c>
      <c r="M227" s="260"/>
      <c r="N227" s="262" t="s">
        <v>2745</v>
      </c>
    </row>
    <row r="228" spans="1:14" x14ac:dyDescent="0.3">
      <c r="A228" s="257">
        <v>226</v>
      </c>
      <c r="B228" s="258" t="s">
        <v>2536</v>
      </c>
      <c r="C228" s="261" t="s">
        <v>2537</v>
      </c>
      <c r="D228" s="259">
        <v>10</v>
      </c>
      <c r="E228" s="258" t="s">
        <v>2176</v>
      </c>
      <c r="F228" s="258" t="s">
        <v>11</v>
      </c>
      <c r="G228" s="260" t="s">
        <v>2531</v>
      </c>
      <c r="H228" s="260"/>
      <c r="I228" s="260" t="s">
        <v>2165</v>
      </c>
      <c r="J228" s="260" t="s">
        <v>2177</v>
      </c>
      <c r="K228" s="258"/>
      <c r="L228" s="258" t="s">
        <v>2745</v>
      </c>
      <c r="M228" s="260"/>
      <c r="N228" s="262" t="s">
        <v>2745</v>
      </c>
    </row>
    <row r="229" spans="1:14" x14ac:dyDescent="0.3">
      <c r="A229" s="257">
        <v>227</v>
      </c>
      <c r="B229" s="258" t="s">
        <v>2538</v>
      </c>
      <c r="C229" s="261" t="s">
        <v>2539</v>
      </c>
      <c r="D229" s="259">
        <v>1</v>
      </c>
      <c r="E229" s="258" t="s">
        <v>2176</v>
      </c>
      <c r="F229" s="258" t="s">
        <v>11</v>
      </c>
      <c r="G229" s="260" t="s">
        <v>2531</v>
      </c>
      <c r="H229" s="260"/>
      <c r="I229" s="260" t="s">
        <v>2165</v>
      </c>
      <c r="J229" s="260" t="s">
        <v>2177</v>
      </c>
      <c r="K229" s="258"/>
      <c r="L229" s="258" t="s">
        <v>2745</v>
      </c>
      <c r="M229" s="260"/>
      <c r="N229" s="262" t="s">
        <v>2745</v>
      </c>
    </row>
    <row r="230" spans="1:14" x14ac:dyDescent="0.3">
      <c r="A230" s="257">
        <v>228</v>
      </c>
      <c r="B230" s="258" t="s">
        <v>2347</v>
      </c>
      <c r="C230" s="261" t="s">
        <v>2348</v>
      </c>
      <c r="D230" s="259">
        <v>15</v>
      </c>
      <c r="E230" s="258" t="s">
        <v>2176</v>
      </c>
      <c r="F230" s="258" t="s">
        <v>11</v>
      </c>
      <c r="G230" s="260" t="s">
        <v>2531</v>
      </c>
      <c r="H230" s="260"/>
      <c r="I230" s="260" t="s">
        <v>2165</v>
      </c>
      <c r="J230" s="260" t="s">
        <v>2177</v>
      </c>
      <c r="K230" s="258"/>
      <c r="L230" s="258" t="s">
        <v>2745</v>
      </c>
      <c r="M230" s="260"/>
      <c r="N230" s="262" t="s">
        <v>2745</v>
      </c>
    </row>
    <row r="231" spans="1:14" x14ac:dyDescent="0.3">
      <c r="A231" s="257">
        <v>229</v>
      </c>
      <c r="B231" s="258" t="s">
        <v>2353</v>
      </c>
      <c r="C231" s="261" t="s">
        <v>2354</v>
      </c>
      <c r="D231" s="259">
        <v>1</v>
      </c>
      <c r="E231" s="258" t="s">
        <v>2176</v>
      </c>
      <c r="F231" s="258" t="s">
        <v>11</v>
      </c>
      <c r="G231" s="260" t="s">
        <v>2531</v>
      </c>
      <c r="H231" s="260"/>
      <c r="I231" s="260" t="s">
        <v>2165</v>
      </c>
      <c r="J231" s="260" t="s">
        <v>2177</v>
      </c>
      <c r="K231" s="258"/>
      <c r="L231" s="258" t="s">
        <v>2745</v>
      </c>
      <c r="M231" s="260"/>
      <c r="N231" s="262" t="s">
        <v>2745</v>
      </c>
    </row>
    <row r="232" spans="1:14" x14ac:dyDescent="0.3">
      <c r="A232" s="257">
        <v>230</v>
      </c>
      <c r="B232" s="258" t="s">
        <v>2361</v>
      </c>
      <c r="C232" s="261" t="s">
        <v>2362</v>
      </c>
      <c r="D232" s="259">
        <v>1</v>
      </c>
      <c r="E232" s="258" t="s">
        <v>2176</v>
      </c>
      <c r="F232" s="258" t="s">
        <v>11</v>
      </c>
      <c r="G232" s="260" t="s">
        <v>2531</v>
      </c>
      <c r="H232" s="260"/>
      <c r="I232" s="260" t="s">
        <v>2165</v>
      </c>
      <c r="J232" s="260" t="s">
        <v>2177</v>
      </c>
      <c r="K232" s="258"/>
      <c r="L232" s="258" t="s">
        <v>2745</v>
      </c>
      <c r="M232" s="260"/>
      <c r="N232" s="262" t="s">
        <v>2745</v>
      </c>
    </row>
    <row r="233" spans="1:14" x14ac:dyDescent="0.3">
      <c r="A233" s="257">
        <v>231</v>
      </c>
      <c r="B233" s="258" t="s">
        <v>2357</v>
      </c>
      <c r="C233" s="261" t="s">
        <v>2358</v>
      </c>
      <c r="D233" s="259">
        <v>1</v>
      </c>
      <c r="E233" s="258" t="s">
        <v>2176</v>
      </c>
      <c r="F233" s="258" t="s">
        <v>11</v>
      </c>
      <c r="G233" s="260" t="s">
        <v>2531</v>
      </c>
      <c r="H233" s="260"/>
      <c r="I233" s="260" t="s">
        <v>2165</v>
      </c>
      <c r="J233" s="260" t="s">
        <v>2177</v>
      </c>
      <c r="K233" s="258"/>
      <c r="L233" s="258" t="s">
        <v>2745</v>
      </c>
      <c r="M233" s="260"/>
      <c r="N233" s="262" t="s">
        <v>2745</v>
      </c>
    </row>
    <row r="234" spans="1:14" x14ac:dyDescent="0.3">
      <c r="A234" s="257">
        <v>232</v>
      </c>
      <c r="B234" s="258" t="s">
        <v>2355</v>
      </c>
      <c r="C234" s="261" t="s">
        <v>2356</v>
      </c>
      <c r="D234" s="259">
        <v>1</v>
      </c>
      <c r="E234" s="258" t="s">
        <v>2176</v>
      </c>
      <c r="F234" s="258" t="s">
        <v>11</v>
      </c>
      <c r="G234" s="260" t="s">
        <v>2531</v>
      </c>
      <c r="H234" s="260"/>
      <c r="I234" s="260" t="s">
        <v>2165</v>
      </c>
      <c r="J234" s="260" t="s">
        <v>2177</v>
      </c>
      <c r="K234" s="258"/>
      <c r="L234" s="258" t="s">
        <v>2745</v>
      </c>
      <c r="M234" s="260"/>
      <c r="N234" s="262" t="s">
        <v>2745</v>
      </c>
    </row>
    <row r="235" spans="1:14" x14ac:dyDescent="0.3">
      <c r="A235" s="257">
        <v>233</v>
      </c>
      <c r="B235" s="258" t="s">
        <v>2540</v>
      </c>
      <c r="C235" s="261" t="s">
        <v>2352</v>
      </c>
      <c r="D235" s="259">
        <v>4</v>
      </c>
      <c r="E235" s="258" t="s">
        <v>2176</v>
      </c>
      <c r="F235" s="258" t="s">
        <v>11</v>
      </c>
      <c r="G235" s="260" t="s">
        <v>2531</v>
      </c>
      <c r="H235" s="260"/>
      <c r="I235" s="260" t="s">
        <v>2165</v>
      </c>
      <c r="J235" s="260" t="s">
        <v>2177</v>
      </c>
      <c r="K235" s="258"/>
      <c r="L235" s="258" t="s">
        <v>2745</v>
      </c>
      <c r="M235" s="260"/>
      <c r="N235" s="262" t="s">
        <v>2745</v>
      </c>
    </row>
    <row r="236" spans="1:14" x14ac:dyDescent="0.3">
      <c r="A236" s="257">
        <v>234</v>
      </c>
      <c r="B236" s="258" t="s">
        <v>2541</v>
      </c>
      <c r="C236" s="261" t="s">
        <v>2542</v>
      </c>
      <c r="D236" s="259">
        <v>1</v>
      </c>
      <c r="E236" s="258" t="s">
        <v>2176</v>
      </c>
      <c r="F236" s="258" t="s">
        <v>11</v>
      </c>
      <c r="G236" s="260" t="s">
        <v>2531</v>
      </c>
      <c r="H236" s="260"/>
      <c r="I236" s="260" t="s">
        <v>2165</v>
      </c>
      <c r="J236" s="260" t="s">
        <v>2177</v>
      </c>
      <c r="K236" s="258"/>
      <c r="L236" s="258" t="s">
        <v>2745</v>
      </c>
      <c r="M236" s="260"/>
      <c r="N236" s="262" t="s">
        <v>2745</v>
      </c>
    </row>
    <row r="237" spans="1:14" x14ac:dyDescent="0.3">
      <c r="A237" s="257">
        <v>235</v>
      </c>
      <c r="B237" s="258" t="s">
        <v>2359</v>
      </c>
      <c r="C237" s="261" t="s">
        <v>2360</v>
      </c>
      <c r="D237" s="259">
        <v>2</v>
      </c>
      <c r="E237" s="258" t="s">
        <v>2176</v>
      </c>
      <c r="F237" s="258" t="s">
        <v>11</v>
      </c>
      <c r="G237" s="260" t="s">
        <v>2531</v>
      </c>
      <c r="H237" s="260"/>
      <c r="I237" s="260" t="s">
        <v>2165</v>
      </c>
      <c r="J237" s="260" t="s">
        <v>2177</v>
      </c>
      <c r="K237" s="258"/>
      <c r="L237" s="258" t="s">
        <v>2745</v>
      </c>
      <c r="M237" s="260"/>
      <c r="N237" s="262" t="s">
        <v>2745</v>
      </c>
    </row>
    <row r="238" spans="1:14" x14ac:dyDescent="0.3">
      <c r="A238" s="257">
        <v>236</v>
      </c>
      <c r="B238" s="258" t="s">
        <v>2543</v>
      </c>
      <c r="C238" s="261" t="s">
        <v>2544</v>
      </c>
      <c r="D238" s="259">
        <v>2</v>
      </c>
      <c r="E238" s="258" t="s">
        <v>2176</v>
      </c>
      <c r="F238" s="258" t="s">
        <v>11</v>
      </c>
      <c r="G238" s="260" t="s">
        <v>2531</v>
      </c>
      <c r="H238" s="260"/>
      <c r="I238" s="260" t="s">
        <v>2165</v>
      </c>
      <c r="J238" s="260" t="s">
        <v>2177</v>
      </c>
      <c r="K238" s="258"/>
      <c r="L238" s="258" t="s">
        <v>2745</v>
      </c>
      <c r="M238" s="260"/>
      <c r="N238" s="262" t="s">
        <v>2745</v>
      </c>
    </row>
    <row r="239" spans="1:14" x14ac:dyDescent="0.3">
      <c r="A239" s="257">
        <v>237</v>
      </c>
      <c r="B239" s="258" t="s">
        <v>2545</v>
      </c>
      <c r="C239" s="261" t="s">
        <v>2546</v>
      </c>
      <c r="D239" s="259">
        <v>2</v>
      </c>
      <c r="E239" s="258" t="s">
        <v>2176</v>
      </c>
      <c r="F239" s="258" t="s">
        <v>11</v>
      </c>
      <c r="G239" s="260" t="s">
        <v>2531</v>
      </c>
      <c r="H239" s="260"/>
      <c r="I239" s="260" t="s">
        <v>2165</v>
      </c>
      <c r="J239" s="260" t="s">
        <v>2177</v>
      </c>
      <c r="K239" s="258"/>
      <c r="L239" s="258" t="s">
        <v>2745</v>
      </c>
      <c r="M239" s="260"/>
      <c r="N239" s="262" t="s">
        <v>2745</v>
      </c>
    </row>
    <row r="240" spans="1:14" ht="28.8" x14ac:dyDescent="0.3">
      <c r="A240" s="257">
        <v>238</v>
      </c>
      <c r="B240" s="258" t="s">
        <v>2547</v>
      </c>
      <c r="C240" s="261" t="s">
        <v>2548</v>
      </c>
      <c r="D240" s="259">
        <v>1</v>
      </c>
      <c r="E240" s="258" t="s">
        <v>2549</v>
      </c>
      <c r="F240" s="258" t="s">
        <v>2163</v>
      </c>
      <c r="G240" s="260" t="s">
        <v>2550</v>
      </c>
      <c r="H240" s="260" t="s">
        <v>2551</v>
      </c>
      <c r="I240" s="260" t="s">
        <v>2552</v>
      </c>
      <c r="J240" s="260" t="s">
        <v>2222</v>
      </c>
      <c r="K240" s="258"/>
      <c r="L240" s="258" t="s">
        <v>2745</v>
      </c>
      <c r="M240" s="260"/>
      <c r="N240" s="262" t="s">
        <v>2745</v>
      </c>
    </row>
    <row r="241" spans="1:14" ht="28.8" x14ac:dyDescent="0.3">
      <c r="A241" s="257">
        <v>239</v>
      </c>
      <c r="B241" s="258" t="s">
        <v>2553</v>
      </c>
      <c r="C241" s="261" t="s">
        <v>2554</v>
      </c>
      <c r="D241" s="259">
        <v>3</v>
      </c>
      <c r="E241" s="258" t="s">
        <v>2555</v>
      </c>
      <c r="F241" s="258" t="s">
        <v>2163</v>
      </c>
      <c r="G241" s="260" t="s">
        <v>2556</v>
      </c>
      <c r="H241" s="260" t="s">
        <v>2551</v>
      </c>
      <c r="I241" s="260" t="s">
        <v>2552</v>
      </c>
      <c r="J241" s="260" t="s">
        <v>2557</v>
      </c>
      <c r="K241" s="258"/>
      <c r="L241" s="258" t="s">
        <v>2745</v>
      </c>
      <c r="M241" s="260"/>
      <c r="N241" s="262" t="s">
        <v>2745</v>
      </c>
    </row>
    <row r="242" spans="1:14" ht="28.8" x14ac:dyDescent="0.3">
      <c r="A242" s="257">
        <v>240</v>
      </c>
      <c r="B242" s="258" t="s">
        <v>2558</v>
      </c>
      <c r="C242" s="261" t="s">
        <v>2559</v>
      </c>
      <c r="D242" s="259">
        <v>1</v>
      </c>
      <c r="E242" s="258" t="s">
        <v>2560</v>
      </c>
      <c r="F242" s="258" t="s">
        <v>11</v>
      </c>
      <c r="G242" s="260" t="s">
        <v>2561</v>
      </c>
      <c r="H242" s="260" t="s">
        <v>2551</v>
      </c>
      <c r="I242" s="260" t="s">
        <v>2165</v>
      </c>
      <c r="J242" s="260" t="s">
        <v>2562</v>
      </c>
      <c r="K242" s="258"/>
      <c r="L242" s="258" t="s">
        <v>2745</v>
      </c>
      <c r="M242" s="260"/>
      <c r="N242" s="262" t="s">
        <v>2745</v>
      </c>
    </row>
    <row r="243" spans="1:14" ht="28.8" x14ac:dyDescent="0.3">
      <c r="A243" s="257">
        <v>241</v>
      </c>
      <c r="B243" s="258" t="s">
        <v>2563</v>
      </c>
      <c r="C243" s="261" t="s">
        <v>2564</v>
      </c>
      <c r="D243" s="259">
        <v>1</v>
      </c>
      <c r="E243" s="258" t="s">
        <v>2560</v>
      </c>
      <c r="F243" s="258" t="s">
        <v>11</v>
      </c>
      <c r="G243" s="260" t="s">
        <v>2561</v>
      </c>
      <c r="H243" s="260" t="s">
        <v>2551</v>
      </c>
      <c r="I243" s="260" t="s">
        <v>2165</v>
      </c>
      <c r="J243" s="260" t="s">
        <v>2562</v>
      </c>
      <c r="K243" s="260"/>
      <c r="L243" s="258" t="s">
        <v>2745</v>
      </c>
      <c r="M243" s="260"/>
      <c r="N243" s="262" t="s">
        <v>2745</v>
      </c>
    </row>
    <row r="244" spans="1:14" ht="28.8" x14ac:dyDescent="0.3">
      <c r="A244" s="257">
        <v>242</v>
      </c>
      <c r="B244" s="258" t="s">
        <v>2565</v>
      </c>
      <c r="C244" s="261" t="s">
        <v>2566</v>
      </c>
      <c r="D244" s="259">
        <v>2</v>
      </c>
      <c r="E244" s="258" t="s">
        <v>2560</v>
      </c>
      <c r="F244" s="258" t="s">
        <v>11</v>
      </c>
      <c r="G244" s="260" t="s">
        <v>2561</v>
      </c>
      <c r="H244" s="260" t="s">
        <v>2551</v>
      </c>
      <c r="I244" s="260" t="s">
        <v>2165</v>
      </c>
      <c r="J244" s="260" t="s">
        <v>2562</v>
      </c>
      <c r="K244" s="260"/>
      <c r="L244" s="258" t="s">
        <v>2745</v>
      </c>
      <c r="M244" s="260"/>
      <c r="N244" s="262" t="s">
        <v>2745</v>
      </c>
    </row>
    <row r="245" spans="1:14" ht="28.8" x14ac:dyDescent="0.3">
      <c r="A245" s="257">
        <v>243</v>
      </c>
      <c r="B245" s="258" t="s">
        <v>2567</v>
      </c>
      <c r="C245" s="261" t="s">
        <v>2568</v>
      </c>
      <c r="D245" s="259">
        <v>1</v>
      </c>
      <c r="E245" s="258" t="s">
        <v>2560</v>
      </c>
      <c r="F245" s="258" t="s">
        <v>11</v>
      </c>
      <c r="G245" s="260" t="s">
        <v>2561</v>
      </c>
      <c r="H245" s="260" t="s">
        <v>2551</v>
      </c>
      <c r="I245" s="260" t="s">
        <v>2165</v>
      </c>
      <c r="J245" s="260" t="s">
        <v>2562</v>
      </c>
      <c r="K245" s="260"/>
      <c r="L245" s="258" t="s">
        <v>2745</v>
      </c>
      <c r="M245" s="260"/>
      <c r="N245" s="262" t="s">
        <v>2745</v>
      </c>
    </row>
    <row r="246" spans="1:14" ht="28.8" x14ac:dyDescent="0.3">
      <c r="A246" s="257">
        <v>244</v>
      </c>
      <c r="B246" s="258" t="s">
        <v>2569</v>
      </c>
      <c r="C246" s="261" t="s">
        <v>2570</v>
      </c>
      <c r="D246" s="259">
        <v>1</v>
      </c>
      <c r="E246" s="258" t="s">
        <v>2560</v>
      </c>
      <c r="F246" s="258" t="s">
        <v>11</v>
      </c>
      <c r="G246" s="260" t="s">
        <v>2561</v>
      </c>
      <c r="H246" s="260" t="s">
        <v>2551</v>
      </c>
      <c r="I246" s="260" t="s">
        <v>2165</v>
      </c>
      <c r="J246" s="260" t="s">
        <v>2562</v>
      </c>
      <c r="K246" s="260"/>
      <c r="L246" s="258" t="s">
        <v>2745</v>
      </c>
      <c r="M246" s="260"/>
      <c r="N246" s="262" t="s">
        <v>2745</v>
      </c>
    </row>
    <row r="247" spans="1:14" ht="28.8" x14ac:dyDescent="0.3">
      <c r="A247" s="257">
        <v>245</v>
      </c>
      <c r="B247" s="258" t="s">
        <v>2571</v>
      </c>
      <c r="C247" s="261" t="s">
        <v>2572</v>
      </c>
      <c r="D247" s="259">
        <v>1</v>
      </c>
      <c r="E247" s="258" t="s">
        <v>2573</v>
      </c>
      <c r="F247" s="258" t="s">
        <v>2163</v>
      </c>
      <c r="G247" s="260" t="s">
        <v>2574</v>
      </c>
      <c r="H247" s="260" t="s">
        <v>2551</v>
      </c>
      <c r="I247" s="260" t="s">
        <v>2552</v>
      </c>
      <c r="J247" s="260" t="s">
        <v>2575</v>
      </c>
      <c r="K247" s="260"/>
      <c r="L247" s="258" t="s">
        <v>2745</v>
      </c>
      <c r="M247" s="260"/>
      <c r="N247" s="262" t="s">
        <v>2745</v>
      </c>
    </row>
    <row r="248" spans="1:14" ht="28.8" x14ac:dyDescent="0.3">
      <c r="A248" s="257">
        <v>246</v>
      </c>
      <c r="B248" s="258" t="s">
        <v>2571</v>
      </c>
      <c r="C248" s="261" t="s">
        <v>2572</v>
      </c>
      <c r="D248" s="259">
        <v>2</v>
      </c>
      <c r="E248" s="258" t="s">
        <v>2573</v>
      </c>
      <c r="F248" s="258" t="s">
        <v>2163</v>
      </c>
      <c r="G248" s="260" t="s">
        <v>2576</v>
      </c>
      <c r="H248" s="260" t="s">
        <v>2551</v>
      </c>
      <c r="I248" s="260" t="s">
        <v>2552</v>
      </c>
      <c r="J248" s="260" t="s">
        <v>2575</v>
      </c>
      <c r="K248" s="260"/>
      <c r="L248" s="258" t="s">
        <v>2745</v>
      </c>
      <c r="M248" s="260"/>
      <c r="N248" s="262" t="s">
        <v>2745</v>
      </c>
    </row>
    <row r="249" spans="1:14" ht="28.8" x14ac:dyDescent="0.3">
      <c r="A249" s="257">
        <v>247</v>
      </c>
      <c r="B249" s="258" t="s">
        <v>2571</v>
      </c>
      <c r="C249" s="261" t="s">
        <v>2572</v>
      </c>
      <c r="D249" s="259">
        <v>2</v>
      </c>
      <c r="E249" s="258" t="s">
        <v>2573</v>
      </c>
      <c r="F249" s="258" t="s">
        <v>2163</v>
      </c>
      <c r="G249" s="260" t="s">
        <v>2577</v>
      </c>
      <c r="H249" s="260" t="s">
        <v>2551</v>
      </c>
      <c r="I249" s="260" t="s">
        <v>2552</v>
      </c>
      <c r="J249" s="260" t="s">
        <v>2575</v>
      </c>
      <c r="K249" s="260"/>
      <c r="L249" s="258" t="s">
        <v>2745</v>
      </c>
      <c r="M249" s="260"/>
      <c r="N249" s="262" t="s">
        <v>2745</v>
      </c>
    </row>
    <row r="250" spans="1:14" ht="28.8" x14ac:dyDescent="0.3">
      <c r="A250" s="257">
        <v>248</v>
      </c>
      <c r="B250" s="258" t="s">
        <v>2578</v>
      </c>
      <c r="C250" s="261" t="s">
        <v>2579</v>
      </c>
      <c r="D250" s="259">
        <v>1</v>
      </c>
      <c r="E250" s="258" t="s">
        <v>2573</v>
      </c>
      <c r="F250" s="258" t="s">
        <v>2163</v>
      </c>
      <c r="G250" s="260" t="s">
        <v>2580</v>
      </c>
      <c r="H250" s="260" t="s">
        <v>2551</v>
      </c>
      <c r="I250" s="260" t="s">
        <v>2552</v>
      </c>
      <c r="J250" s="260" t="s">
        <v>2575</v>
      </c>
      <c r="K250" s="260"/>
      <c r="L250" s="258" t="s">
        <v>2745</v>
      </c>
      <c r="M250" s="260"/>
      <c r="N250" s="262" t="s">
        <v>2745</v>
      </c>
    </row>
    <row r="251" spans="1:14" ht="28.8" x14ac:dyDescent="0.3">
      <c r="A251" s="257">
        <v>249</v>
      </c>
      <c r="B251" s="258" t="s">
        <v>2578</v>
      </c>
      <c r="C251" s="261" t="s">
        <v>2579</v>
      </c>
      <c r="D251" s="259">
        <v>1</v>
      </c>
      <c r="E251" s="258" t="s">
        <v>2573</v>
      </c>
      <c r="F251" s="258" t="s">
        <v>2163</v>
      </c>
      <c r="G251" s="260" t="s">
        <v>2581</v>
      </c>
      <c r="H251" s="260" t="s">
        <v>2551</v>
      </c>
      <c r="I251" s="260" t="s">
        <v>2552</v>
      </c>
      <c r="J251" s="260" t="s">
        <v>2575</v>
      </c>
      <c r="K251" s="260"/>
      <c r="L251" s="258" t="s">
        <v>2745</v>
      </c>
      <c r="M251" s="260"/>
      <c r="N251" s="262" t="s">
        <v>2745</v>
      </c>
    </row>
    <row r="252" spans="1:14" ht="28.8" x14ac:dyDescent="0.3">
      <c r="A252" s="257">
        <v>250</v>
      </c>
      <c r="B252" s="258" t="s">
        <v>2582</v>
      </c>
      <c r="C252" s="261" t="s">
        <v>2583</v>
      </c>
      <c r="D252" s="259">
        <v>1</v>
      </c>
      <c r="E252" s="258" t="s">
        <v>2573</v>
      </c>
      <c r="F252" s="258" t="s">
        <v>2163</v>
      </c>
      <c r="G252" s="260" t="s">
        <v>2584</v>
      </c>
      <c r="H252" s="260" t="s">
        <v>2551</v>
      </c>
      <c r="I252" s="260" t="s">
        <v>2552</v>
      </c>
      <c r="J252" s="260" t="s">
        <v>2575</v>
      </c>
      <c r="K252" s="258"/>
      <c r="L252" s="258" t="s">
        <v>2745</v>
      </c>
      <c r="M252" s="260"/>
      <c r="N252" s="262" t="s">
        <v>2745</v>
      </c>
    </row>
    <row r="253" spans="1:14" ht="28.8" x14ac:dyDescent="0.3">
      <c r="A253" s="257">
        <v>251</v>
      </c>
      <c r="B253" s="258" t="s">
        <v>2582</v>
      </c>
      <c r="C253" s="261" t="s">
        <v>2583</v>
      </c>
      <c r="D253" s="259">
        <v>1</v>
      </c>
      <c r="E253" s="258" t="s">
        <v>2573</v>
      </c>
      <c r="F253" s="258" t="s">
        <v>2163</v>
      </c>
      <c r="G253" s="260" t="s">
        <v>2585</v>
      </c>
      <c r="H253" s="260" t="s">
        <v>2551</v>
      </c>
      <c r="I253" s="260" t="s">
        <v>2552</v>
      </c>
      <c r="J253" s="260" t="s">
        <v>2575</v>
      </c>
      <c r="K253" s="258"/>
      <c r="L253" s="258" t="s">
        <v>2745</v>
      </c>
      <c r="M253" s="260"/>
      <c r="N253" s="262" t="s">
        <v>2745</v>
      </c>
    </row>
    <row r="254" spans="1:14" ht="28.8" x14ac:dyDescent="0.3">
      <c r="A254" s="257">
        <v>252</v>
      </c>
      <c r="B254" s="258" t="s">
        <v>2582</v>
      </c>
      <c r="C254" s="261" t="s">
        <v>2583</v>
      </c>
      <c r="D254" s="259">
        <v>2</v>
      </c>
      <c r="E254" s="258" t="s">
        <v>2573</v>
      </c>
      <c r="F254" s="258" t="s">
        <v>2163</v>
      </c>
      <c r="G254" s="260" t="s">
        <v>2586</v>
      </c>
      <c r="H254" s="260" t="s">
        <v>2551</v>
      </c>
      <c r="I254" s="260" t="s">
        <v>2552</v>
      </c>
      <c r="J254" s="260" t="s">
        <v>2575</v>
      </c>
      <c r="K254" s="258"/>
      <c r="L254" s="258" t="s">
        <v>2745</v>
      </c>
      <c r="M254" s="260"/>
      <c r="N254" s="262" t="s">
        <v>2745</v>
      </c>
    </row>
    <row r="255" spans="1:14" ht="28.8" x14ac:dyDescent="0.3">
      <c r="A255" s="257">
        <v>253</v>
      </c>
      <c r="B255" s="258" t="s">
        <v>2582</v>
      </c>
      <c r="C255" s="261" t="s">
        <v>2583</v>
      </c>
      <c r="D255" s="259">
        <v>1</v>
      </c>
      <c r="E255" s="258" t="s">
        <v>2573</v>
      </c>
      <c r="F255" s="258" t="s">
        <v>2163</v>
      </c>
      <c r="G255" s="260" t="s">
        <v>2587</v>
      </c>
      <c r="H255" s="260" t="s">
        <v>2551</v>
      </c>
      <c r="I255" s="260" t="s">
        <v>2552</v>
      </c>
      <c r="J255" s="260" t="s">
        <v>2575</v>
      </c>
      <c r="K255" s="258"/>
      <c r="L255" s="258" t="s">
        <v>2745</v>
      </c>
      <c r="M255" s="260"/>
      <c r="N255" s="262" t="s">
        <v>2745</v>
      </c>
    </row>
    <row r="256" spans="1:14" ht="28.8" x14ac:dyDescent="0.3">
      <c r="A256" s="257">
        <v>254</v>
      </c>
      <c r="B256" s="258" t="s">
        <v>2588</v>
      </c>
      <c r="C256" s="261" t="s">
        <v>2589</v>
      </c>
      <c r="D256" s="259">
        <v>1</v>
      </c>
      <c r="E256" s="258" t="s">
        <v>2573</v>
      </c>
      <c r="F256" s="258" t="s">
        <v>2163</v>
      </c>
      <c r="G256" s="260" t="s">
        <v>2590</v>
      </c>
      <c r="H256" s="260" t="s">
        <v>2551</v>
      </c>
      <c r="I256" s="260" t="s">
        <v>2552</v>
      </c>
      <c r="J256" s="260" t="s">
        <v>2575</v>
      </c>
      <c r="K256" s="258"/>
      <c r="L256" s="258" t="s">
        <v>2745</v>
      </c>
      <c r="M256" s="260"/>
      <c r="N256" s="262" t="s">
        <v>2745</v>
      </c>
    </row>
    <row r="257" spans="1:14" ht="28.8" x14ac:dyDescent="0.3">
      <c r="A257" s="257">
        <v>255</v>
      </c>
      <c r="B257" s="258" t="s">
        <v>2591</v>
      </c>
      <c r="C257" s="261" t="s">
        <v>2592</v>
      </c>
      <c r="D257" s="259">
        <v>1</v>
      </c>
      <c r="E257" s="258" t="s">
        <v>2573</v>
      </c>
      <c r="F257" s="258" t="s">
        <v>2163</v>
      </c>
      <c r="G257" s="260" t="s">
        <v>2593</v>
      </c>
      <c r="H257" s="260" t="s">
        <v>2551</v>
      </c>
      <c r="I257" s="260" t="s">
        <v>2552</v>
      </c>
      <c r="J257" s="260" t="s">
        <v>2575</v>
      </c>
      <c r="K257" s="258"/>
      <c r="L257" s="258" t="s">
        <v>2745</v>
      </c>
      <c r="M257" s="260"/>
      <c r="N257" s="262" t="s">
        <v>2745</v>
      </c>
    </row>
    <row r="258" spans="1:14" ht="28.8" x14ac:dyDescent="0.3">
      <c r="A258" s="257">
        <v>256</v>
      </c>
      <c r="B258" s="258" t="s">
        <v>2594</v>
      </c>
      <c r="C258" s="261" t="s">
        <v>2595</v>
      </c>
      <c r="D258" s="259">
        <v>1</v>
      </c>
      <c r="E258" s="258" t="s">
        <v>2573</v>
      </c>
      <c r="F258" s="258" t="s">
        <v>2163</v>
      </c>
      <c r="G258" s="260" t="s">
        <v>2596</v>
      </c>
      <c r="H258" s="260" t="s">
        <v>2551</v>
      </c>
      <c r="I258" s="260" t="s">
        <v>2552</v>
      </c>
      <c r="J258" s="260" t="s">
        <v>2575</v>
      </c>
      <c r="K258" s="258"/>
      <c r="L258" s="258" t="s">
        <v>2745</v>
      </c>
      <c r="M258" s="260"/>
      <c r="N258" s="262" t="s">
        <v>2745</v>
      </c>
    </row>
    <row r="259" spans="1:14" ht="28.8" x14ac:dyDescent="0.3">
      <c r="A259" s="257">
        <v>257</v>
      </c>
      <c r="B259" s="258" t="s">
        <v>2597</v>
      </c>
      <c r="C259" s="261" t="s">
        <v>2598</v>
      </c>
      <c r="D259" s="259">
        <v>2</v>
      </c>
      <c r="E259" s="258" t="s">
        <v>2573</v>
      </c>
      <c r="F259" s="258" t="s">
        <v>2163</v>
      </c>
      <c r="G259" s="260" t="s">
        <v>2599</v>
      </c>
      <c r="H259" s="260" t="s">
        <v>2551</v>
      </c>
      <c r="I259" s="260" t="s">
        <v>2552</v>
      </c>
      <c r="J259" s="260" t="s">
        <v>2575</v>
      </c>
      <c r="K259" s="258"/>
      <c r="L259" s="258" t="s">
        <v>2745</v>
      </c>
      <c r="M259" s="260"/>
      <c r="N259" s="262" t="s">
        <v>2745</v>
      </c>
    </row>
    <row r="260" spans="1:14" ht="28.8" x14ac:dyDescent="0.3">
      <c r="A260" s="257">
        <v>258</v>
      </c>
      <c r="B260" s="258" t="s">
        <v>2597</v>
      </c>
      <c r="C260" s="261" t="s">
        <v>2598</v>
      </c>
      <c r="D260" s="259">
        <v>2</v>
      </c>
      <c r="E260" s="258" t="s">
        <v>2573</v>
      </c>
      <c r="F260" s="258" t="s">
        <v>2163</v>
      </c>
      <c r="G260" s="260" t="s">
        <v>2600</v>
      </c>
      <c r="H260" s="260" t="s">
        <v>2551</v>
      </c>
      <c r="I260" s="260" t="s">
        <v>2552</v>
      </c>
      <c r="J260" s="260" t="s">
        <v>2575</v>
      </c>
      <c r="K260" s="258"/>
      <c r="L260" s="258" t="s">
        <v>2745</v>
      </c>
      <c r="M260" s="260"/>
      <c r="N260" s="262" t="s">
        <v>2745</v>
      </c>
    </row>
    <row r="261" spans="1:14" ht="28.8" x14ac:dyDescent="0.3">
      <c r="A261" s="257">
        <v>259</v>
      </c>
      <c r="B261" s="258" t="s">
        <v>2578</v>
      </c>
      <c r="C261" s="261" t="s">
        <v>2579</v>
      </c>
      <c r="D261" s="259">
        <v>1</v>
      </c>
      <c r="E261" s="258" t="s">
        <v>2601</v>
      </c>
      <c r="F261" s="258" t="s">
        <v>2163</v>
      </c>
      <c r="G261" s="260" t="s">
        <v>2395</v>
      </c>
      <c r="H261" s="260" t="s">
        <v>2551</v>
      </c>
      <c r="I261" s="260" t="s">
        <v>2165</v>
      </c>
      <c r="J261" s="260" t="s">
        <v>2602</v>
      </c>
      <c r="K261" s="258"/>
      <c r="L261" s="258" t="s">
        <v>2745</v>
      </c>
      <c r="M261" s="260"/>
      <c r="N261" s="262" t="s">
        <v>2745</v>
      </c>
    </row>
    <row r="262" spans="1:14" ht="28.8" x14ac:dyDescent="0.3">
      <c r="A262" s="257">
        <v>260</v>
      </c>
      <c r="B262" s="258" t="s">
        <v>2603</v>
      </c>
      <c r="C262" s="261" t="s">
        <v>2604</v>
      </c>
      <c r="D262" s="259">
        <v>2</v>
      </c>
      <c r="E262" s="258" t="s">
        <v>2605</v>
      </c>
      <c r="F262" s="258" t="s">
        <v>2163</v>
      </c>
      <c r="G262" s="260" t="s">
        <v>2395</v>
      </c>
      <c r="H262" s="260" t="s">
        <v>2551</v>
      </c>
      <c r="I262" s="260" t="s">
        <v>2165</v>
      </c>
      <c r="J262" s="260" t="s">
        <v>2606</v>
      </c>
      <c r="K262" s="258"/>
      <c r="L262" s="258" t="s">
        <v>2745</v>
      </c>
      <c r="M262" s="260"/>
      <c r="N262" s="262" t="s">
        <v>2745</v>
      </c>
    </row>
    <row r="263" spans="1:14" ht="28.8" x14ac:dyDescent="0.3">
      <c r="A263" s="257">
        <v>261</v>
      </c>
      <c r="B263" s="258" t="s">
        <v>2571</v>
      </c>
      <c r="C263" s="261" t="s">
        <v>2572</v>
      </c>
      <c r="D263" s="259">
        <v>2</v>
      </c>
      <c r="E263" s="258" t="s">
        <v>2601</v>
      </c>
      <c r="F263" s="258" t="s">
        <v>2163</v>
      </c>
      <c r="G263" s="260" t="s">
        <v>2395</v>
      </c>
      <c r="H263" s="260" t="s">
        <v>2551</v>
      </c>
      <c r="I263" s="260" t="s">
        <v>2165</v>
      </c>
      <c r="J263" s="260" t="s">
        <v>2602</v>
      </c>
      <c r="K263" s="258"/>
      <c r="L263" s="258" t="s">
        <v>2745</v>
      </c>
      <c r="M263" s="260"/>
      <c r="N263" s="262" t="s">
        <v>2745</v>
      </c>
    </row>
    <row r="264" spans="1:14" ht="28.8" x14ac:dyDescent="0.3">
      <c r="A264" s="257">
        <v>262</v>
      </c>
      <c r="B264" s="258" t="s">
        <v>2607</v>
      </c>
      <c r="C264" s="261" t="s">
        <v>2608</v>
      </c>
      <c r="D264" s="259">
        <v>4</v>
      </c>
      <c r="E264" s="258" t="s">
        <v>2609</v>
      </c>
      <c r="F264" s="258" t="s">
        <v>2163</v>
      </c>
      <c r="G264" s="260" t="s">
        <v>2395</v>
      </c>
      <c r="H264" s="260" t="s">
        <v>2551</v>
      </c>
      <c r="I264" s="260" t="s">
        <v>2165</v>
      </c>
      <c r="J264" s="260" t="s">
        <v>2610</v>
      </c>
      <c r="K264" s="258"/>
      <c r="L264" s="258" t="s">
        <v>2745</v>
      </c>
      <c r="M264" s="260"/>
      <c r="N264" s="262" t="s">
        <v>2745</v>
      </c>
    </row>
    <row r="265" spans="1:14" ht="28.8" x14ac:dyDescent="0.3">
      <c r="A265" s="257">
        <v>263</v>
      </c>
      <c r="B265" s="258" t="s">
        <v>2607</v>
      </c>
      <c r="C265" s="261" t="s">
        <v>2608</v>
      </c>
      <c r="D265" s="259">
        <v>1</v>
      </c>
      <c r="E265" s="258" t="s">
        <v>2611</v>
      </c>
      <c r="F265" s="258" t="s">
        <v>2163</v>
      </c>
      <c r="G265" s="260" t="s">
        <v>2395</v>
      </c>
      <c r="H265" s="260" t="s">
        <v>2551</v>
      </c>
      <c r="I265" s="260" t="s">
        <v>2165</v>
      </c>
      <c r="J265" s="260" t="s">
        <v>2612</v>
      </c>
      <c r="K265" s="258"/>
      <c r="L265" s="258" t="s">
        <v>2745</v>
      </c>
      <c r="M265" s="260"/>
      <c r="N265" s="262" t="s">
        <v>2745</v>
      </c>
    </row>
    <row r="266" spans="1:14" ht="28.8" x14ac:dyDescent="0.3">
      <c r="A266" s="257">
        <v>264</v>
      </c>
      <c r="B266" s="258" t="s">
        <v>2607</v>
      </c>
      <c r="C266" s="261" t="s">
        <v>2608</v>
      </c>
      <c r="D266" s="259">
        <v>1</v>
      </c>
      <c r="E266" s="258" t="s">
        <v>2613</v>
      </c>
      <c r="F266" s="258" t="s">
        <v>2163</v>
      </c>
      <c r="G266" s="260" t="s">
        <v>2395</v>
      </c>
      <c r="H266" s="260" t="s">
        <v>2551</v>
      </c>
      <c r="I266" s="260" t="s">
        <v>2165</v>
      </c>
      <c r="J266" s="260" t="s">
        <v>2614</v>
      </c>
      <c r="K266" s="258"/>
      <c r="L266" s="258" t="s">
        <v>2745</v>
      </c>
      <c r="M266" s="260"/>
      <c r="N266" s="262" t="s">
        <v>2745</v>
      </c>
    </row>
    <row r="267" spans="1:14" ht="28.8" x14ac:dyDescent="0.3">
      <c r="A267" s="257">
        <v>265</v>
      </c>
      <c r="B267" s="258" t="s">
        <v>2615</v>
      </c>
      <c r="C267" s="261" t="s">
        <v>2616</v>
      </c>
      <c r="D267" s="259">
        <v>1</v>
      </c>
      <c r="E267" s="258" t="s">
        <v>2601</v>
      </c>
      <c r="F267" s="258" t="s">
        <v>2163</v>
      </c>
      <c r="G267" s="260" t="s">
        <v>2395</v>
      </c>
      <c r="H267" s="260" t="s">
        <v>2551</v>
      </c>
      <c r="I267" s="260" t="s">
        <v>2165</v>
      </c>
      <c r="J267" s="260" t="s">
        <v>2602</v>
      </c>
      <c r="K267" s="258"/>
      <c r="L267" s="258" t="s">
        <v>2745</v>
      </c>
      <c r="M267" s="260"/>
      <c r="N267" s="262" t="s">
        <v>2745</v>
      </c>
    </row>
    <row r="268" spans="1:14" ht="28.8" x14ac:dyDescent="0.3">
      <c r="A268" s="257">
        <v>266</v>
      </c>
      <c r="B268" s="258" t="s">
        <v>2617</v>
      </c>
      <c r="C268" s="261" t="s">
        <v>2618</v>
      </c>
      <c r="D268" s="259">
        <v>4</v>
      </c>
      <c r="E268" s="258" t="s">
        <v>2605</v>
      </c>
      <c r="F268" s="258" t="s">
        <v>2163</v>
      </c>
      <c r="G268" s="260" t="s">
        <v>2395</v>
      </c>
      <c r="H268" s="260" t="s">
        <v>2551</v>
      </c>
      <c r="I268" s="260" t="s">
        <v>2165</v>
      </c>
      <c r="J268" s="260" t="s">
        <v>2606</v>
      </c>
      <c r="K268" s="258"/>
      <c r="L268" s="258" t="s">
        <v>2745</v>
      </c>
      <c r="M268" s="260"/>
      <c r="N268" s="262" t="s">
        <v>2745</v>
      </c>
    </row>
    <row r="269" spans="1:14" ht="28.8" x14ac:dyDescent="0.3">
      <c r="A269" s="257">
        <v>267</v>
      </c>
      <c r="B269" s="258" t="s">
        <v>2619</v>
      </c>
      <c r="C269" s="261" t="s">
        <v>2620</v>
      </c>
      <c r="D269" s="259">
        <v>1</v>
      </c>
      <c r="E269" s="258" t="s">
        <v>2621</v>
      </c>
      <c r="F269" s="258" t="s">
        <v>2163</v>
      </c>
      <c r="G269" s="260" t="s">
        <v>2395</v>
      </c>
      <c r="H269" s="260" t="s">
        <v>2551</v>
      </c>
      <c r="I269" s="260" t="s">
        <v>2165</v>
      </c>
      <c r="J269" s="260" t="s">
        <v>2622</v>
      </c>
      <c r="K269" s="258"/>
      <c r="L269" s="258" t="s">
        <v>2745</v>
      </c>
      <c r="M269" s="260"/>
      <c r="N269" s="262" t="s">
        <v>2745</v>
      </c>
    </row>
    <row r="270" spans="1:14" ht="28.8" x14ac:dyDescent="0.3">
      <c r="A270" s="257">
        <v>268</v>
      </c>
      <c r="B270" s="258" t="s">
        <v>2619</v>
      </c>
      <c r="C270" s="261" t="s">
        <v>2620</v>
      </c>
      <c r="D270" s="259">
        <v>4</v>
      </c>
      <c r="E270" s="258" t="s">
        <v>2621</v>
      </c>
      <c r="F270" s="258" t="s">
        <v>2163</v>
      </c>
      <c r="G270" s="260" t="s">
        <v>2395</v>
      </c>
      <c r="H270" s="260" t="s">
        <v>2551</v>
      </c>
      <c r="I270" s="260" t="s">
        <v>2165</v>
      </c>
      <c r="J270" s="260" t="s">
        <v>2622</v>
      </c>
      <c r="K270" s="258"/>
      <c r="L270" s="258" t="s">
        <v>2745</v>
      </c>
      <c r="M270" s="260"/>
      <c r="N270" s="262" t="s">
        <v>2745</v>
      </c>
    </row>
    <row r="271" spans="1:14" x14ac:dyDescent="0.3">
      <c r="A271" s="257">
        <v>269</v>
      </c>
      <c r="B271" s="258" t="s">
        <v>2617</v>
      </c>
      <c r="C271" s="261" t="s">
        <v>2618</v>
      </c>
      <c r="D271" s="259">
        <v>1</v>
      </c>
      <c r="E271" s="258" t="s">
        <v>2605</v>
      </c>
      <c r="F271" s="258" t="s">
        <v>2163</v>
      </c>
      <c r="G271" s="260" t="s">
        <v>2623</v>
      </c>
      <c r="H271" s="260"/>
      <c r="I271" s="260" t="s">
        <v>2165</v>
      </c>
      <c r="J271" s="260" t="s">
        <v>2606</v>
      </c>
      <c r="K271" s="258"/>
      <c r="L271" s="258" t="s">
        <v>2745</v>
      </c>
      <c r="M271" s="260"/>
      <c r="N271" s="262" t="s">
        <v>2745</v>
      </c>
    </row>
    <row r="272" spans="1:14" x14ac:dyDescent="0.3">
      <c r="A272" s="257">
        <v>270</v>
      </c>
      <c r="B272" s="258" t="s">
        <v>2603</v>
      </c>
      <c r="C272" s="261" t="s">
        <v>2604</v>
      </c>
      <c r="D272" s="259">
        <v>1</v>
      </c>
      <c r="E272" s="258" t="s">
        <v>2605</v>
      </c>
      <c r="F272" s="258" t="s">
        <v>2163</v>
      </c>
      <c r="G272" s="260" t="s">
        <v>2623</v>
      </c>
      <c r="H272" s="260"/>
      <c r="I272" s="260" t="s">
        <v>2165</v>
      </c>
      <c r="J272" s="260" t="s">
        <v>2606</v>
      </c>
      <c r="K272" s="258"/>
      <c r="L272" s="258" t="s">
        <v>2745</v>
      </c>
      <c r="M272" s="260"/>
      <c r="N272" s="262" t="s">
        <v>2745</v>
      </c>
    </row>
    <row r="273" spans="1:14" x14ac:dyDescent="0.3">
      <c r="A273" s="257">
        <v>271</v>
      </c>
      <c r="B273" s="258" t="s">
        <v>2624</v>
      </c>
      <c r="C273" s="258" t="s">
        <v>2625</v>
      </c>
      <c r="D273" s="259">
        <v>1</v>
      </c>
      <c r="E273" s="258" t="s">
        <v>2404</v>
      </c>
      <c r="F273" s="258" t="s">
        <v>2163</v>
      </c>
      <c r="G273" s="260" t="s">
        <v>2623</v>
      </c>
      <c r="H273" s="260"/>
      <c r="I273" s="260" t="s">
        <v>2165</v>
      </c>
      <c r="J273" s="260" t="s">
        <v>2626</v>
      </c>
      <c r="K273" s="258"/>
      <c r="L273" s="258" t="s">
        <v>2745</v>
      </c>
      <c r="M273" s="260"/>
      <c r="N273" s="262" t="s">
        <v>2745</v>
      </c>
    </row>
    <row r="274" spans="1:14" ht="28.8" x14ac:dyDescent="0.3">
      <c r="A274" s="257">
        <v>272</v>
      </c>
      <c r="B274" s="258" t="s">
        <v>2627</v>
      </c>
      <c r="C274" s="258" t="s">
        <v>2628</v>
      </c>
      <c r="D274" s="259">
        <v>2</v>
      </c>
      <c r="E274" s="258" t="s">
        <v>2629</v>
      </c>
      <c r="F274" s="258" t="s">
        <v>2629</v>
      </c>
      <c r="G274" s="258" t="s">
        <v>2629</v>
      </c>
      <c r="H274" s="258" t="s">
        <v>2629</v>
      </c>
      <c r="I274" s="260" t="s">
        <v>2629</v>
      </c>
      <c r="J274" s="258" t="s">
        <v>2630</v>
      </c>
      <c r="K274" s="258"/>
      <c r="L274" s="258" t="s">
        <v>2745</v>
      </c>
      <c r="M274" s="260"/>
      <c r="N274" s="262" t="s">
        <v>2745</v>
      </c>
    </row>
    <row r="275" spans="1:14" ht="28.8" x14ac:dyDescent="0.3">
      <c r="A275" s="257">
        <v>273</v>
      </c>
      <c r="B275" s="258" t="s">
        <v>2631</v>
      </c>
      <c r="C275" s="258" t="s">
        <v>2632</v>
      </c>
      <c r="D275" s="259">
        <v>1</v>
      </c>
      <c r="E275" s="258" t="s">
        <v>2629</v>
      </c>
      <c r="F275" s="258" t="s">
        <v>2629</v>
      </c>
      <c r="G275" s="258" t="s">
        <v>2629</v>
      </c>
      <c r="H275" s="258" t="s">
        <v>2629</v>
      </c>
      <c r="I275" s="260" t="s">
        <v>2629</v>
      </c>
      <c r="J275" s="258" t="s">
        <v>2630</v>
      </c>
      <c r="K275" s="258"/>
      <c r="L275" s="258" t="s">
        <v>2745</v>
      </c>
      <c r="M275" s="260"/>
      <c r="N275" s="262" t="s">
        <v>2745</v>
      </c>
    </row>
    <row r="276" spans="1:14" x14ac:dyDescent="0.3">
      <c r="A276" s="257">
        <v>274</v>
      </c>
      <c r="B276" s="258" t="s">
        <v>2603</v>
      </c>
      <c r="C276" s="258" t="s">
        <v>2604</v>
      </c>
      <c r="D276" s="259">
        <v>1</v>
      </c>
      <c r="E276" s="258" t="s">
        <v>2605</v>
      </c>
      <c r="F276" s="258" t="s">
        <v>2163</v>
      </c>
      <c r="G276" s="260" t="s">
        <v>2623</v>
      </c>
      <c r="H276" s="260"/>
      <c r="I276" s="260" t="s">
        <v>2165</v>
      </c>
      <c r="J276" s="260" t="s">
        <v>2606</v>
      </c>
      <c r="K276" s="258"/>
      <c r="L276" s="258" t="s">
        <v>2745</v>
      </c>
      <c r="M276" s="260"/>
      <c r="N276" s="262" t="s">
        <v>2745</v>
      </c>
    </row>
    <row r="277" spans="1:14" x14ac:dyDescent="0.3">
      <c r="A277" s="257">
        <v>275</v>
      </c>
      <c r="B277" s="258" t="s">
        <v>2571</v>
      </c>
      <c r="C277" s="258" t="s">
        <v>2572</v>
      </c>
      <c r="D277" s="259">
        <v>2</v>
      </c>
      <c r="E277" s="258" t="s">
        <v>2629</v>
      </c>
      <c r="F277" s="258" t="s">
        <v>2163</v>
      </c>
      <c r="G277" s="260" t="s">
        <v>2623</v>
      </c>
      <c r="H277" s="260"/>
      <c r="I277" s="260" t="s">
        <v>2165</v>
      </c>
      <c r="J277" s="260" t="s">
        <v>2630</v>
      </c>
      <c r="K277" s="258"/>
      <c r="L277" s="258" t="s">
        <v>2745</v>
      </c>
      <c r="M277" s="260"/>
      <c r="N277" s="262" t="s">
        <v>2745</v>
      </c>
    </row>
    <row r="278" spans="1:14" x14ac:dyDescent="0.3">
      <c r="A278" s="257">
        <v>276</v>
      </c>
      <c r="B278" s="258" t="s">
        <v>2578</v>
      </c>
      <c r="C278" s="258" t="s">
        <v>2579</v>
      </c>
      <c r="D278" s="259">
        <v>1</v>
      </c>
      <c r="E278" s="258" t="s">
        <v>2629</v>
      </c>
      <c r="F278" s="258" t="s">
        <v>2163</v>
      </c>
      <c r="G278" s="260" t="s">
        <v>2623</v>
      </c>
      <c r="H278" s="260"/>
      <c r="I278" s="260" t="s">
        <v>2165</v>
      </c>
      <c r="J278" s="260" t="s">
        <v>2630</v>
      </c>
      <c r="K278" s="258"/>
      <c r="L278" s="258" t="s">
        <v>2745</v>
      </c>
      <c r="M278" s="260"/>
      <c r="N278" s="262" t="s">
        <v>2745</v>
      </c>
    </row>
    <row r="279" spans="1:14" x14ac:dyDescent="0.3">
      <c r="A279" s="257">
        <v>277</v>
      </c>
      <c r="B279" s="258" t="s">
        <v>2615</v>
      </c>
      <c r="C279" s="258" t="s">
        <v>2616</v>
      </c>
      <c r="D279" s="259">
        <v>1</v>
      </c>
      <c r="E279" s="258" t="s">
        <v>2629</v>
      </c>
      <c r="F279" s="258" t="s">
        <v>2163</v>
      </c>
      <c r="G279" s="260" t="s">
        <v>2623</v>
      </c>
      <c r="H279" s="260"/>
      <c r="I279" s="260" t="s">
        <v>2165</v>
      </c>
      <c r="J279" s="260" t="s">
        <v>2630</v>
      </c>
      <c r="K279" s="258"/>
      <c r="L279" s="258" t="s">
        <v>2745</v>
      </c>
      <c r="M279" s="260"/>
      <c r="N279" s="262" t="s">
        <v>2745</v>
      </c>
    </row>
    <row r="280" spans="1:14" x14ac:dyDescent="0.3">
      <c r="A280" s="257">
        <v>278</v>
      </c>
      <c r="B280" s="258" t="s">
        <v>2627</v>
      </c>
      <c r="C280" s="258" t="s">
        <v>2628</v>
      </c>
      <c r="D280" s="259">
        <v>1</v>
      </c>
      <c r="E280" s="258" t="s">
        <v>2629</v>
      </c>
      <c r="F280" s="258" t="s">
        <v>2163</v>
      </c>
      <c r="G280" s="260" t="s">
        <v>2623</v>
      </c>
      <c r="H280" s="260"/>
      <c r="I280" s="260" t="s">
        <v>2165</v>
      </c>
      <c r="J280" s="260" t="s">
        <v>2630</v>
      </c>
      <c r="K280" s="258"/>
      <c r="L280" s="258" t="s">
        <v>2745</v>
      </c>
      <c r="M280" s="260"/>
      <c r="N280" s="262" t="s">
        <v>2745</v>
      </c>
    </row>
    <row r="281" spans="1:14" x14ac:dyDescent="0.3">
      <c r="A281" s="257">
        <v>279</v>
      </c>
      <c r="B281" s="258" t="s">
        <v>2582</v>
      </c>
      <c r="C281" s="258" t="s">
        <v>2583</v>
      </c>
      <c r="D281" s="259">
        <v>1</v>
      </c>
      <c r="E281" s="258" t="s">
        <v>2629</v>
      </c>
      <c r="F281" s="258" t="s">
        <v>2163</v>
      </c>
      <c r="G281" s="260" t="s">
        <v>2623</v>
      </c>
      <c r="H281" s="260"/>
      <c r="I281" s="260" t="s">
        <v>2165</v>
      </c>
      <c r="J281" s="260" t="s">
        <v>2630</v>
      </c>
      <c r="K281" s="258"/>
      <c r="L281" s="258" t="s">
        <v>2745</v>
      </c>
      <c r="M281" s="260"/>
      <c r="N281" s="262" t="s">
        <v>2745</v>
      </c>
    </row>
    <row r="282" spans="1:14" ht="28.8" x14ac:dyDescent="0.3">
      <c r="A282" s="257">
        <v>280</v>
      </c>
      <c r="B282" s="258" t="s">
        <v>2619</v>
      </c>
      <c r="C282" s="258" t="s">
        <v>2620</v>
      </c>
      <c r="D282" s="259">
        <v>2</v>
      </c>
      <c r="E282" s="258" t="s">
        <v>2621</v>
      </c>
      <c r="F282" s="258" t="s">
        <v>2163</v>
      </c>
      <c r="G282" s="260" t="s">
        <v>2633</v>
      </c>
      <c r="H282" s="260" t="s">
        <v>2551</v>
      </c>
      <c r="I282" s="260" t="s">
        <v>2552</v>
      </c>
      <c r="J282" s="260" t="s">
        <v>2622</v>
      </c>
      <c r="K282" s="258"/>
      <c r="L282" s="258" t="s">
        <v>2745</v>
      </c>
      <c r="M282" s="260"/>
      <c r="N282" s="262" t="s">
        <v>2745</v>
      </c>
    </row>
    <row r="283" spans="1:14" ht="28.8" x14ac:dyDescent="0.3">
      <c r="A283" s="257">
        <v>281</v>
      </c>
      <c r="B283" s="258" t="s">
        <v>2634</v>
      </c>
      <c r="C283" s="258" t="s">
        <v>2620</v>
      </c>
      <c r="D283" s="259">
        <v>3</v>
      </c>
      <c r="E283" s="258" t="s">
        <v>2635</v>
      </c>
      <c r="F283" s="258" t="s">
        <v>11</v>
      </c>
      <c r="G283" s="260" t="s">
        <v>2395</v>
      </c>
      <c r="H283" s="260" t="s">
        <v>2551</v>
      </c>
      <c r="I283" s="260" t="s">
        <v>2165</v>
      </c>
      <c r="J283" s="260" t="s">
        <v>2612</v>
      </c>
      <c r="K283" s="258"/>
      <c r="L283" s="258" t="s">
        <v>2745</v>
      </c>
      <c r="M283" s="260"/>
      <c r="N283" s="262" t="s">
        <v>2745</v>
      </c>
    </row>
    <row r="284" spans="1:14" ht="28.8" x14ac:dyDescent="0.3">
      <c r="A284" s="257">
        <v>282</v>
      </c>
      <c r="B284" s="258" t="s">
        <v>2636</v>
      </c>
      <c r="C284" s="258" t="s">
        <v>2637</v>
      </c>
      <c r="D284" s="259">
        <v>1</v>
      </c>
      <c r="E284" s="258" t="s">
        <v>2176</v>
      </c>
      <c r="F284" s="258" t="s">
        <v>2163</v>
      </c>
      <c r="G284" s="260" t="s">
        <v>2633</v>
      </c>
      <c r="H284" s="260" t="s">
        <v>2551</v>
      </c>
      <c r="I284" s="260" t="s">
        <v>2552</v>
      </c>
      <c r="J284" s="260" t="s">
        <v>2177</v>
      </c>
      <c r="K284" s="258"/>
      <c r="L284" s="258" t="s">
        <v>2745</v>
      </c>
      <c r="M284" s="260"/>
      <c r="N284" s="262" t="s">
        <v>2745</v>
      </c>
    </row>
    <row r="285" spans="1:14" ht="28.8" x14ac:dyDescent="0.3">
      <c r="A285" s="257">
        <v>283</v>
      </c>
      <c r="B285" s="258" t="s">
        <v>2636</v>
      </c>
      <c r="C285" s="258" t="s">
        <v>2637</v>
      </c>
      <c r="D285" s="259">
        <v>3</v>
      </c>
      <c r="E285" s="258" t="s">
        <v>2176</v>
      </c>
      <c r="F285" s="258" t="s">
        <v>11</v>
      </c>
      <c r="G285" s="260" t="s">
        <v>2395</v>
      </c>
      <c r="H285" s="260" t="s">
        <v>2551</v>
      </c>
      <c r="I285" s="260" t="s">
        <v>2165</v>
      </c>
      <c r="J285" s="260" t="s">
        <v>2177</v>
      </c>
      <c r="K285" s="258"/>
      <c r="L285" s="258" t="s">
        <v>2745</v>
      </c>
      <c r="M285" s="260"/>
      <c r="N285" s="262" t="s">
        <v>2745</v>
      </c>
    </row>
    <row r="286" spans="1:14" x14ac:dyDescent="0.3">
      <c r="A286" s="263">
        <v>284</v>
      </c>
      <c r="B286" s="104" t="s">
        <v>2638</v>
      </c>
      <c r="C286" s="261" t="s">
        <v>2639</v>
      </c>
      <c r="D286" s="264">
        <v>1</v>
      </c>
      <c r="E286" s="236" t="s">
        <v>2176</v>
      </c>
      <c r="F286" s="63" t="s">
        <v>2640</v>
      </c>
      <c r="G286" s="63" t="s">
        <v>2641</v>
      </c>
      <c r="H286" s="258"/>
      <c r="I286" s="265" t="s">
        <v>2165</v>
      </c>
      <c r="J286" s="258" t="s">
        <v>2177</v>
      </c>
      <c r="K286" s="236"/>
      <c r="L286" s="258" t="s">
        <v>2745</v>
      </c>
      <c r="M286" s="260"/>
      <c r="N286" s="262" t="s">
        <v>2745</v>
      </c>
    </row>
    <row r="287" spans="1:14" x14ac:dyDescent="0.3">
      <c r="A287" s="257">
        <v>285</v>
      </c>
      <c r="B287" s="104" t="s">
        <v>2642</v>
      </c>
      <c r="C287" s="261" t="s">
        <v>2643</v>
      </c>
      <c r="D287" s="264">
        <v>1</v>
      </c>
      <c r="E287" s="236" t="s">
        <v>2176</v>
      </c>
      <c r="F287" s="63" t="s">
        <v>2640</v>
      </c>
      <c r="G287" s="63" t="s">
        <v>2641</v>
      </c>
      <c r="H287" s="258"/>
      <c r="I287" s="265" t="s">
        <v>2165</v>
      </c>
      <c r="J287" s="258" t="s">
        <v>2177</v>
      </c>
      <c r="K287" s="236"/>
      <c r="L287" s="258" t="s">
        <v>2745</v>
      </c>
      <c r="M287" s="260"/>
      <c r="N287" s="262" t="s">
        <v>2745</v>
      </c>
    </row>
    <row r="288" spans="1:14" x14ac:dyDescent="0.3">
      <c r="A288" s="257">
        <v>286</v>
      </c>
      <c r="B288" s="104" t="s">
        <v>2524</v>
      </c>
      <c r="C288" s="261" t="s">
        <v>2291</v>
      </c>
      <c r="D288" s="264">
        <v>1</v>
      </c>
      <c r="E288" s="236" t="s">
        <v>2176</v>
      </c>
      <c r="F288" s="63" t="s">
        <v>2640</v>
      </c>
      <c r="G288" s="63" t="s">
        <v>2641</v>
      </c>
      <c r="H288" s="258"/>
      <c r="I288" s="265" t="s">
        <v>2165</v>
      </c>
      <c r="J288" s="258" t="s">
        <v>2177</v>
      </c>
      <c r="K288" s="236"/>
      <c r="L288" s="258" t="s">
        <v>2745</v>
      </c>
      <c r="M288" s="260"/>
      <c r="N288" s="262" t="s">
        <v>2745</v>
      </c>
    </row>
    <row r="289" spans="1:14" x14ac:dyDescent="0.3">
      <c r="A289" s="257">
        <v>287</v>
      </c>
      <c r="B289" s="104" t="s">
        <v>2240</v>
      </c>
      <c r="C289" s="261" t="s">
        <v>2241</v>
      </c>
      <c r="D289" s="264">
        <v>1</v>
      </c>
      <c r="E289" s="236" t="s">
        <v>2176</v>
      </c>
      <c r="F289" s="63" t="s">
        <v>2640</v>
      </c>
      <c r="G289" s="63" t="s">
        <v>2641</v>
      </c>
      <c r="H289" s="258"/>
      <c r="I289" s="265" t="s">
        <v>2165</v>
      </c>
      <c r="J289" s="258" t="s">
        <v>2177</v>
      </c>
      <c r="K289" s="236"/>
      <c r="L289" s="258" t="s">
        <v>2745</v>
      </c>
      <c r="M289" s="260"/>
      <c r="N289" s="262" t="s">
        <v>2745</v>
      </c>
    </row>
    <row r="290" spans="1:14" x14ac:dyDescent="0.3">
      <c r="A290" s="257">
        <v>288</v>
      </c>
      <c r="B290" s="104" t="s">
        <v>2644</v>
      </c>
      <c r="C290" s="261" t="s">
        <v>2310</v>
      </c>
      <c r="D290" s="264">
        <v>1</v>
      </c>
      <c r="E290" s="236" t="s">
        <v>2176</v>
      </c>
      <c r="F290" s="63" t="s">
        <v>2640</v>
      </c>
      <c r="G290" s="63" t="s">
        <v>2641</v>
      </c>
      <c r="H290" s="258"/>
      <c r="I290" s="265" t="s">
        <v>2165</v>
      </c>
      <c r="J290" s="258" t="s">
        <v>2177</v>
      </c>
      <c r="K290" s="236"/>
      <c r="L290" s="258" t="s">
        <v>2745</v>
      </c>
      <c r="M290" s="260"/>
      <c r="N290" s="262" t="s">
        <v>2745</v>
      </c>
    </row>
    <row r="291" spans="1:14" x14ac:dyDescent="0.3">
      <c r="A291" s="257">
        <v>289</v>
      </c>
      <c r="B291" s="104" t="s">
        <v>2645</v>
      </c>
      <c r="C291" s="261" t="s">
        <v>2646</v>
      </c>
      <c r="D291" s="264">
        <v>1</v>
      </c>
      <c r="E291" s="236" t="s">
        <v>2176</v>
      </c>
      <c r="F291" s="63" t="s">
        <v>2640</v>
      </c>
      <c r="G291" s="63" t="s">
        <v>2641</v>
      </c>
      <c r="H291" s="258"/>
      <c r="I291" s="265" t="s">
        <v>2165</v>
      </c>
      <c r="J291" s="258" t="s">
        <v>2177</v>
      </c>
      <c r="K291" s="236"/>
      <c r="L291" s="258" t="s">
        <v>2745</v>
      </c>
      <c r="M291" s="260"/>
      <c r="N291" s="262" t="s">
        <v>2745</v>
      </c>
    </row>
    <row r="292" spans="1:14" x14ac:dyDescent="0.3">
      <c r="A292" s="257">
        <v>290</v>
      </c>
      <c r="B292" s="104" t="s">
        <v>2647</v>
      </c>
      <c r="C292" s="261" t="s">
        <v>2648</v>
      </c>
      <c r="D292" s="264">
        <v>1</v>
      </c>
      <c r="E292" s="236" t="s">
        <v>2176</v>
      </c>
      <c r="F292" s="63" t="s">
        <v>2640</v>
      </c>
      <c r="G292" s="63" t="s">
        <v>2641</v>
      </c>
      <c r="H292" s="258"/>
      <c r="I292" s="265" t="s">
        <v>2165</v>
      </c>
      <c r="J292" s="258" t="s">
        <v>2177</v>
      </c>
      <c r="K292" s="236"/>
      <c r="L292" s="258" t="s">
        <v>2745</v>
      </c>
      <c r="M292" s="260"/>
      <c r="N292" s="262" t="s">
        <v>2745</v>
      </c>
    </row>
    <row r="293" spans="1:14" x14ac:dyDescent="0.3">
      <c r="A293" s="257">
        <v>291</v>
      </c>
      <c r="B293" s="104" t="s">
        <v>2649</v>
      </c>
      <c r="C293" s="261" t="s">
        <v>2650</v>
      </c>
      <c r="D293" s="264">
        <v>1</v>
      </c>
      <c r="E293" s="236" t="s">
        <v>2176</v>
      </c>
      <c r="F293" s="63" t="s">
        <v>2640</v>
      </c>
      <c r="G293" s="63" t="s">
        <v>2641</v>
      </c>
      <c r="H293" s="258"/>
      <c r="I293" s="265" t="s">
        <v>2165</v>
      </c>
      <c r="J293" s="258" t="s">
        <v>2177</v>
      </c>
      <c r="K293" s="236"/>
      <c r="L293" s="258" t="s">
        <v>2745</v>
      </c>
      <c r="M293" s="260"/>
      <c r="N293" s="262" t="s">
        <v>2745</v>
      </c>
    </row>
    <row r="294" spans="1:14" x14ac:dyDescent="0.3">
      <c r="A294" s="257">
        <v>292</v>
      </c>
      <c r="B294" s="104" t="s">
        <v>2528</v>
      </c>
      <c r="C294" s="261" t="s">
        <v>2529</v>
      </c>
      <c r="D294" s="264">
        <v>1</v>
      </c>
      <c r="E294" s="236" t="s">
        <v>2176</v>
      </c>
      <c r="F294" s="63" t="s">
        <v>2640</v>
      </c>
      <c r="G294" s="63" t="s">
        <v>2641</v>
      </c>
      <c r="H294" s="258"/>
      <c r="I294" s="265" t="s">
        <v>2165</v>
      </c>
      <c r="J294" s="258" t="s">
        <v>2177</v>
      </c>
      <c r="K294" s="236"/>
      <c r="L294" s="258" t="s">
        <v>2745</v>
      </c>
      <c r="M294" s="260"/>
      <c r="N294" s="262" t="s">
        <v>2745</v>
      </c>
    </row>
    <row r="295" spans="1:14" x14ac:dyDescent="0.3">
      <c r="A295" s="257">
        <v>293</v>
      </c>
      <c r="B295" s="104" t="s">
        <v>2651</v>
      </c>
      <c r="C295" s="261" t="s">
        <v>2652</v>
      </c>
      <c r="D295" s="264">
        <v>1</v>
      </c>
      <c r="E295" s="236" t="s">
        <v>193</v>
      </c>
      <c r="F295" s="63" t="s">
        <v>2640</v>
      </c>
      <c r="G295" s="63" t="s">
        <v>2641</v>
      </c>
      <c r="H295" s="258"/>
      <c r="I295" s="265" t="s">
        <v>2165</v>
      </c>
      <c r="J295" s="258" t="s">
        <v>524</v>
      </c>
      <c r="K295" s="236"/>
      <c r="L295" s="258" t="s">
        <v>2745</v>
      </c>
      <c r="M295" s="260"/>
      <c r="N295" s="262" t="s">
        <v>2745</v>
      </c>
    </row>
    <row r="296" spans="1:14" x14ac:dyDescent="0.3">
      <c r="A296" s="257">
        <v>294</v>
      </c>
      <c r="B296" s="104" t="s">
        <v>2653</v>
      </c>
      <c r="C296" s="261" t="s">
        <v>2654</v>
      </c>
      <c r="D296" s="264">
        <v>1</v>
      </c>
      <c r="E296" s="236" t="s">
        <v>2162</v>
      </c>
      <c r="F296" s="63" t="s">
        <v>2640</v>
      </c>
      <c r="G296" s="63" t="s">
        <v>2641</v>
      </c>
      <c r="H296" s="258"/>
      <c r="I296" s="265" t="s">
        <v>2165</v>
      </c>
      <c r="J296" s="258" t="s">
        <v>1584</v>
      </c>
      <c r="K296" s="236"/>
      <c r="L296" s="258" t="s">
        <v>2745</v>
      </c>
      <c r="M296" s="260"/>
      <c r="N296" s="262" t="s">
        <v>2745</v>
      </c>
    </row>
    <row r="297" spans="1:14" x14ac:dyDescent="0.3">
      <c r="A297" s="257">
        <v>295</v>
      </c>
      <c r="B297" s="104" t="s">
        <v>2238</v>
      </c>
      <c r="C297" s="261" t="s">
        <v>2239</v>
      </c>
      <c r="D297" s="264">
        <v>1</v>
      </c>
      <c r="E297" s="236" t="s">
        <v>2176</v>
      </c>
      <c r="F297" s="63" t="s">
        <v>2640</v>
      </c>
      <c r="G297" s="63" t="s">
        <v>2641</v>
      </c>
      <c r="H297" s="258"/>
      <c r="I297" s="265" t="s">
        <v>2165</v>
      </c>
      <c r="J297" s="258" t="s">
        <v>2177</v>
      </c>
      <c r="K297" s="236"/>
      <c r="L297" s="258" t="s">
        <v>2745</v>
      </c>
      <c r="M297" s="260"/>
      <c r="N297" s="262" t="s">
        <v>2745</v>
      </c>
    </row>
    <row r="298" spans="1:14" x14ac:dyDescent="0.3">
      <c r="A298" s="257">
        <v>296</v>
      </c>
      <c r="B298" s="104" t="s">
        <v>2238</v>
      </c>
      <c r="C298" s="261" t="s">
        <v>2239</v>
      </c>
      <c r="D298" s="264">
        <v>1</v>
      </c>
      <c r="E298" s="236" t="s">
        <v>2176</v>
      </c>
      <c r="F298" s="63" t="s">
        <v>2640</v>
      </c>
      <c r="G298" s="63" t="s">
        <v>2641</v>
      </c>
      <c r="H298" s="258"/>
      <c r="I298" s="265" t="s">
        <v>2165</v>
      </c>
      <c r="J298" s="258" t="s">
        <v>2177</v>
      </c>
      <c r="K298" s="236"/>
      <c r="L298" s="258" t="s">
        <v>2745</v>
      </c>
      <c r="M298" s="260"/>
      <c r="N298" s="262" t="s">
        <v>2745</v>
      </c>
    </row>
    <row r="299" spans="1:14" x14ac:dyDescent="0.3">
      <c r="A299" s="257">
        <v>297</v>
      </c>
      <c r="B299" s="104" t="s">
        <v>2520</v>
      </c>
      <c r="C299" s="261" t="s">
        <v>2305</v>
      </c>
      <c r="D299" s="264">
        <v>1</v>
      </c>
      <c r="E299" s="236" t="s">
        <v>2176</v>
      </c>
      <c r="F299" s="63" t="s">
        <v>2640</v>
      </c>
      <c r="G299" s="63" t="s">
        <v>2641</v>
      </c>
      <c r="H299" s="258"/>
      <c r="I299" s="265" t="s">
        <v>2165</v>
      </c>
      <c r="J299" s="258" t="s">
        <v>2177</v>
      </c>
      <c r="K299" s="236"/>
      <c r="L299" s="258" t="s">
        <v>2745</v>
      </c>
      <c r="M299" s="260"/>
      <c r="N299" s="262" t="s">
        <v>2745</v>
      </c>
    </row>
    <row r="300" spans="1:14" x14ac:dyDescent="0.3">
      <c r="A300" s="257">
        <v>298</v>
      </c>
      <c r="B300" s="104" t="s">
        <v>2526</v>
      </c>
      <c r="C300" s="261" t="s">
        <v>2527</v>
      </c>
      <c r="D300" s="264">
        <v>1</v>
      </c>
      <c r="E300" s="236" t="s">
        <v>2176</v>
      </c>
      <c r="F300" s="63" t="s">
        <v>2640</v>
      </c>
      <c r="G300" s="63" t="s">
        <v>2641</v>
      </c>
      <c r="H300" s="258"/>
      <c r="I300" s="265" t="s">
        <v>2165</v>
      </c>
      <c r="J300" s="258" t="s">
        <v>2177</v>
      </c>
      <c r="K300" s="236"/>
      <c r="L300" s="258" t="s">
        <v>2745</v>
      </c>
      <c r="M300" s="260"/>
      <c r="N300" s="262" t="s">
        <v>2745</v>
      </c>
    </row>
    <row r="301" spans="1:14" x14ac:dyDescent="0.3">
      <c r="A301" s="257">
        <v>299</v>
      </c>
      <c r="B301" s="104" t="s">
        <v>2655</v>
      </c>
      <c r="C301" s="261" t="s">
        <v>2656</v>
      </c>
      <c r="D301" s="264">
        <v>1</v>
      </c>
      <c r="E301" s="236" t="s">
        <v>2176</v>
      </c>
      <c r="F301" s="63" t="s">
        <v>2640</v>
      </c>
      <c r="G301" s="63" t="s">
        <v>2641</v>
      </c>
      <c r="H301" s="258"/>
      <c r="I301" s="265" t="s">
        <v>2165</v>
      </c>
      <c r="J301" s="258" t="s">
        <v>2177</v>
      </c>
      <c r="K301" s="236"/>
      <c r="L301" s="258" t="s">
        <v>2745</v>
      </c>
      <c r="M301" s="260"/>
      <c r="N301" s="262" t="s">
        <v>2745</v>
      </c>
    </row>
    <row r="302" spans="1:14" x14ac:dyDescent="0.3">
      <c r="A302" s="257">
        <v>300</v>
      </c>
      <c r="B302" s="104" t="s">
        <v>2525</v>
      </c>
      <c r="C302" s="261" t="s">
        <v>2293</v>
      </c>
      <c r="D302" s="264">
        <v>2</v>
      </c>
      <c r="E302" s="236" t="s">
        <v>2176</v>
      </c>
      <c r="F302" s="63" t="s">
        <v>2640</v>
      </c>
      <c r="G302" s="63" t="s">
        <v>2641</v>
      </c>
      <c r="H302" s="258"/>
      <c r="I302" s="265" t="s">
        <v>2165</v>
      </c>
      <c r="J302" s="258" t="s">
        <v>2177</v>
      </c>
      <c r="K302" s="236"/>
      <c r="L302" s="258" t="s">
        <v>2745</v>
      </c>
      <c r="M302" s="260"/>
      <c r="N302" s="262" t="s">
        <v>2745</v>
      </c>
    </row>
    <row r="303" spans="1:14" x14ac:dyDescent="0.3">
      <c r="A303" s="257">
        <v>301</v>
      </c>
      <c r="B303" s="104" t="s">
        <v>2657</v>
      </c>
      <c r="C303" s="261" t="s">
        <v>2658</v>
      </c>
      <c r="D303" s="264">
        <v>1</v>
      </c>
      <c r="E303" s="236" t="s">
        <v>2176</v>
      </c>
      <c r="F303" s="63" t="s">
        <v>2640</v>
      </c>
      <c r="G303" s="63" t="s">
        <v>2641</v>
      </c>
      <c r="H303" s="258"/>
      <c r="I303" s="265" t="s">
        <v>2165</v>
      </c>
      <c r="J303" s="258" t="s">
        <v>2177</v>
      </c>
      <c r="K303" s="236"/>
      <c r="L303" s="258" t="s">
        <v>2745</v>
      </c>
      <c r="M303" s="260"/>
      <c r="N303" s="262" t="s">
        <v>2745</v>
      </c>
    </row>
    <row r="304" spans="1:14" x14ac:dyDescent="0.3">
      <c r="A304" s="257">
        <v>302</v>
      </c>
      <c r="B304" s="104" t="s">
        <v>2659</v>
      </c>
      <c r="C304" s="261" t="s">
        <v>2660</v>
      </c>
      <c r="D304" s="264">
        <v>1</v>
      </c>
      <c r="E304" s="236" t="s">
        <v>2176</v>
      </c>
      <c r="F304" s="63" t="s">
        <v>2640</v>
      </c>
      <c r="G304" s="63" t="s">
        <v>2641</v>
      </c>
      <c r="H304" s="258"/>
      <c r="I304" s="265" t="s">
        <v>2165</v>
      </c>
      <c r="J304" s="258" t="s">
        <v>2177</v>
      </c>
      <c r="K304" s="236"/>
      <c r="L304" s="258" t="s">
        <v>2745</v>
      </c>
      <c r="M304" s="260"/>
      <c r="N304" s="262" t="s">
        <v>2745</v>
      </c>
    </row>
    <row r="305" spans="1:14" x14ac:dyDescent="0.3">
      <c r="A305" s="257">
        <v>303</v>
      </c>
      <c r="B305" s="104" t="s">
        <v>2661</v>
      </c>
      <c r="C305" s="261" t="s">
        <v>2662</v>
      </c>
      <c r="D305" s="264">
        <v>1</v>
      </c>
      <c r="E305" s="236" t="s">
        <v>2162</v>
      </c>
      <c r="F305" s="63" t="s">
        <v>2640</v>
      </c>
      <c r="G305" s="63" t="s">
        <v>2641</v>
      </c>
      <c r="H305" s="258"/>
      <c r="I305" s="265" t="s">
        <v>2165</v>
      </c>
      <c r="J305" s="258" t="s">
        <v>1584</v>
      </c>
      <c r="K305" s="236"/>
      <c r="L305" s="258" t="s">
        <v>2745</v>
      </c>
      <c r="M305" s="260"/>
      <c r="N305" s="262" t="s">
        <v>2745</v>
      </c>
    </row>
    <row r="306" spans="1:14" x14ac:dyDescent="0.3">
      <c r="A306" s="257">
        <v>304</v>
      </c>
      <c r="B306" s="104" t="s">
        <v>2663</v>
      </c>
      <c r="C306" s="261" t="s">
        <v>2664</v>
      </c>
      <c r="D306" s="264">
        <v>1</v>
      </c>
      <c r="E306" s="236" t="s">
        <v>2176</v>
      </c>
      <c r="F306" s="63" t="s">
        <v>2640</v>
      </c>
      <c r="G306" s="63" t="s">
        <v>2641</v>
      </c>
      <c r="H306" s="258"/>
      <c r="I306" s="265" t="s">
        <v>2165</v>
      </c>
      <c r="J306" s="258" t="s">
        <v>2177</v>
      </c>
      <c r="K306" s="236"/>
      <c r="L306" s="258" t="s">
        <v>2745</v>
      </c>
      <c r="M306" s="260"/>
      <c r="N306" s="262" t="s">
        <v>2745</v>
      </c>
    </row>
    <row r="307" spans="1:14" x14ac:dyDescent="0.3">
      <c r="A307" s="257">
        <v>305</v>
      </c>
      <c r="B307" s="104" t="s">
        <v>2665</v>
      </c>
      <c r="C307" s="261" t="s">
        <v>2666</v>
      </c>
      <c r="D307" s="264">
        <v>1</v>
      </c>
      <c r="E307" s="236" t="s">
        <v>193</v>
      </c>
      <c r="F307" s="63" t="s">
        <v>2640</v>
      </c>
      <c r="G307" s="63" t="s">
        <v>2641</v>
      </c>
      <c r="H307" s="258"/>
      <c r="I307" s="265" t="s">
        <v>2165</v>
      </c>
      <c r="J307" s="258" t="s">
        <v>524</v>
      </c>
      <c r="K307" s="236"/>
      <c r="L307" s="258" t="s">
        <v>2745</v>
      </c>
      <c r="M307" s="260"/>
      <c r="N307" s="262" t="s">
        <v>2745</v>
      </c>
    </row>
    <row r="308" spans="1:14" x14ac:dyDescent="0.3">
      <c r="A308" s="257">
        <v>306</v>
      </c>
      <c r="B308" s="104" t="s">
        <v>2525</v>
      </c>
      <c r="C308" s="261" t="s">
        <v>2293</v>
      </c>
      <c r="D308" s="264">
        <v>1</v>
      </c>
      <c r="E308" s="236" t="s">
        <v>2176</v>
      </c>
      <c r="F308" s="63" t="s">
        <v>2640</v>
      </c>
      <c r="G308" s="63" t="s">
        <v>2641</v>
      </c>
      <c r="H308" s="258"/>
      <c r="I308" s="265" t="s">
        <v>2165</v>
      </c>
      <c r="J308" s="258" t="s">
        <v>2177</v>
      </c>
      <c r="K308" s="236"/>
      <c r="L308" s="258" t="s">
        <v>2745</v>
      </c>
      <c r="M308" s="260"/>
      <c r="N308" s="262" t="s">
        <v>2745</v>
      </c>
    </row>
    <row r="309" spans="1:14" x14ac:dyDescent="0.3">
      <c r="A309" s="257">
        <v>307</v>
      </c>
      <c r="B309" s="104" t="s">
        <v>2667</v>
      </c>
      <c r="C309" s="261" t="s">
        <v>2668</v>
      </c>
      <c r="D309" s="264">
        <v>1</v>
      </c>
      <c r="E309" s="236" t="s">
        <v>2176</v>
      </c>
      <c r="F309" s="63" t="s">
        <v>2640</v>
      </c>
      <c r="G309" s="63" t="s">
        <v>2641</v>
      </c>
      <c r="H309" s="258"/>
      <c r="I309" s="265" t="s">
        <v>2165</v>
      </c>
      <c r="J309" s="258" t="s">
        <v>2177</v>
      </c>
      <c r="K309" s="236"/>
      <c r="L309" s="258" t="s">
        <v>2745</v>
      </c>
      <c r="M309" s="260"/>
      <c r="N309" s="262" t="s">
        <v>2745</v>
      </c>
    </row>
    <row r="310" spans="1:14" x14ac:dyDescent="0.3">
      <c r="A310" s="257">
        <v>308</v>
      </c>
      <c r="B310" s="104" t="s">
        <v>2457</v>
      </c>
      <c r="C310" s="261" t="s">
        <v>2303</v>
      </c>
      <c r="D310" s="264">
        <v>1</v>
      </c>
      <c r="E310" s="236" t="s">
        <v>2176</v>
      </c>
      <c r="F310" s="63" t="s">
        <v>2640</v>
      </c>
      <c r="G310" s="63" t="s">
        <v>2641</v>
      </c>
      <c r="H310" s="258"/>
      <c r="I310" s="265" t="s">
        <v>2165</v>
      </c>
      <c r="J310" s="258" t="s">
        <v>2177</v>
      </c>
      <c r="K310" s="236"/>
      <c r="L310" s="258" t="s">
        <v>2745</v>
      </c>
      <c r="M310" s="260"/>
      <c r="N310" s="262" t="s">
        <v>2745</v>
      </c>
    </row>
    <row r="311" spans="1:14" x14ac:dyDescent="0.3">
      <c r="A311" s="257">
        <v>309</v>
      </c>
      <c r="B311" s="104" t="s">
        <v>2522</v>
      </c>
      <c r="C311" s="261" t="s">
        <v>2523</v>
      </c>
      <c r="D311" s="264">
        <v>1</v>
      </c>
      <c r="E311" s="236" t="s">
        <v>2176</v>
      </c>
      <c r="F311" s="63" t="s">
        <v>2640</v>
      </c>
      <c r="G311" s="63" t="s">
        <v>2641</v>
      </c>
      <c r="H311" s="258"/>
      <c r="I311" s="265" t="s">
        <v>2165</v>
      </c>
      <c r="J311" s="258" t="s">
        <v>2177</v>
      </c>
      <c r="K311" s="236"/>
      <c r="L311" s="258" t="s">
        <v>2745</v>
      </c>
      <c r="M311" s="260"/>
      <c r="N311" s="262" t="s">
        <v>2745</v>
      </c>
    </row>
    <row r="312" spans="1:14" x14ac:dyDescent="0.3">
      <c r="A312" s="257">
        <v>310</v>
      </c>
      <c r="B312" s="104" t="s">
        <v>2669</v>
      </c>
      <c r="C312" s="261" t="s">
        <v>2670</v>
      </c>
      <c r="D312" s="264">
        <v>1</v>
      </c>
      <c r="E312" s="236" t="s">
        <v>2176</v>
      </c>
      <c r="F312" s="63" t="s">
        <v>2640</v>
      </c>
      <c r="G312" s="63" t="s">
        <v>2641</v>
      </c>
      <c r="H312" s="258"/>
      <c r="I312" s="265" t="s">
        <v>2165</v>
      </c>
      <c r="J312" s="258" t="s">
        <v>2177</v>
      </c>
      <c r="K312" s="236"/>
      <c r="L312" s="258" t="s">
        <v>2745</v>
      </c>
      <c r="M312" s="260"/>
      <c r="N312" s="262" t="s">
        <v>2745</v>
      </c>
    </row>
    <row r="313" spans="1:14" x14ac:dyDescent="0.3">
      <c r="A313" s="257">
        <v>311</v>
      </c>
      <c r="B313" s="104" t="s">
        <v>2300</v>
      </c>
      <c r="C313" s="261" t="s">
        <v>2301</v>
      </c>
      <c r="D313" s="264">
        <v>1</v>
      </c>
      <c r="E313" s="236" t="s">
        <v>2176</v>
      </c>
      <c r="F313" s="63" t="s">
        <v>2640</v>
      </c>
      <c r="G313" s="63" t="s">
        <v>2641</v>
      </c>
      <c r="H313" s="258"/>
      <c r="I313" s="265" t="s">
        <v>2165</v>
      </c>
      <c r="J313" s="258" t="s">
        <v>2177</v>
      </c>
      <c r="K313" s="236"/>
      <c r="L313" s="258" t="s">
        <v>2745</v>
      </c>
      <c r="M313" s="260"/>
      <c r="N313" s="262" t="s">
        <v>2745</v>
      </c>
    </row>
    <row r="314" spans="1:14" x14ac:dyDescent="0.3">
      <c r="A314" s="257">
        <v>312</v>
      </c>
      <c r="B314" s="104" t="s">
        <v>2671</v>
      </c>
      <c r="C314" s="261" t="s">
        <v>2672</v>
      </c>
      <c r="D314" s="264">
        <v>1</v>
      </c>
      <c r="E314" s="236" t="s">
        <v>2176</v>
      </c>
      <c r="F314" s="63" t="s">
        <v>2640</v>
      </c>
      <c r="G314" s="63" t="s">
        <v>2641</v>
      </c>
      <c r="H314" s="258"/>
      <c r="I314" s="265" t="s">
        <v>2165</v>
      </c>
      <c r="J314" s="258" t="s">
        <v>2177</v>
      </c>
      <c r="K314" s="236"/>
      <c r="L314" s="258" t="s">
        <v>2745</v>
      </c>
      <c r="M314" s="260"/>
      <c r="N314" s="262" t="s">
        <v>2745</v>
      </c>
    </row>
    <row r="315" spans="1:14" x14ac:dyDescent="0.3">
      <c r="A315" s="257">
        <v>313</v>
      </c>
      <c r="B315" s="104" t="s">
        <v>2673</v>
      </c>
      <c r="C315" s="261" t="s">
        <v>2674</v>
      </c>
      <c r="D315" s="264">
        <v>1</v>
      </c>
      <c r="E315" s="236" t="s">
        <v>2176</v>
      </c>
      <c r="F315" s="63" t="s">
        <v>2640</v>
      </c>
      <c r="G315" s="63" t="s">
        <v>2641</v>
      </c>
      <c r="H315" s="258"/>
      <c r="I315" s="265" t="s">
        <v>2165</v>
      </c>
      <c r="J315" s="258" t="s">
        <v>2177</v>
      </c>
      <c r="K315" s="236"/>
      <c r="L315" s="258" t="s">
        <v>2745</v>
      </c>
      <c r="M315" s="260"/>
      <c r="N315" s="262" t="s">
        <v>2745</v>
      </c>
    </row>
    <row r="316" spans="1:14" x14ac:dyDescent="0.3">
      <c r="A316" s="257">
        <v>314</v>
      </c>
      <c r="B316" s="104" t="s">
        <v>2240</v>
      </c>
      <c r="C316" s="261" t="s">
        <v>2241</v>
      </c>
      <c r="D316" s="264">
        <v>1</v>
      </c>
      <c r="E316" s="236" t="s">
        <v>2176</v>
      </c>
      <c r="F316" s="63" t="s">
        <v>2640</v>
      </c>
      <c r="G316" s="63" t="s">
        <v>2641</v>
      </c>
      <c r="H316" s="258"/>
      <c r="I316" s="265" t="s">
        <v>2165</v>
      </c>
      <c r="J316" s="258" t="s">
        <v>2177</v>
      </c>
      <c r="K316" s="236"/>
      <c r="L316" s="258" t="s">
        <v>2745</v>
      </c>
      <c r="M316" s="260"/>
      <c r="N316" s="262" t="s">
        <v>2745</v>
      </c>
    </row>
    <row r="317" spans="1:14" x14ac:dyDescent="0.3">
      <c r="A317" s="257">
        <v>315</v>
      </c>
      <c r="B317" s="104" t="s">
        <v>2675</v>
      </c>
      <c r="C317" s="261" t="s">
        <v>2676</v>
      </c>
      <c r="D317" s="264">
        <v>1</v>
      </c>
      <c r="E317" s="236" t="s">
        <v>2176</v>
      </c>
      <c r="F317" s="63" t="s">
        <v>2640</v>
      </c>
      <c r="G317" s="63" t="s">
        <v>2641</v>
      </c>
      <c r="H317" s="258"/>
      <c r="I317" s="265" t="s">
        <v>2165</v>
      </c>
      <c r="J317" s="258" t="s">
        <v>2177</v>
      </c>
      <c r="K317" s="236"/>
      <c r="L317" s="258" t="s">
        <v>2745</v>
      </c>
      <c r="M317" s="260"/>
      <c r="N317" s="262" t="s">
        <v>2745</v>
      </c>
    </row>
    <row r="318" spans="1:14" x14ac:dyDescent="0.3">
      <c r="A318" s="257">
        <v>316</v>
      </c>
      <c r="B318" s="104" t="s">
        <v>2450</v>
      </c>
      <c r="C318" s="261" t="s">
        <v>2295</v>
      </c>
      <c r="D318" s="264">
        <v>11</v>
      </c>
      <c r="E318" s="236" t="s">
        <v>2176</v>
      </c>
      <c r="F318" s="63" t="s">
        <v>2640</v>
      </c>
      <c r="G318" s="63" t="s">
        <v>2641</v>
      </c>
      <c r="H318" s="258"/>
      <c r="I318" s="265" t="s">
        <v>2165</v>
      </c>
      <c r="J318" s="258" t="s">
        <v>2177</v>
      </c>
      <c r="K318" s="236"/>
      <c r="L318" s="258" t="s">
        <v>2745</v>
      </c>
      <c r="M318" s="260"/>
      <c r="N318" s="262" t="s">
        <v>2745</v>
      </c>
    </row>
    <row r="319" spans="1:14" x14ac:dyDescent="0.3">
      <c r="A319" s="257">
        <v>317</v>
      </c>
      <c r="B319" s="104" t="s">
        <v>2677</v>
      </c>
      <c r="C319" s="261" t="s">
        <v>2678</v>
      </c>
      <c r="D319" s="264">
        <v>1</v>
      </c>
      <c r="E319" s="236" t="s">
        <v>2176</v>
      </c>
      <c r="F319" s="63" t="s">
        <v>2640</v>
      </c>
      <c r="G319" s="63" t="s">
        <v>2641</v>
      </c>
      <c r="H319" s="258"/>
      <c r="I319" s="265" t="s">
        <v>2165</v>
      </c>
      <c r="J319" s="258" t="s">
        <v>2177</v>
      </c>
      <c r="K319" s="236"/>
      <c r="L319" s="258" t="s">
        <v>2745</v>
      </c>
      <c r="M319" s="260"/>
      <c r="N319" s="262" t="s">
        <v>2745</v>
      </c>
    </row>
    <row r="320" spans="1:14" x14ac:dyDescent="0.3">
      <c r="A320" s="257">
        <v>318</v>
      </c>
      <c r="B320" s="104" t="s">
        <v>2522</v>
      </c>
      <c r="C320" s="261" t="s">
        <v>2523</v>
      </c>
      <c r="D320" s="264">
        <v>1</v>
      </c>
      <c r="E320" s="236" t="s">
        <v>2176</v>
      </c>
      <c r="F320" s="63" t="s">
        <v>2640</v>
      </c>
      <c r="G320" s="63" t="s">
        <v>2641</v>
      </c>
      <c r="H320" s="258"/>
      <c r="I320" s="265" t="s">
        <v>2165</v>
      </c>
      <c r="J320" s="258" t="s">
        <v>2177</v>
      </c>
      <c r="K320" s="236"/>
      <c r="L320" s="258" t="s">
        <v>2745</v>
      </c>
      <c r="M320" s="260"/>
      <c r="N320" s="262" t="s">
        <v>2745</v>
      </c>
    </row>
    <row r="321" spans="1:14" x14ac:dyDescent="0.3">
      <c r="A321" s="257">
        <v>319</v>
      </c>
      <c r="B321" s="104" t="s">
        <v>2679</v>
      </c>
      <c r="C321" s="261" t="s">
        <v>2680</v>
      </c>
      <c r="D321" s="264">
        <v>1</v>
      </c>
      <c r="E321" s="236" t="s">
        <v>2162</v>
      </c>
      <c r="F321" s="63" t="s">
        <v>2640</v>
      </c>
      <c r="G321" s="63" t="s">
        <v>2641</v>
      </c>
      <c r="H321" s="258"/>
      <c r="I321" s="265" t="s">
        <v>2165</v>
      </c>
      <c r="J321" s="258" t="s">
        <v>1584</v>
      </c>
      <c r="K321" s="236"/>
      <c r="L321" s="258" t="s">
        <v>2745</v>
      </c>
      <c r="M321" s="260"/>
      <c r="N321" s="262" t="s">
        <v>2745</v>
      </c>
    </row>
    <row r="322" spans="1:14" x14ac:dyDescent="0.3">
      <c r="A322" s="257">
        <v>320</v>
      </c>
      <c r="B322" s="104" t="s">
        <v>2681</v>
      </c>
      <c r="C322" s="261" t="s">
        <v>2682</v>
      </c>
      <c r="D322" s="264">
        <v>1</v>
      </c>
      <c r="E322" s="236" t="s">
        <v>2176</v>
      </c>
      <c r="F322" s="63" t="s">
        <v>2640</v>
      </c>
      <c r="G322" s="63" t="s">
        <v>2641</v>
      </c>
      <c r="H322" s="258"/>
      <c r="I322" s="265" t="s">
        <v>2165</v>
      </c>
      <c r="J322" s="258" t="s">
        <v>2177</v>
      </c>
      <c r="K322" s="236"/>
      <c r="L322" s="258" t="s">
        <v>2745</v>
      </c>
      <c r="M322" s="260"/>
      <c r="N322" s="262" t="s">
        <v>2745</v>
      </c>
    </row>
    <row r="323" spans="1:14" x14ac:dyDescent="0.3">
      <c r="A323" s="257">
        <v>321</v>
      </c>
      <c r="B323" s="104" t="s">
        <v>2534</v>
      </c>
      <c r="C323" s="261" t="s">
        <v>2195</v>
      </c>
      <c r="D323" s="264">
        <v>1</v>
      </c>
      <c r="E323" s="236" t="s">
        <v>2176</v>
      </c>
      <c r="F323" s="63" t="s">
        <v>2640</v>
      </c>
      <c r="G323" s="63" t="s">
        <v>2641</v>
      </c>
      <c r="H323" s="258"/>
      <c r="I323" s="265" t="s">
        <v>2165</v>
      </c>
      <c r="J323" s="258" t="s">
        <v>2177</v>
      </c>
      <c r="K323" s="236"/>
      <c r="L323" s="258" t="s">
        <v>2745</v>
      </c>
      <c r="M323" s="260"/>
      <c r="N323" s="262" t="s">
        <v>2745</v>
      </c>
    </row>
    <row r="324" spans="1:14" x14ac:dyDescent="0.3">
      <c r="A324" s="257">
        <v>322</v>
      </c>
      <c r="B324" s="104" t="s">
        <v>2683</v>
      </c>
      <c r="C324" s="261" t="s">
        <v>2684</v>
      </c>
      <c r="D324" s="264">
        <v>1</v>
      </c>
      <c r="E324" s="236" t="s">
        <v>2176</v>
      </c>
      <c r="F324" s="63" t="s">
        <v>2640</v>
      </c>
      <c r="G324" s="63" t="s">
        <v>2641</v>
      </c>
      <c r="H324" s="258"/>
      <c r="I324" s="265" t="s">
        <v>2165</v>
      </c>
      <c r="J324" s="258" t="s">
        <v>2177</v>
      </c>
      <c r="K324" s="236"/>
      <c r="L324" s="258" t="s">
        <v>2745</v>
      </c>
      <c r="M324" s="260"/>
      <c r="N324" s="262" t="s">
        <v>2745</v>
      </c>
    </row>
    <row r="325" spans="1:14" x14ac:dyDescent="0.3">
      <c r="A325" s="257">
        <v>323</v>
      </c>
      <c r="B325" s="104" t="s">
        <v>2685</v>
      </c>
      <c r="C325" s="261" t="s">
        <v>2686</v>
      </c>
      <c r="D325" s="264">
        <v>1</v>
      </c>
      <c r="E325" s="236" t="s">
        <v>2176</v>
      </c>
      <c r="F325" s="63" t="s">
        <v>2640</v>
      </c>
      <c r="G325" s="63" t="s">
        <v>2641</v>
      </c>
      <c r="H325" s="258"/>
      <c r="I325" s="265" t="s">
        <v>2165</v>
      </c>
      <c r="J325" s="258" t="s">
        <v>2177</v>
      </c>
      <c r="K325" s="236"/>
      <c r="L325" s="258" t="s">
        <v>2745</v>
      </c>
      <c r="M325" s="260"/>
      <c r="N325" s="262" t="s">
        <v>2745</v>
      </c>
    </row>
    <row r="326" spans="1:14" x14ac:dyDescent="0.3">
      <c r="A326" s="257">
        <v>324</v>
      </c>
      <c r="B326" s="104" t="s">
        <v>2687</v>
      </c>
      <c r="C326" s="261" t="s">
        <v>2688</v>
      </c>
      <c r="D326" s="264">
        <v>1</v>
      </c>
      <c r="E326" s="236" t="s">
        <v>2162</v>
      </c>
      <c r="F326" s="63" t="s">
        <v>2640</v>
      </c>
      <c r="G326" s="63" t="s">
        <v>2641</v>
      </c>
      <c r="H326" s="258"/>
      <c r="I326" s="265" t="s">
        <v>2165</v>
      </c>
      <c r="J326" s="258" t="s">
        <v>1584</v>
      </c>
      <c r="K326" s="236"/>
      <c r="L326" s="258" t="s">
        <v>2745</v>
      </c>
      <c r="M326" s="260"/>
      <c r="N326" s="262" t="s">
        <v>2745</v>
      </c>
    </row>
    <row r="327" spans="1:14" x14ac:dyDescent="0.3">
      <c r="A327" s="257">
        <v>325</v>
      </c>
      <c r="B327" s="104" t="s">
        <v>2689</v>
      </c>
      <c r="C327" s="261" t="s">
        <v>2690</v>
      </c>
      <c r="D327" s="264">
        <v>1</v>
      </c>
      <c r="E327" s="236" t="s">
        <v>2176</v>
      </c>
      <c r="F327" s="63" t="s">
        <v>2640</v>
      </c>
      <c r="G327" s="63" t="s">
        <v>2641</v>
      </c>
      <c r="H327" s="258"/>
      <c r="I327" s="265" t="s">
        <v>2165</v>
      </c>
      <c r="J327" s="258" t="s">
        <v>1584</v>
      </c>
      <c r="K327" s="236"/>
      <c r="L327" s="258" t="s">
        <v>2745</v>
      </c>
      <c r="M327" s="260"/>
      <c r="N327" s="262" t="s">
        <v>2745</v>
      </c>
    </row>
    <row r="328" spans="1:14" x14ac:dyDescent="0.3">
      <c r="A328" s="257">
        <v>326</v>
      </c>
      <c r="B328" s="104" t="s">
        <v>2691</v>
      </c>
      <c r="C328" s="261" t="s">
        <v>2692</v>
      </c>
      <c r="D328" s="264">
        <v>2</v>
      </c>
      <c r="E328" s="236" t="s">
        <v>193</v>
      </c>
      <c r="F328" s="63" t="s">
        <v>2640</v>
      </c>
      <c r="G328" s="63" t="s">
        <v>2641</v>
      </c>
      <c r="H328" s="258"/>
      <c r="I328" s="265" t="s">
        <v>2165</v>
      </c>
      <c r="J328" s="258" t="s">
        <v>524</v>
      </c>
      <c r="K328" s="236"/>
      <c r="L328" s="258" t="s">
        <v>2745</v>
      </c>
      <c r="M328" s="260"/>
      <c r="N328" s="262" t="s">
        <v>2745</v>
      </c>
    </row>
    <row r="329" spans="1:14" x14ac:dyDescent="0.3">
      <c r="A329" s="257">
        <v>327</v>
      </c>
      <c r="B329" s="104" t="s">
        <v>2693</v>
      </c>
      <c r="C329" s="261" t="s">
        <v>2694</v>
      </c>
      <c r="D329" s="264">
        <v>1</v>
      </c>
      <c r="E329" s="236" t="s">
        <v>2176</v>
      </c>
      <c r="F329" s="63" t="s">
        <v>2640</v>
      </c>
      <c r="G329" s="63" t="s">
        <v>2641</v>
      </c>
      <c r="H329" s="258"/>
      <c r="I329" s="265" t="s">
        <v>2165</v>
      </c>
      <c r="J329" s="258" t="s">
        <v>2177</v>
      </c>
      <c r="K329" s="236"/>
      <c r="L329" s="258" t="s">
        <v>2745</v>
      </c>
      <c r="M329" s="260"/>
      <c r="N329" s="262" t="s">
        <v>2745</v>
      </c>
    </row>
    <row r="330" spans="1:14" x14ac:dyDescent="0.3">
      <c r="A330" s="257">
        <v>328</v>
      </c>
      <c r="B330" s="104" t="s">
        <v>2695</v>
      </c>
      <c r="C330" s="261" t="s">
        <v>2696</v>
      </c>
      <c r="D330" s="264">
        <v>1</v>
      </c>
      <c r="E330" s="236" t="s">
        <v>2162</v>
      </c>
      <c r="F330" s="63" t="s">
        <v>2640</v>
      </c>
      <c r="G330" s="63" t="s">
        <v>2641</v>
      </c>
      <c r="H330" s="258"/>
      <c r="I330" s="265" t="s">
        <v>2165</v>
      </c>
      <c r="J330" s="258" t="s">
        <v>1584</v>
      </c>
      <c r="K330" s="236"/>
      <c r="L330" s="258" t="s">
        <v>2745</v>
      </c>
      <c r="M330" s="260"/>
      <c r="N330" s="262" t="s">
        <v>2745</v>
      </c>
    </row>
    <row r="331" spans="1:14" x14ac:dyDescent="0.3">
      <c r="A331" s="257">
        <v>329</v>
      </c>
      <c r="B331" s="104" t="s">
        <v>2697</v>
      </c>
      <c r="C331" s="261" t="s">
        <v>2698</v>
      </c>
      <c r="D331" s="264">
        <v>1</v>
      </c>
      <c r="E331" s="236" t="s">
        <v>193</v>
      </c>
      <c r="F331" s="63" t="s">
        <v>2640</v>
      </c>
      <c r="G331" s="63" t="s">
        <v>2641</v>
      </c>
      <c r="H331" s="258"/>
      <c r="I331" s="265" t="s">
        <v>2165</v>
      </c>
      <c r="J331" s="258" t="s">
        <v>524</v>
      </c>
      <c r="K331" s="236"/>
      <c r="L331" s="258" t="s">
        <v>2745</v>
      </c>
      <c r="M331" s="260"/>
      <c r="N331" s="262" t="s">
        <v>2745</v>
      </c>
    </row>
    <row r="332" spans="1:14" x14ac:dyDescent="0.3">
      <c r="A332" s="257">
        <v>330</v>
      </c>
      <c r="B332" s="104" t="s">
        <v>2217</v>
      </c>
      <c r="C332" s="261" t="s">
        <v>2218</v>
      </c>
      <c r="D332" s="264">
        <v>1</v>
      </c>
      <c r="E332" s="236" t="s">
        <v>193</v>
      </c>
      <c r="F332" s="63" t="s">
        <v>2640</v>
      </c>
      <c r="G332" s="63" t="s">
        <v>2641</v>
      </c>
      <c r="H332" s="258"/>
      <c r="I332" s="265" t="s">
        <v>2165</v>
      </c>
      <c r="J332" s="258" t="s">
        <v>524</v>
      </c>
      <c r="K332" s="236"/>
      <c r="L332" s="258" t="s">
        <v>2745</v>
      </c>
      <c r="M332" s="260"/>
      <c r="N332" s="262" t="s">
        <v>2745</v>
      </c>
    </row>
    <row r="333" spans="1:14" x14ac:dyDescent="0.3">
      <c r="A333" s="257">
        <v>331</v>
      </c>
      <c r="B333" s="104" t="s">
        <v>2699</v>
      </c>
      <c r="C333" s="261" t="s">
        <v>2700</v>
      </c>
      <c r="D333" s="264">
        <v>1</v>
      </c>
      <c r="E333" s="236" t="s">
        <v>2176</v>
      </c>
      <c r="F333" s="63" t="s">
        <v>2640</v>
      </c>
      <c r="G333" s="63" t="s">
        <v>2641</v>
      </c>
      <c r="H333" s="258"/>
      <c r="I333" s="265" t="s">
        <v>2165</v>
      </c>
      <c r="J333" s="258" t="s">
        <v>2177</v>
      </c>
      <c r="K333" s="236"/>
      <c r="L333" s="258" t="s">
        <v>2745</v>
      </c>
      <c r="M333" s="260"/>
      <c r="N333" s="262" t="s">
        <v>2745</v>
      </c>
    </row>
    <row r="334" spans="1:14" x14ac:dyDescent="0.3">
      <c r="A334" s="257">
        <v>332</v>
      </c>
      <c r="B334" s="104" t="s">
        <v>2701</v>
      </c>
      <c r="C334" s="261" t="s">
        <v>2702</v>
      </c>
      <c r="D334" s="264">
        <v>1</v>
      </c>
      <c r="E334" s="236" t="s">
        <v>2176</v>
      </c>
      <c r="F334" s="63" t="s">
        <v>2640</v>
      </c>
      <c r="G334" s="63" t="s">
        <v>2641</v>
      </c>
      <c r="H334" s="258"/>
      <c r="I334" s="265" t="s">
        <v>2165</v>
      </c>
      <c r="J334" s="258" t="s">
        <v>2177</v>
      </c>
      <c r="K334" s="236"/>
      <c r="L334" s="258" t="s">
        <v>2745</v>
      </c>
      <c r="M334" s="260"/>
      <c r="N334" s="262" t="s">
        <v>2745</v>
      </c>
    </row>
    <row r="335" spans="1:14" x14ac:dyDescent="0.3">
      <c r="A335" s="257">
        <v>333</v>
      </c>
      <c r="B335" s="104" t="s">
        <v>2703</v>
      </c>
      <c r="C335" s="261" t="s">
        <v>2704</v>
      </c>
      <c r="D335" s="264">
        <v>1</v>
      </c>
      <c r="E335" s="236" t="s">
        <v>193</v>
      </c>
      <c r="F335" s="63" t="s">
        <v>2640</v>
      </c>
      <c r="G335" s="63" t="s">
        <v>2641</v>
      </c>
      <c r="H335" s="258"/>
      <c r="I335" s="265" t="s">
        <v>2165</v>
      </c>
      <c r="J335" s="258" t="s">
        <v>524</v>
      </c>
      <c r="K335" s="236"/>
      <c r="L335" s="258" t="s">
        <v>2745</v>
      </c>
      <c r="M335" s="260"/>
      <c r="N335" s="262" t="s">
        <v>2745</v>
      </c>
    </row>
    <row r="336" spans="1:14" x14ac:dyDescent="0.3">
      <c r="A336" s="257">
        <v>334</v>
      </c>
      <c r="B336" s="104" t="s">
        <v>2705</v>
      </c>
      <c r="C336" s="261" t="s">
        <v>2706</v>
      </c>
      <c r="D336" s="264">
        <v>1</v>
      </c>
      <c r="E336" s="236" t="s">
        <v>2365</v>
      </c>
      <c r="F336" s="63" t="s">
        <v>2640</v>
      </c>
      <c r="G336" s="63" t="s">
        <v>2641</v>
      </c>
      <c r="H336" s="258"/>
      <c r="I336" s="265" t="s">
        <v>2165</v>
      </c>
      <c r="J336" s="258" t="s">
        <v>2707</v>
      </c>
      <c r="K336" s="236"/>
      <c r="L336" s="258" t="s">
        <v>2745</v>
      </c>
      <c r="M336" s="260"/>
      <c r="N336" s="262" t="s">
        <v>2745</v>
      </c>
    </row>
    <row r="337" spans="1:14" x14ac:dyDescent="0.3">
      <c r="A337" s="257">
        <v>335</v>
      </c>
      <c r="B337" s="104" t="s">
        <v>2708</v>
      </c>
      <c r="C337" s="261" t="s">
        <v>2709</v>
      </c>
      <c r="D337" s="264">
        <v>1</v>
      </c>
      <c r="E337" s="236" t="s">
        <v>2365</v>
      </c>
      <c r="F337" s="63" t="s">
        <v>2640</v>
      </c>
      <c r="G337" s="63" t="s">
        <v>2641</v>
      </c>
      <c r="H337" s="258"/>
      <c r="I337" s="265" t="s">
        <v>2165</v>
      </c>
      <c r="J337" s="258" t="s">
        <v>2707</v>
      </c>
      <c r="K337" s="236"/>
      <c r="L337" s="258" t="s">
        <v>2745</v>
      </c>
      <c r="M337" s="260"/>
      <c r="N337" s="262" t="s">
        <v>2745</v>
      </c>
    </row>
    <row r="338" spans="1:14" x14ac:dyDescent="0.3">
      <c r="A338" s="257">
        <v>336</v>
      </c>
      <c r="B338" s="104" t="s">
        <v>2710</v>
      </c>
      <c r="C338" s="261" t="s">
        <v>2711</v>
      </c>
      <c r="D338" s="264">
        <v>1</v>
      </c>
      <c r="E338" s="236" t="s">
        <v>2176</v>
      </c>
      <c r="F338" s="63" t="s">
        <v>2640</v>
      </c>
      <c r="G338" s="63" t="s">
        <v>2641</v>
      </c>
      <c r="H338" s="258"/>
      <c r="I338" s="265" t="s">
        <v>2165</v>
      </c>
      <c r="J338" s="258" t="s">
        <v>2177</v>
      </c>
      <c r="K338" s="236"/>
      <c r="L338" s="258" t="s">
        <v>2745</v>
      </c>
      <c r="M338" s="260"/>
      <c r="N338" s="262" t="s">
        <v>2745</v>
      </c>
    </row>
    <row r="339" spans="1:14" x14ac:dyDescent="0.3">
      <c r="A339" s="257">
        <v>337</v>
      </c>
      <c r="B339" s="104" t="s">
        <v>2712</v>
      </c>
      <c r="C339" s="261" t="s">
        <v>2713</v>
      </c>
      <c r="D339" s="264">
        <v>1</v>
      </c>
      <c r="E339" s="236" t="s">
        <v>2176</v>
      </c>
      <c r="F339" s="63" t="s">
        <v>2640</v>
      </c>
      <c r="G339" s="63" t="s">
        <v>2641</v>
      </c>
      <c r="H339" s="258"/>
      <c r="I339" s="265" t="s">
        <v>2165</v>
      </c>
      <c r="J339" s="258" t="s">
        <v>2177</v>
      </c>
      <c r="K339" s="236"/>
      <c r="L339" s="258" t="s">
        <v>2745</v>
      </c>
      <c r="M339" s="260"/>
      <c r="N339" s="262" t="s">
        <v>2745</v>
      </c>
    </row>
    <row r="340" spans="1:14" x14ac:dyDescent="0.3">
      <c r="A340" s="257">
        <v>338</v>
      </c>
      <c r="B340" s="265" t="s">
        <v>2714</v>
      </c>
      <c r="C340" s="261" t="s">
        <v>2715</v>
      </c>
      <c r="D340" s="266">
        <v>1</v>
      </c>
      <c r="E340" s="258" t="s">
        <v>2716</v>
      </c>
      <c r="F340" s="262" t="s">
        <v>2640</v>
      </c>
      <c r="G340" s="262" t="s">
        <v>2641</v>
      </c>
      <c r="H340" s="258"/>
      <c r="I340" s="265" t="s">
        <v>2165</v>
      </c>
      <c r="J340" s="258" t="s">
        <v>2717</v>
      </c>
      <c r="K340" s="258" t="s">
        <v>2718</v>
      </c>
      <c r="L340" s="258" t="s">
        <v>2719</v>
      </c>
      <c r="M340" s="260"/>
      <c r="N340" s="262" t="s">
        <v>2745</v>
      </c>
    </row>
    <row r="341" spans="1:14" x14ac:dyDescent="0.3">
      <c r="A341" s="257">
        <v>339</v>
      </c>
      <c r="B341" s="104" t="s">
        <v>2720</v>
      </c>
      <c r="C341" s="261" t="s">
        <v>2721</v>
      </c>
      <c r="D341" s="264">
        <v>1</v>
      </c>
      <c r="E341" s="236" t="s">
        <v>2176</v>
      </c>
      <c r="F341" s="63" t="s">
        <v>2640</v>
      </c>
      <c r="G341" s="63" t="s">
        <v>2641</v>
      </c>
      <c r="H341" s="258"/>
      <c r="I341" s="265" t="s">
        <v>2165</v>
      </c>
      <c r="J341" s="258" t="s">
        <v>2177</v>
      </c>
      <c r="K341" s="236"/>
      <c r="L341" s="258" t="s">
        <v>2745</v>
      </c>
      <c r="M341" s="260"/>
      <c r="N341" s="262" t="s">
        <v>2745</v>
      </c>
    </row>
    <row r="342" spans="1:14" x14ac:dyDescent="0.3">
      <c r="A342" s="257">
        <v>340</v>
      </c>
      <c r="B342" s="104" t="s">
        <v>2525</v>
      </c>
      <c r="C342" s="261" t="s">
        <v>2293</v>
      </c>
      <c r="D342" s="264">
        <v>1</v>
      </c>
      <c r="E342" s="236" t="s">
        <v>2176</v>
      </c>
      <c r="F342" s="63" t="s">
        <v>2640</v>
      </c>
      <c r="G342" s="63" t="s">
        <v>2641</v>
      </c>
      <c r="H342" s="258"/>
      <c r="I342" s="265" t="s">
        <v>2165</v>
      </c>
      <c r="J342" s="258" t="s">
        <v>2177</v>
      </c>
      <c r="K342" s="236"/>
      <c r="L342" s="258" t="s">
        <v>2745</v>
      </c>
      <c r="M342" s="260"/>
      <c r="N342" s="262" t="s">
        <v>2745</v>
      </c>
    </row>
    <row r="343" spans="1:14" x14ac:dyDescent="0.3">
      <c r="A343" s="257">
        <v>341</v>
      </c>
      <c r="B343" s="104" t="s">
        <v>2722</v>
      </c>
      <c r="C343" s="261" t="s">
        <v>2723</v>
      </c>
      <c r="D343" s="264">
        <v>1</v>
      </c>
      <c r="E343" s="236" t="s">
        <v>193</v>
      </c>
      <c r="F343" s="63" t="s">
        <v>2640</v>
      </c>
      <c r="G343" s="63" t="s">
        <v>2641</v>
      </c>
      <c r="H343" s="258"/>
      <c r="I343" s="265" t="s">
        <v>2165</v>
      </c>
      <c r="J343" s="258" t="s">
        <v>524</v>
      </c>
      <c r="K343" s="236"/>
      <c r="L343" s="258" t="s">
        <v>2745</v>
      </c>
      <c r="M343" s="260"/>
      <c r="N343" s="262" t="s">
        <v>2745</v>
      </c>
    </row>
    <row r="344" spans="1:14" x14ac:dyDescent="0.3">
      <c r="A344" s="257">
        <v>342</v>
      </c>
      <c r="B344" s="104" t="s">
        <v>2724</v>
      </c>
      <c r="C344" s="261" t="s">
        <v>2725</v>
      </c>
      <c r="D344" s="264">
        <v>1</v>
      </c>
      <c r="E344" s="236" t="s">
        <v>193</v>
      </c>
      <c r="F344" s="63" t="s">
        <v>2640</v>
      </c>
      <c r="G344" s="63" t="s">
        <v>2641</v>
      </c>
      <c r="H344" s="258"/>
      <c r="I344" s="265" t="s">
        <v>2165</v>
      </c>
      <c r="J344" s="258" t="s">
        <v>524</v>
      </c>
      <c r="K344" s="236"/>
      <c r="L344" s="258" t="s">
        <v>2745</v>
      </c>
      <c r="M344" s="260"/>
      <c r="N344" s="262" t="s">
        <v>2745</v>
      </c>
    </row>
    <row r="345" spans="1:14" x14ac:dyDescent="0.3">
      <c r="A345" s="257">
        <v>343</v>
      </c>
      <c r="B345" s="104" t="s">
        <v>2726</v>
      </c>
      <c r="C345" s="261" t="s">
        <v>2727</v>
      </c>
      <c r="D345" s="264">
        <v>1</v>
      </c>
      <c r="E345" s="236" t="s">
        <v>193</v>
      </c>
      <c r="F345" s="63" t="s">
        <v>2640</v>
      </c>
      <c r="G345" s="63" t="s">
        <v>2641</v>
      </c>
      <c r="H345" s="258"/>
      <c r="I345" s="265" t="s">
        <v>2165</v>
      </c>
      <c r="J345" s="258" t="s">
        <v>524</v>
      </c>
      <c r="K345" s="236"/>
      <c r="L345" s="258" t="s">
        <v>2745</v>
      </c>
      <c r="M345" s="260"/>
      <c r="N345" s="262" t="s">
        <v>2745</v>
      </c>
    </row>
    <row r="346" spans="1:14" x14ac:dyDescent="0.3">
      <c r="A346" s="257">
        <v>344</v>
      </c>
      <c r="B346" s="104" t="s">
        <v>2225</v>
      </c>
      <c r="C346" s="261" t="s">
        <v>2226</v>
      </c>
      <c r="D346" s="264">
        <v>1</v>
      </c>
      <c r="E346" s="236" t="s">
        <v>193</v>
      </c>
      <c r="F346" s="63" t="s">
        <v>2640</v>
      </c>
      <c r="G346" s="63" t="s">
        <v>2641</v>
      </c>
      <c r="H346" s="258"/>
      <c r="I346" s="265" t="s">
        <v>2165</v>
      </c>
      <c r="J346" s="258" t="s">
        <v>524</v>
      </c>
      <c r="K346" s="236"/>
      <c r="L346" s="258" t="s">
        <v>2745</v>
      </c>
      <c r="M346" s="260"/>
      <c r="N346" s="262" t="s">
        <v>2745</v>
      </c>
    </row>
    <row r="347" spans="1:14" x14ac:dyDescent="0.3">
      <c r="A347" s="257">
        <v>345</v>
      </c>
      <c r="B347" s="104" t="s">
        <v>2728</v>
      </c>
      <c r="C347" s="261" t="s">
        <v>2729</v>
      </c>
      <c r="D347" s="264">
        <v>1</v>
      </c>
      <c r="E347" s="236" t="s">
        <v>2176</v>
      </c>
      <c r="F347" s="63" t="s">
        <v>2640</v>
      </c>
      <c r="G347" s="63" t="s">
        <v>2641</v>
      </c>
      <c r="H347" s="258"/>
      <c r="I347" s="265" t="s">
        <v>2165</v>
      </c>
      <c r="J347" s="258" t="s">
        <v>2177</v>
      </c>
      <c r="K347" s="236"/>
      <c r="L347" s="258" t="s">
        <v>2745</v>
      </c>
      <c r="M347" s="260"/>
      <c r="N347" s="262" t="s">
        <v>2745</v>
      </c>
    </row>
    <row r="348" spans="1:14" x14ac:dyDescent="0.3">
      <c r="A348" s="257">
        <v>346</v>
      </c>
      <c r="B348" s="104" t="s">
        <v>2240</v>
      </c>
      <c r="C348" s="261" t="s">
        <v>2241</v>
      </c>
      <c r="D348" s="264">
        <v>2</v>
      </c>
      <c r="E348" s="236" t="s">
        <v>2176</v>
      </c>
      <c r="F348" s="63" t="s">
        <v>2640</v>
      </c>
      <c r="G348" s="63" t="s">
        <v>2641</v>
      </c>
      <c r="H348" s="258"/>
      <c r="I348" s="265" t="s">
        <v>2165</v>
      </c>
      <c r="J348" s="258" t="s">
        <v>2177</v>
      </c>
      <c r="K348" s="236"/>
      <c r="L348" s="258" t="s">
        <v>2745</v>
      </c>
      <c r="M348" s="260"/>
      <c r="N348" s="262" t="s">
        <v>2745</v>
      </c>
    </row>
    <row r="349" spans="1:14" x14ac:dyDescent="0.3">
      <c r="A349" s="257">
        <v>347</v>
      </c>
      <c r="B349" s="104" t="s">
        <v>2730</v>
      </c>
      <c r="C349" s="261" t="s">
        <v>2312</v>
      </c>
      <c r="D349" s="264">
        <v>1</v>
      </c>
      <c r="E349" s="236" t="s">
        <v>2176</v>
      </c>
      <c r="F349" s="63" t="s">
        <v>2640</v>
      </c>
      <c r="G349" s="63" t="s">
        <v>2641</v>
      </c>
      <c r="H349" s="258"/>
      <c r="I349" s="265" t="s">
        <v>2165</v>
      </c>
      <c r="J349" s="258" t="s">
        <v>2177</v>
      </c>
      <c r="K349" s="236"/>
      <c r="L349" s="258" t="s">
        <v>2745</v>
      </c>
      <c r="M349" s="260"/>
      <c r="N349" s="262" t="s">
        <v>2745</v>
      </c>
    </row>
    <row r="350" spans="1:14" x14ac:dyDescent="0.3">
      <c r="A350" s="257">
        <v>348</v>
      </c>
      <c r="B350" s="104" t="s">
        <v>2457</v>
      </c>
      <c r="C350" s="261" t="s">
        <v>2303</v>
      </c>
      <c r="D350" s="264">
        <v>1</v>
      </c>
      <c r="E350" s="236" t="s">
        <v>2176</v>
      </c>
      <c r="F350" s="63" t="s">
        <v>2640</v>
      </c>
      <c r="G350" s="63" t="s">
        <v>2641</v>
      </c>
      <c r="H350" s="258"/>
      <c r="I350" s="265" t="s">
        <v>2165</v>
      </c>
      <c r="J350" s="258" t="s">
        <v>2177</v>
      </c>
      <c r="K350" s="236"/>
      <c r="L350" s="258" t="s">
        <v>2745</v>
      </c>
      <c r="M350" s="260"/>
      <c r="N350" s="262" t="s">
        <v>2745</v>
      </c>
    </row>
    <row r="351" spans="1:14" x14ac:dyDescent="0.3">
      <c r="A351" s="257">
        <v>349</v>
      </c>
      <c r="B351" s="104" t="s">
        <v>2450</v>
      </c>
      <c r="C351" s="261" t="s">
        <v>2295</v>
      </c>
      <c r="D351" s="264">
        <v>1</v>
      </c>
      <c r="E351" s="236" t="s">
        <v>2176</v>
      </c>
      <c r="F351" s="63" t="s">
        <v>2640</v>
      </c>
      <c r="G351" s="63" t="s">
        <v>2641</v>
      </c>
      <c r="H351" s="258"/>
      <c r="I351" s="265" t="s">
        <v>2165</v>
      </c>
      <c r="J351" s="258" t="s">
        <v>2177</v>
      </c>
      <c r="K351" s="236"/>
      <c r="L351" s="258" t="s">
        <v>2745</v>
      </c>
      <c r="M351" s="260"/>
      <c r="N351" s="262" t="s">
        <v>2745</v>
      </c>
    </row>
    <row r="352" spans="1:14" x14ac:dyDescent="0.3">
      <c r="A352" s="257">
        <v>350</v>
      </c>
      <c r="B352" s="104" t="s">
        <v>2731</v>
      </c>
      <c r="C352" s="261" t="s">
        <v>2732</v>
      </c>
      <c r="D352" s="264">
        <v>2</v>
      </c>
      <c r="E352" s="236" t="s">
        <v>2176</v>
      </c>
      <c r="F352" s="63" t="s">
        <v>2640</v>
      </c>
      <c r="G352" s="63" t="s">
        <v>2641</v>
      </c>
      <c r="H352" s="258"/>
      <c r="I352" s="265" t="s">
        <v>2165</v>
      </c>
      <c r="J352" s="258" t="s">
        <v>2177</v>
      </c>
      <c r="K352" s="236"/>
      <c r="L352" s="258" t="s">
        <v>2745</v>
      </c>
      <c r="M352" s="260"/>
      <c r="N352" s="262" t="s">
        <v>2745</v>
      </c>
    </row>
    <row r="353" spans="1:14" x14ac:dyDescent="0.3">
      <c r="A353" s="257">
        <v>351</v>
      </c>
      <c r="B353" s="104" t="s">
        <v>2695</v>
      </c>
      <c r="C353" s="261" t="s">
        <v>2696</v>
      </c>
      <c r="D353" s="264">
        <v>1</v>
      </c>
      <c r="E353" s="236" t="s">
        <v>2176</v>
      </c>
      <c r="F353" s="63" t="s">
        <v>2640</v>
      </c>
      <c r="G353" s="63" t="s">
        <v>2641</v>
      </c>
      <c r="H353" s="258"/>
      <c r="I353" s="265" t="s">
        <v>2165</v>
      </c>
      <c r="J353" s="258" t="s">
        <v>2177</v>
      </c>
      <c r="K353" s="236"/>
      <c r="L353" s="258" t="s">
        <v>2745</v>
      </c>
      <c r="M353" s="260"/>
      <c r="N353" s="262" t="s">
        <v>2745</v>
      </c>
    </row>
    <row r="354" spans="1:14" x14ac:dyDescent="0.3">
      <c r="A354" s="257">
        <v>352</v>
      </c>
      <c r="B354" s="104" t="s">
        <v>2252</v>
      </c>
      <c r="C354" s="261" t="s">
        <v>2253</v>
      </c>
      <c r="D354" s="264">
        <v>1</v>
      </c>
      <c r="E354" s="236" t="s">
        <v>2176</v>
      </c>
      <c r="F354" s="63" t="s">
        <v>2640</v>
      </c>
      <c r="G354" s="63" t="s">
        <v>2641</v>
      </c>
      <c r="H354" s="258"/>
      <c r="I354" s="265" t="s">
        <v>2165</v>
      </c>
      <c r="J354" s="258" t="s">
        <v>2177</v>
      </c>
      <c r="K354" s="236"/>
      <c r="L354" s="258" t="s">
        <v>2745</v>
      </c>
      <c r="M354" s="260"/>
      <c r="N354" s="262" t="s">
        <v>2745</v>
      </c>
    </row>
    <row r="355" spans="1:14" x14ac:dyDescent="0.3">
      <c r="A355" s="257">
        <v>353</v>
      </c>
      <c r="B355" s="104" t="s">
        <v>2731</v>
      </c>
      <c r="C355" s="261" t="s">
        <v>2732</v>
      </c>
      <c r="D355" s="264">
        <v>1</v>
      </c>
      <c r="E355" s="236" t="s">
        <v>2176</v>
      </c>
      <c r="F355" s="63" t="s">
        <v>2640</v>
      </c>
      <c r="G355" s="63" t="s">
        <v>2641</v>
      </c>
      <c r="H355" s="258"/>
      <c r="I355" s="265" t="s">
        <v>2165</v>
      </c>
      <c r="J355" s="258" t="s">
        <v>2177</v>
      </c>
      <c r="K355" s="236"/>
      <c r="L355" s="258" t="s">
        <v>2745</v>
      </c>
      <c r="M355" s="260"/>
      <c r="N355" s="262" t="s">
        <v>2745</v>
      </c>
    </row>
    <row r="356" spans="1:14" x14ac:dyDescent="0.3">
      <c r="A356" s="257">
        <v>354</v>
      </c>
      <c r="B356" s="104" t="s">
        <v>2733</v>
      </c>
      <c r="C356" s="261" t="s">
        <v>2734</v>
      </c>
      <c r="D356" s="264">
        <v>1</v>
      </c>
      <c r="E356" s="236" t="s">
        <v>2176</v>
      </c>
      <c r="F356" s="63" t="s">
        <v>2640</v>
      </c>
      <c r="G356" s="63" t="s">
        <v>2641</v>
      </c>
      <c r="H356" s="258"/>
      <c r="I356" s="265" t="s">
        <v>2165</v>
      </c>
      <c r="J356" s="258" t="s">
        <v>2177</v>
      </c>
      <c r="K356" s="236"/>
      <c r="L356" s="258" t="s">
        <v>2745</v>
      </c>
      <c r="M356" s="260"/>
      <c r="N356" s="262" t="s">
        <v>2745</v>
      </c>
    </row>
    <row r="357" spans="1:14" x14ac:dyDescent="0.3">
      <c r="A357" s="257">
        <v>355</v>
      </c>
      <c r="B357" s="104" t="s">
        <v>2450</v>
      </c>
      <c r="C357" s="261" t="s">
        <v>2295</v>
      </c>
      <c r="D357" s="264">
        <v>1</v>
      </c>
      <c r="E357" s="236" t="s">
        <v>2176</v>
      </c>
      <c r="F357" s="63" t="s">
        <v>2640</v>
      </c>
      <c r="G357" s="63" t="s">
        <v>2641</v>
      </c>
      <c r="H357" s="258"/>
      <c r="I357" s="265" t="s">
        <v>2165</v>
      </c>
      <c r="J357" s="258" t="s">
        <v>2177</v>
      </c>
      <c r="K357" s="236"/>
      <c r="L357" s="258" t="s">
        <v>2745</v>
      </c>
      <c r="M357" s="260"/>
      <c r="N357" s="262" t="s">
        <v>2745</v>
      </c>
    </row>
    <row r="358" spans="1:14" x14ac:dyDescent="0.3">
      <c r="A358" s="257">
        <v>356</v>
      </c>
      <c r="B358" s="104" t="s">
        <v>2282</v>
      </c>
      <c r="C358" s="261" t="s">
        <v>2735</v>
      </c>
      <c r="D358" s="264">
        <v>1</v>
      </c>
      <c r="E358" s="236" t="s">
        <v>2176</v>
      </c>
      <c r="F358" s="63" t="s">
        <v>2640</v>
      </c>
      <c r="G358" s="63" t="s">
        <v>2641</v>
      </c>
      <c r="H358" s="258"/>
      <c r="I358" s="265" t="s">
        <v>2165</v>
      </c>
      <c r="J358" s="258" t="s">
        <v>2177</v>
      </c>
      <c r="K358" s="236"/>
      <c r="L358" s="258" t="s">
        <v>2745</v>
      </c>
      <c r="M358" s="260"/>
      <c r="N358" s="262" t="s">
        <v>2745</v>
      </c>
    </row>
    <row r="359" spans="1:14" x14ac:dyDescent="0.3">
      <c r="A359" s="257">
        <v>357</v>
      </c>
      <c r="B359" s="104" t="s">
        <v>2736</v>
      </c>
      <c r="C359" s="261" t="s">
        <v>2737</v>
      </c>
      <c r="D359" s="264">
        <v>1</v>
      </c>
      <c r="E359" s="236" t="s">
        <v>2176</v>
      </c>
      <c r="F359" s="63" t="s">
        <v>2640</v>
      </c>
      <c r="G359" s="63" t="s">
        <v>2641</v>
      </c>
      <c r="H359" s="258"/>
      <c r="I359" s="265" t="s">
        <v>2165</v>
      </c>
      <c r="J359" s="258" t="s">
        <v>2177</v>
      </c>
      <c r="K359" s="236"/>
      <c r="L359" s="258" t="s">
        <v>2745</v>
      </c>
      <c r="M359" s="260"/>
      <c r="N359" s="262" t="s">
        <v>2745</v>
      </c>
    </row>
    <row r="360" spans="1:14" x14ac:dyDescent="0.3">
      <c r="A360" s="257">
        <v>358</v>
      </c>
      <c r="B360" s="104" t="s">
        <v>2738</v>
      </c>
      <c r="C360" s="261" t="s">
        <v>2739</v>
      </c>
      <c r="D360" s="264">
        <v>1</v>
      </c>
      <c r="E360" s="236" t="s">
        <v>2176</v>
      </c>
      <c r="F360" s="63" t="s">
        <v>2640</v>
      </c>
      <c r="G360" s="63" t="s">
        <v>2641</v>
      </c>
      <c r="H360" s="258"/>
      <c r="I360" s="265" t="s">
        <v>2165</v>
      </c>
      <c r="J360" s="258" t="s">
        <v>2177</v>
      </c>
      <c r="K360" s="236"/>
      <c r="L360" s="258" t="s">
        <v>2745</v>
      </c>
      <c r="M360" s="260"/>
      <c r="N360" s="262" t="s">
        <v>2745</v>
      </c>
    </row>
    <row r="361" spans="1:14" ht="28.8" x14ac:dyDescent="0.3">
      <c r="A361" s="257">
        <v>359</v>
      </c>
      <c r="B361" s="265" t="s">
        <v>2740</v>
      </c>
      <c r="C361" s="261" t="s">
        <v>2741</v>
      </c>
      <c r="D361" s="264">
        <v>1</v>
      </c>
      <c r="E361" s="258" t="s">
        <v>2422</v>
      </c>
      <c r="F361" s="262" t="s">
        <v>2640</v>
      </c>
      <c r="G361" s="63" t="s">
        <v>2640</v>
      </c>
      <c r="H361" s="258"/>
      <c r="I361" s="265" t="s">
        <v>2165</v>
      </c>
      <c r="J361" s="258" t="s">
        <v>2423</v>
      </c>
      <c r="K361" s="267" t="s">
        <v>2742</v>
      </c>
      <c r="L361" s="258" t="s">
        <v>2743</v>
      </c>
      <c r="M361" s="260"/>
      <c r="N361" s="262" t="s">
        <v>2745</v>
      </c>
    </row>
  </sheetData>
  <autoFilter ref="A2:N361" xr:uid="{F6AB1540-9BFC-478F-80CF-5DA56DE1936A}"/>
  <mergeCells count="18">
    <mergeCell ref="K45:K54"/>
    <mergeCell ref="L45:L54"/>
    <mergeCell ref="M45:M54"/>
    <mergeCell ref="N45:N54"/>
    <mergeCell ref="A1:I1"/>
    <mergeCell ref="M5:M16"/>
    <mergeCell ref="N5:N16"/>
    <mergeCell ref="K17:K18"/>
    <mergeCell ref="L17:L18"/>
    <mergeCell ref="M17:M18"/>
    <mergeCell ref="N17:N18"/>
    <mergeCell ref="J1:N1"/>
    <mergeCell ref="M55:M57"/>
    <mergeCell ref="N55:N57"/>
    <mergeCell ref="M19:M24"/>
    <mergeCell ref="N19:N24"/>
    <mergeCell ref="M33:M44"/>
    <mergeCell ref="N33:N4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65A1A-608E-4059-96F9-FD9CE8BF76B6}">
  <sheetPr>
    <tabColor theme="5" tint="0.59999389629810485"/>
  </sheetPr>
  <dimension ref="A1:F27"/>
  <sheetViews>
    <sheetView workbookViewId="0">
      <selection activeCell="G11" sqref="G11"/>
    </sheetView>
  </sheetViews>
  <sheetFormatPr baseColWidth="10" defaultColWidth="8.88671875" defaultRowHeight="14.4" x14ac:dyDescent="0.3"/>
  <cols>
    <col min="2" max="2" width="48.109375" customWidth="1"/>
    <col min="3" max="3" width="13.33203125" customWidth="1"/>
    <col min="4" max="4" width="8.6640625" customWidth="1"/>
    <col min="5" max="5" width="34.109375" customWidth="1"/>
  </cols>
  <sheetData>
    <row r="1" spans="1:6" x14ac:dyDescent="0.3">
      <c r="A1" s="339"/>
      <c r="B1" s="339"/>
      <c r="C1" s="339"/>
      <c r="D1" s="339"/>
      <c r="E1" s="339"/>
    </row>
    <row r="2" spans="1:6" x14ac:dyDescent="0.3">
      <c r="A2" s="339"/>
      <c r="B2" s="339"/>
      <c r="C2" s="339"/>
      <c r="D2" s="339"/>
      <c r="E2" s="339"/>
    </row>
    <row r="3" spans="1:6" ht="15" thickBot="1" x14ac:dyDescent="0.35"/>
    <row r="4" spans="1:6" ht="15" thickBot="1" x14ac:dyDescent="0.35">
      <c r="A4" s="286" t="s">
        <v>2771</v>
      </c>
      <c r="B4" s="271" t="s">
        <v>2749</v>
      </c>
      <c r="C4" s="271" t="s">
        <v>2750</v>
      </c>
      <c r="D4" s="271" t="s">
        <v>2754</v>
      </c>
      <c r="E4" s="276" t="s">
        <v>2776</v>
      </c>
    </row>
    <row r="5" spans="1:6" x14ac:dyDescent="0.3">
      <c r="A5" s="287">
        <v>1</v>
      </c>
      <c r="B5" s="281" t="s">
        <v>2755</v>
      </c>
      <c r="C5" s="274" t="s">
        <v>2751</v>
      </c>
      <c r="D5" s="274"/>
      <c r="E5" s="277"/>
    </row>
    <row r="6" spans="1:6" x14ac:dyDescent="0.3">
      <c r="A6" s="293">
        <v>1.1000000000000001</v>
      </c>
      <c r="B6" s="294" t="s">
        <v>2777</v>
      </c>
      <c r="C6" s="292" t="s">
        <v>2752</v>
      </c>
      <c r="D6" s="292">
        <v>1</v>
      </c>
      <c r="E6" s="291"/>
    </row>
    <row r="7" spans="1:6" x14ac:dyDescent="0.3">
      <c r="A7" s="293">
        <v>1.2</v>
      </c>
      <c r="B7" s="294" t="s">
        <v>2778</v>
      </c>
      <c r="C7" s="292" t="s">
        <v>2753</v>
      </c>
      <c r="D7" s="292">
        <v>1</v>
      </c>
      <c r="E7" s="291"/>
    </row>
    <row r="8" spans="1:6" ht="27.75" customHeight="1" x14ac:dyDescent="0.3">
      <c r="A8" s="288">
        <v>2</v>
      </c>
      <c r="B8" s="282" t="s">
        <v>2757</v>
      </c>
      <c r="C8" s="273"/>
      <c r="D8" s="273"/>
      <c r="E8" s="278" t="s">
        <v>2756</v>
      </c>
      <c r="F8" s="65"/>
    </row>
    <row r="9" spans="1:6" x14ac:dyDescent="0.3">
      <c r="A9" s="289">
        <v>3</v>
      </c>
      <c r="B9" s="283" t="s">
        <v>2765</v>
      </c>
      <c r="C9" s="272"/>
      <c r="D9" s="272"/>
      <c r="E9" s="279"/>
    </row>
    <row r="10" spans="1:6" x14ac:dyDescent="0.3">
      <c r="A10" s="279">
        <v>3.1</v>
      </c>
      <c r="B10" s="284" t="s">
        <v>2758</v>
      </c>
      <c r="C10" s="17" t="s">
        <v>2752</v>
      </c>
      <c r="D10" s="17">
        <v>1</v>
      </c>
      <c r="E10" s="279"/>
    </row>
    <row r="11" spans="1:6" x14ac:dyDescent="0.3">
      <c r="A11" s="279">
        <v>3.2</v>
      </c>
      <c r="B11" s="284" t="s">
        <v>2759</v>
      </c>
      <c r="C11" s="17" t="s">
        <v>2753</v>
      </c>
      <c r="D11" s="17">
        <v>1</v>
      </c>
      <c r="E11" s="279"/>
    </row>
    <row r="12" spans="1:6" x14ac:dyDescent="0.3">
      <c r="A12" s="290">
        <v>4</v>
      </c>
      <c r="B12" s="283" t="s">
        <v>2762</v>
      </c>
      <c r="C12" s="272"/>
      <c r="D12" s="272"/>
      <c r="E12" s="279"/>
    </row>
    <row r="13" spans="1:6" x14ac:dyDescent="0.3">
      <c r="A13" s="279">
        <v>4.0999999999999996</v>
      </c>
      <c r="B13" s="284" t="s">
        <v>2773</v>
      </c>
      <c r="C13" s="17"/>
      <c r="D13" s="17">
        <v>1</v>
      </c>
      <c r="E13" s="279"/>
    </row>
    <row r="14" spans="1:6" x14ac:dyDescent="0.3">
      <c r="A14" s="279">
        <v>4.2</v>
      </c>
      <c r="B14" s="284" t="s">
        <v>2774</v>
      </c>
      <c r="C14" s="17"/>
      <c r="D14" s="17">
        <v>1</v>
      </c>
      <c r="E14" s="305" t="s">
        <v>2772</v>
      </c>
    </row>
    <row r="15" spans="1:6" x14ac:dyDescent="0.3">
      <c r="A15" s="279">
        <v>4.3</v>
      </c>
      <c r="B15" s="284" t="s">
        <v>2775</v>
      </c>
      <c r="C15" s="17"/>
      <c r="D15" s="17">
        <v>1</v>
      </c>
      <c r="E15" s="305"/>
    </row>
    <row r="16" spans="1:6" x14ac:dyDescent="0.3">
      <c r="A16" s="289">
        <v>5</v>
      </c>
      <c r="B16" s="283" t="s">
        <v>529</v>
      </c>
      <c r="C16" s="272"/>
      <c r="D16" s="272">
        <v>6</v>
      </c>
      <c r="E16" s="279"/>
    </row>
    <row r="17" spans="1:5" x14ac:dyDescent="0.3">
      <c r="A17" s="289">
        <v>6</v>
      </c>
      <c r="B17" s="283" t="s">
        <v>2766</v>
      </c>
      <c r="C17" s="272"/>
      <c r="D17" s="272">
        <v>8</v>
      </c>
      <c r="E17" s="279"/>
    </row>
    <row r="18" spans="1:5" x14ac:dyDescent="0.3">
      <c r="A18" s="290">
        <v>7</v>
      </c>
      <c r="B18" s="283" t="s">
        <v>1595</v>
      </c>
      <c r="C18" s="272"/>
      <c r="D18" s="272"/>
      <c r="E18" s="279"/>
    </row>
    <row r="19" spans="1:5" x14ac:dyDescent="0.3">
      <c r="A19" s="279">
        <v>7.1</v>
      </c>
      <c r="B19" s="284" t="s">
        <v>2763</v>
      </c>
      <c r="C19" s="17"/>
      <c r="D19" s="17">
        <v>12</v>
      </c>
      <c r="E19" s="279"/>
    </row>
    <row r="20" spans="1:5" x14ac:dyDescent="0.3">
      <c r="A20" s="279">
        <v>7.2</v>
      </c>
      <c r="B20" s="284" t="s">
        <v>2764</v>
      </c>
      <c r="C20" s="17"/>
      <c r="D20" s="17">
        <v>1</v>
      </c>
      <c r="E20" s="279"/>
    </row>
    <row r="21" spans="1:5" x14ac:dyDescent="0.3">
      <c r="A21" s="289">
        <v>8</v>
      </c>
      <c r="B21" s="283" t="s">
        <v>2761</v>
      </c>
      <c r="C21" s="272"/>
      <c r="D21" s="272"/>
      <c r="E21" s="279"/>
    </row>
    <row r="22" spans="1:5" x14ac:dyDescent="0.3">
      <c r="A22" s="279">
        <v>8.1</v>
      </c>
      <c r="B22" s="284" t="s">
        <v>2760</v>
      </c>
      <c r="C22" s="17" t="s">
        <v>2752</v>
      </c>
      <c r="D22" s="17">
        <v>1</v>
      </c>
      <c r="E22" s="279"/>
    </row>
    <row r="23" spans="1:5" x14ac:dyDescent="0.3">
      <c r="A23" s="279">
        <v>8.1999999999999993</v>
      </c>
      <c r="B23" s="284" t="s">
        <v>2760</v>
      </c>
      <c r="C23" s="17" t="s">
        <v>2753</v>
      </c>
      <c r="D23" s="17">
        <v>1</v>
      </c>
      <c r="E23" s="279"/>
    </row>
    <row r="24" spans="1:5" x14ac:dyDescent="0.3">
      <c r="A24" s="289">
        <v>9</v>
      </c>
      <c r="B24" s="283" t="s">
        <v>2767</v>
      </c>
      <c r="C24" s="272"/>
      <c r="D24" s="272"/>
      <c r="E24" s="279"/>
    </row>
    <row r="25" spans="1:5" x14ac:dyDescent="0.3">
      <c r="A25" s="279">
        <v>9.1</v>
      </c>
      <c r="B25" s="284" t="s">
        <v>2769</v>
      </c>
      <c r="C25" s="17"/>
      <c r="D25" s="17">
        <v>100</v>
      </c>
      <c r="E25" s="279"/>
    </row>
    <row r="26" spans="1:5" x14ac:dyDescent="0.3">
      <c r="A26" s="279">
        <v>9.1999999999999993</v>
      </c>
      <c r="B26" s="284" t="s">
        <v>2768</v>
      </c>
      <c r="C26" s="17"/>
      <c r="D26" s="17">
        <v>65</v>
      </c>
      <c r="E26" s="279"/>
    </row>
    <row r="27" spans="1:5" ht="15" thickBot="1" x14ac:dyDescent="0.35">
      <c r="A27" s="280">
        <v>9.3000000000000007</v>
      </c>
      <c r="B27" s="285" t="s">
        <v>2770</v>
      </c>
      <c r="C27" s="275"/>
      <c r="D27" s="275">
        <v>1</v>
      </c>
      <c r="E27" s="280"/>
    </row>
  </sheetData>
  <mergeCells count="1">
    <mergeCell ref="E14:E1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V905"/>
  <sheetViews>
    <sheetView view="pageBreakPreview" zoomScale="110" zoomScaleNormal="110" zoomScaleSheetLayoutView="110" workbookViewId="0">
      <pane xSplit="6" ySplit="2" topLeftCell="G3" activePane="bottomRight" state="frozen"/>
      <selection activeCell="O905" sqref="O905"/>
      <selection pane="topRight" activeCell="O905" sqref="O905"/>
      <selection pane="bottomLeft" activeCell="O905" sqref="O905"/>
      <selection pane="bottomRight" activeCell="N1" sqref="N1:O1"/>
    </sheetView>
  </sheetViews>
  <sheetFormatPr baseColWidth="10" defaultColWidth="9.109375" defaultRowHeight="14.4" outlineLevelCol="1" x14ac:dyDescent="0.3"/>
  <cols>
    <col min="1" max="1" width="4.88671875" style="113" customWidth="1"/>
    <col min="2" max="2" width="7.33203125" style="112" customWidth="1"/>
    <col min="3" max="3" width="6.5546875" style="103" customWidth="1"/>
    <col min="4" max="4" width="3" style="103" customWidth="1"/>
    <col min="5" max="5" width="5.5546875" style="84" customWidth="1"/>
    <col min="6" max="6" width="13.33203125" style="84" customWidth="1"/>
    <col min="7" max="7" width="31.109375" style="84" customWidth="1"/>
    <col min="8" max="8" width="33.33203125" style="84" hidden="1" customWidth="1" outlineLevel="1"/>
    <col min="9" max="9" width="13.44140625" style="84" customWidth="1" collapsed="1"/>
    <col min="10" max="10" width="13.44140625" style="84" customWidth="1"/>
    <col min="11" max="11" width="12.6640625" style="84" customWidth="1"/>
    <col min="12" max="12" width="16.88671875" style="84" customWidth="1"/>
    <col min="13" max="13" width="0.44140625" style="103" customWidth="1"/>
    <col min="14" max="14" width="10.6640625" style="103" customWidth="1"/>
    <col min="15" max="15" width="16" style="109" customWidth="1"/>
    <col min="16" max="16" width="14.44140625" style="109" hidden="1" customWidth="1" outlineLevel="1"/>
    <col min="17" max="17" width="14.88671875" style="109" hidden="1" customWidth="1" outlineLevel="1"/>
    <col min="18" max="18" width="15.33203125" style="109" hidden="1" customWidth="1" outlineLevel="1"/>
    <col min="19" max="19" width="13.6640625" style="114" hidden="1" customWidth="1" outlineLevel="1" collapsed="1"/>
    <col min="20" max="20" width="24" style="114" hidden="1" customWidth="1" outlineLevel="1"/>
    <col min="21" max="21" width="13" style="114" hidden="1" customWidth="1" outlineLevel="1"/>
    <col min="22" max="22" width="9.109375" style="114" collapsed="1"/>
    <col min="23" max="16384" width="9.109375" style="114"/>
  </cols>
  <sheetData>
    <row r="1" spans="1:21" ht="18" x14ac:dyDescent="0.3">
      <c r="A1" s="295" t="s">
        <v>1462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306"/>
      <c r="N1" s="114"/>
      <c r="O1" s="114"/>
      <c r="P1" s="226">
        <v>1.95583</v>
      </c>
      <c r="Q1" s="114"/>
      <c r="R1" s="114"/>
    </row>
    <row r="2" spans="1:21" s="116" customFormat="1" ht="129.6" x14ac:dyDescent="0.3">
      <c r="A2" s="110" t="s">
        <v>0</v>
      </c>
      <c r="B2" s="110" t="s">
        <v>1</v>
      </c>
      <c r="C2" s="110" t="s">
        <v>2</v>
      </c>
      <c r="D2" s="115" t="s">
        <v>1164</v>
      </c>
      <c r="E2" s="110" t="s">
        <v>1054</v>
      </c>
      <c r="F2" s="110" t="s">
        <v>1045</v>
      </c>
      <c r="G2" s="110" t="s">
        <v>3</v>
      </c>
      <c r="H2" s="110" t="s">
        <v>1013</v>
      </c>
      <c r="I2" s="110" t="s">
        <v>1014</v>
      </c>
      <c r="J2" s="110" t="s">
        <v>1015</v>
      </c>
      <c r="K2" s="110" t="s">
        <v>1016</v>
      </c>
      <c r="L2" s="110" t="s">
        <v>1044</v>
      </c>
      <c r="M2" s="110" t="s">
        <v>564</v>
      </c>
      <c r="N2" s="110" t="s">
        <v>218</v>
      </c>
      <c r="O2" s="106" t="s">
        <v>1575</v>
      </c>
      <c r="P2" s="106" t="s">
        <v>1484</v>
      </c>
      <c r="Q2" s="106" t="s">
        <v>401</v>
      </c>
      <c r="R2" s="106" t="s">
        <v>402</v>
      </c>
      <c r="S2" s="225" t="s">
        <v>1482</v>
      </c>
      <c r="T2" s="225" t="s">
        <v>1526</v>
      </c>
      <c r="U2" s="225" t="s">
        <v>1483</v>
      </c>
    </row>
    <row r="3" spans="1:21" ht="57.6" x14ac:dyDescent="0.3">
      <c r="A3" s="117">
        <v>1</v>
      </c>
      <c r="B3" s="131">
        <v>87</v>
      </c>
      <c r="C3" s="111">
        <v>18</v>
      </c>
      <c r="D3" s="111">
        <v>4</v>
      </c>
      <c r="E3" s="118" t="s">
        <v>1353</v>
      </c>
      <c r="F3" s="118" t="s">
        <v>1157</v>
      </c>
      <c r="G3" s="119" t="s">
        <v>1165</v>
      </c>
      <c r="H3" s="117" t="s">
        <v>988</v>
      </c>
      <c r="I3" s="117" t="s">
        <v>1168</v>
      </c>
      <c r="J3" s="117"/>
      <c r="K3" s="117" t="s">
        <v>1051</v>
      </c>
      <c r="L3" s="117" t="s">
        <v>1153</v>
      </c>
      <c r="M3" s="111"/>
      <c r="N3" s="120">
        <v>39357</v>
      </c>
      <c r="O3" s="140">
        <v>3520.5</v>
      </c>
      <c r="P3" s="227">
        <f>O3/$P$1</f>
        <v>1800.0030677512873</v>
      </c>
      <c r="Q3" s="107">
        <v>58.68</v>
      </c>
      <c r="R3" s="107">
        <v>0</v>
      </c>
      <c r="S3" s="231"/>
      <c r="T3" s="236"/>
      <c r="U3" s="236"/>
    </row>
    <row r="4" spans="1:21" ht="57.6" x14ac:dyDescent="0.3">
      <c r="A4" s="117">
        <v>2</v>
      </c>
      <c r="B4" s="131">
        <v>88</v>
      </c>
      <c r="C4" s="111">
        <v>16</v>
      </c>
      <c r="D4" s="111">
        <v>4</v>
      </c>
      <c r="E4" s="118" t="s">
        <v>1353</v>
      </c>
      <c r="F4" s="118" t="s">
        <v>201</v>
      </c>
      <c r="G4" s="119" t="s">
        <v>1185</v>
      </c>
      <c r="H4" s="117" t="s">
        <v>989</v>
      </c>
      <c r="I4" s="117" t="s">
        <v>1171</v>
      </c>
      <c r="J4" s="117" t="s">
        <v>1076</v>
      </c>
      <c r="K4" s="117" t="s">
        <v>1059</v>
      </c>
      <c r="L4" s="117" t="s">
        <v>1150</v>
      </c>
      <c r="M4" s="111"/>
      <c r="N4" s="120">
        <v>39357</v>
      </c>
      <c r="O4" s="140">
        <v>4519.92</v>
      </c>
      <c r="P4" s="227">
        <f t="shared" ref="P4:P67" si="0">O4/$P$1</f>
        <v>2310.9983996564119</v>
      </c>
      <c r="Q4" s="107">
        <v>75.33</v>
      </c>
      <c r="R4" s="107">
        <v>0</v>
      </c>
      <c r="S4" s="231"/>
      <c r="T4" s="236"/>
      <c r="U4" s="236"/>
    </row>
    <row r="5" spans="1:21" ht="57.6" x14ac:dyDescent="0.3">
      <c r="A5" s="117">
        <v>3</v>
      </c>
      <c r="B5" s="131">
        <v>90</v>
      </c>
      <c r="C5" s="111">
        <v>16</v>
      </c>
      <c r="D5" s="111">
        <v>4</v>
      </c>
      <c r="E5" s="118" t="s">
        <v>1353</v>
      </c>
      <c r="F5" s="118" t="s">
        <v>201</v>
      </c>
      <c r="G5" s="119" t="s">
        <v>378</v>
      </c>
      <c r="H5" s="117" t="s">
        <v>990</v>
      </c>
      <c r="I5" s="117" t="s">
        <v>1060</v>
      </c>
      <c r="J5" s="117" t="s">
        <v>1196</v>
      </c>
      <c r="K5" s="117" t="s">
        <v>1061</v>
      </c>
      <c r="L5" s="117" t="s">
        <v>1150</v>
      </c>
      <c r="M5" s="111"/>
      <c r="N5" s="120">
        <v>39357</v>
      </c>
      <c r="O5" s="140">
        <v>4519.92</v>
      </c>
      <c r="P5" s="227">
        <f t="shared" si="0"/>
        <v>2310.9983996564119</v>
      </c>
      <c r="Q5" s="107">
        <v>75.33</v>
      </c>
      <c r="R5" s="107">
        <v>0</v>
      </c>
      <c r="S5" s="231"/>
      <c r="T5" s="236"/>
      <c r="U5" s="236"/>
    </row>
    <row r="6" spans="1:21" ht="72" x14ac:dyDescent="0.3">
      <c r="A6" s="117">
        <v>4</v>
      </c>
      <c r="B6" s="131">
        <v>103</v>
      </c>
      <c r="C6" s="111">
        <v>9</v>
      </c>
      <c r="D6" s="111">
        <v>2</v>
      </c>
      <c r="E6" s="118" t="s">
        <v>1151</v>
      </c>
      <c r="F6" s="118" t="s">
        <v>195</v>
      </c>
      <c r="G6" s="119" t="s">
        <v>4</v>
      </c>
      <c r="H6" s="117" t="s">
        <v>991</v>
      </c>
      <c r="I6" s="117" t="s">
        <v>1062</v>
      </c>
      <c r="J6" s="117" t="s">
        <v>1236</v>
      </c>
      <c r="K6" s="117" t="s">
        <v>1056</v>
      </c>
      <c r="L6" s="117" t="s">
        <v>1153</v>
      </c>
      <c r="M6" s="111"/>
      <c r="N6" s="111"/>
      <c r="O6" s="141">
        <v>5482</v>
      </c>
      <c r="P6" s="228">
        <f t="shared" si="0"/>
        <v>2802.9020927176698</v>
      </c>
      <c r="Q6" s="107">
        <v>0</v>
      </c>
      <c r="R6" s="107">
        <v>0</v>
      </c>
      <c r="S6" s="231"/>
      <c r="T6" s="236"/>
      <c r="U6" s="236"/>
    </row>
    <row r="7" spans="1:21" ht="72" x14ac:dyDescent="0.3">
      <c r="A7" s="117">
        <v>5</v>
      </c>
      <c r="B7" s="131">
        <v>108</v>
      </c>
      <c r="C7" s="111">
        <v>1</v>
      </c>
      <c r="D7" s="111">
        <v>1</v>
      </c>
      <c r="E7" s="118" t="s">
        <v>1163</v>
      </c>
      <c r="F7" s="118" t="s">
        <v>190</v>
      </c>
      <c r="G7" s="119" t="s">
        <v>5</v>
      </c>
      <c r="H7" s="117" t="s">
        <v>992</v>
      </c>
      <c r="I7" s="117"/>
      <c r="J7" s="117"/>
      <c r="K7" s="117" t="s">
        <v>1063</v>
      </c>
      <c r="L7" s="117" t="s">
        <v>1149</v>
      </c>
      <c r="M7" s="111"/>
      <c r="N7" s="120">
        <v>39476</v>
      </c>
      <c r="O7" s="140">
        <v>1900</v>
      </c>
      <c r="P7" s="227">
        <f t="shared" si="0"/>
        <v>971.45457427281519</v>
      </c>
      <c r="Q7" s="107">
        <v>0</v>
      </c>
      <c r="R7" s="107">
        <v>0</v>
      </c>
      <c r="S7" s="231">
        <v>100</v>
      </c>
      <c r="T7" s="236"/>
      <c r="U7" s="236"/>
    </row>
    <row r="8" spans="1:21" ht="72" x14ac:dyDescent="0.3">
      <c r="A8" s="117">
        <v>6</v>
      </c>
      <c r="B8" s="131">
        <v>110</v>
      </c>
      <c r="C8" s="111">
        <v>1</v>
      </c>
      <c r="D8" s="111">
        <v>1</v>
      </c>
      <c r="E8" s="118" t="s">
        <v>1163</v>
      </c>
      <c r="F8" s="118" t="s">
        <v>190</v>
      </c>
      <c r="G8" s="119" t="s">
        <v>5</v>
      </c>
      <c r="H8" s="117" t="s">
        <v>992</v>
      </c>
      <c r="I8" s="117"/>
      <c r="J8" s="117"/>
      <c r="K8" s="117" t="s">
        <v>1063</v>
      </c>
      <c r="L8" s="117" t="s">
        <v>1149</v>
      </c>
      <c r="M8" s="111"/>
      <c r="N8" s="120">
        <v>39476</v>
      </c>
      <c r="O8" s="140">
        <v>1900</v>
      </c>
      <c r="P8" s="227">
        <f t="shared" si="0"/>
        <v>971.45457427281519</v>
      </c>
      <c r="Q8" s="107">
        <v>0</v>
      </c>
      <c r="R8" s="107">
        <v>0</v>
      </c>
      <c r="S8" s="231">
        <v>100</v>
      </c>
      <c r="T8" s="236"/>
      <c r="U8" s="236"/>
    </row>
    <row r="9" spans="1:21" ht="72" x14ac:dyDescent="0.3">
      <c r="A9" s="117">
        <v>7</v>
      </c>
      <c r="B9" s="131">
        <v>114</v>
      </c>
      <c r="C9" s="111">
        <v>1</v>
      </c>
      <c r="D9" s="111">
        <v>1</v>
      </c>
      <c r="E9" s="118" t="s">
        <v>1163</v>
      </c>
      <c r="F9" s="118" t="s">
        <v>190</v>
      </c>
      <c r="G9" s="119" t="s">
        <v>5</v>
      </c>
      <c r="H9" s="117" t="s">
        <v>992</v>
      </c>
      <c r="I9" s="117"/>
      <c r="J9" s="117"/>
      <c r="K9" s="117" t="s">
        <v>1063</v>
      </c>
      <c r="L9" s="117" t="s">
        <v>1149</v>
      </c>
      <c r="M9" s="111"/>
      <c r="N9" s="120">
        <v>39476</v>
      </c>
      <c r="O9" s="140">
        <v>1900</v>
      </c>
      <c r="P9" s="227">
        <f t="shared" si="0"/>
        <v>971.45457427281519</v>
      </c>
      <c r="Q9" s="107">
        <v>0</v>
      </c>
      <c r="R9" s="107">
        <v>0</v>
      </c>
      <c r="S9" s="231">
        <v>100</v>
      </c>
      <c r="T9" s="236"/>
      <c r="U9" s="236"/>
    </row>
    <row r="10" spans="1:21" ht="72" x14ac:dyDescent="0.3">
      <c r="A10" s="117">
        <v>8</v>
      </c>
      <c r="B10" s="131">
        <v>115</v>
      </c>
      <c r="C10" s="111">
        <v>1</v>
      </c>
      <c r="D10" s="111">
        <v>1</v>
      </c>
      <c r="E10" s="118" t="s">
        <v>1163</v>
      </c>
      <c r="F10" s="118" t="s">
        <v>190</v>
      </c>
      <c r="G10" s="119" t="s">
        <v>5</v>
      </c>
      <c r="H10" s="117" t="s">
        <v>992</v>
      </c>
      <c r="I10" s="117"/>
      <c r="J10" s="117"/>
      <c r="K10" s="117" t="s">
        <v>1063</v>
      </c>
      <c r="L10" s="117" t="s">
        <v>1149</v>
      </c>
      <c r="M10" s="111"/>
      <c r="N10" s="120">
        <v>39476</v>
      </c>
      <c r="O10" s="140">
        <v>1900</v>
      </c>
      <c r="P10" s="227">
        <f t="shared" si="0"/>
        <v>971.45457427281519</v>
      </c>
      <c r="Q10" s="107">
        <v>0</v>
      </c>
      <c r="R10" s="107">
        <v>0</v>
      </c>
      <c r="S10" s="231">
        <v>100</v>
      </c>
      <c r="T10" s="236"/>
      <c r="U10" s="236"/>
    </row>
    <row r="11" spans="1:21" ht="72" x14ac:dyDescent="0.3">
      <c r="A11" s="117">
        <v>9</v>
      </c>
      <c r="B11" s="131">
        <v>118</v>
      </c>
      <c r="C11" s="111">
        <v>1</v>
      </c>
      <c r="D11" s="111">
        <v>1</v>
      </c>
      <c r="E11" s="118" t="s">
        <v>1163</v>
      </c>
      <c r="F11" s="118" t="s">
        <v>190</v>
      </c>
      <c r="G11" s="119" t="s">
        <v>5</v>
      </c>
      <c r="H11" s="117" t="s">
        <v>992</v>
      </c>
      <c r="I11" s="117"/>
      <c r="J11" s="117"/>
      <c r="K11" s="117" t="s">
        <v>1063</v>
      </c>
      <c r="L11" s="117" t="s">
        <v>1149</v>
      </c>
      <c r="M11" s="111"/>
      <c r="N11" s="120">
        <v>39476</v>
      </c>
      <c r="O11" s="140">
        <v>1900</v>
      </c>
      <c r="P11" s="227">
        <f t="shared" si="0"/>
        <v>971.45457427281519</v>
      </c>
      <c r="Q11" s="107">
        <v>0</v>
      </c>
      <c r="R11" s="107">
        <v>0</v>
      </c>
      <c r="S11" s="231">
        <v>100</v>
      </c>
      <c r="T11" s="236"/>
      <c r="U11" s="236"/>
    </row>
    <row r="12" spans="1:21" ht="72" x14ac:dyDescent="0.3">
      <c r="A12" s="117">
        <v>10</v>
      </c>
      <c r="B12" s="131">
        <v>119</v>
      </c>
      <c r="C12" s="111">
        <v>1</v>
      </c>
      <c r="D12" s="111">
        <v>1</v>
      </c>
      <c r="E12" s="118" t="s">
        <v>1163</v>
      </c>
      <c r="F12" s="118" t="s">
        <v>190</v>
      </c>
      <c r="G12" s="119" t="s">
        <v>5</v>
      </c>
      <c r="H12" s="117" t="s">
        <v>992</v>
      </c>
      <c r="I12" s="117"/>
      <c r="J12" s="117"/>
      <c r="K12" s="117" t="s">
        <v>1063</v>
      </c>
      <c r="L12" s="117" t="s">
        <v>1149</v>
      </c>
      <c r="M12" s="111"/>
      <c r="N12" s="120">
        <v>39476</v>
      </c>
      <c r="O12" s="140">
        <v>1900</v>
      </c>
      <c r="P12" s="227">
        <f t="shared" si="0"/>
        <v>971.45457427281519</v>
      </c>
      <c r="Q12" s="107">
        <v>0</v>
      </c>
      <c r="R12" s="107">
        <v>0</v>
      </c>
      <c r="S12" s="231">
        <v>100</v>
      </c>
      <c r="T12" s="236"/>
      <c r="U12" s="236"/>
    </row>
    <row r="13" spans="1:21" ht="72" x14ac:dyDescent="0.3">
      <c r="A13" s="117">
        <v>11</v>
      </c>
      <c r="B13" s="131">
        <v>120</v>
      </c>
      <c r="C13" s="111">
        <v>1</v>
      </c>
      <c r="D13" s="111">
        <v>1</v>
      </c>
      <c r="E13" s="118" t="s">
        <v>1163</v>
      </c>
      <c r="F13" s="118" t="s">
        <v>190</v>
      </c>
      <c r="G13" s="119" t="s">
        <v>5</v>
      </c>
      <c r="H13" s="117" t="s">
        <v>992</v>
      </c>
      <c r="I13" s="117"/>
      <c r="J13" s="117"/>
      <c r="K13" s="117" t="s">
        <v>1063</v>
      </c>
      <c r="L13" s="117" t="s">
        <v>1149</v>
      </c>
      <c r="M13" s="111"/>
      <c r="N13" s="120">
        <v>39476</v>
      </c>
      <c r="O13" s="140">
        <v>1900</v>
      </c>
      <c r="P13" s="227">
        <f t="shared" si="0"/>
        <v>971.45457427281519</v>
      </c>
      <c r="Q13" s="107">
        <v>0</v>
      </c>
      <c r="R13" s="107">
        <v>0</v>
      </c>
      <c r="S13" s="231">
        <v>100</v>
      </c>
      <c r="T13" s="236"/>
      <c r="U13" s="236"/>
    </row>
    <row r="14" spans="1:21" ht="72" x14ac:dyDescent="0.3">
      <c r="A14" s="117">
        <v>12</v>
      </c>
      <c r="B14" s="131">
        <v>144</v>
      </c>
      <c r="C14" s="111">
        <v>11</v>
      </c>
      <c r="D14" s="111">
        <v>3</v>
      </c>
      <c r="E14" s="118" t="s">
        <v>1058</v>
      </c>
      <c r="F14" s="118" t="s">
        <v>196</v>
      </c>
      <c r="G14" s="119" t="s">
        <v>575</v>
      </c>
      <c r="H14" s="119" t="s">
        <v>993</v>
      </c>
      <c r="I14" s="117"/>
      <c r="J14" s="117"/>
      <c r="K14" s="117" t="s">
        <v>1059</v>
      </c>
      <c r="L14" s="117" t="s">
        <v>1150</v>
      </c>
      <c r="M14" s="111"/>
      <c r="N14" s="120">
        <v>39496</v>
      </c>
      <c r="O14" s="140">
        <v>8220</v>
      </c>
      <c r="P14" s="227">
        <f t="shared" si="0"/>
        <v>4202.8192634329162</v>
      </c>
      <c r="Q14" s="107">
        <v>137</v>
      </c>
      <c r="R14" s="107">
        <v>0</v>
      </c>
      <c r="S14" s="231"/>
      <c r="T14" s="236"/>
      <c r="U14" s="236"/>
    </row>
    <row r="15" spans="1:21" ht="72" x14ac:dyDescent="0.3">
      <c r="A15" s="117">
        <v>13</v>
      </c>
      <c r="B15" s="131">
        <v>159</v>
      </c>
      <c r="C15" s="111">
        <v>10</v>
      </c>
      <c r="D15" s="111">
        <v>2</v>
      </c>
      <c r="E15" s="118" t="s">
        <v>1151</v>
      </c>
      <c r="F15" s="118" t="s">
        <v>43</v>
      </c>
      <c r="G15" s="119" t="s">
        <v>1527</v>
      </c>
      <c r="H15" s="119" t="s">
        <v>1528</v>
      </c>
      <c r="I15" s="117" t="s">
        <v>1064</v>
      </c>
      <c r="J15" s="117" t="s">
        <v>1065</v>
      </c>
      <c r="K15" s="117" t="s">
        <v>1052</v>
      </c>
      <c r="L15" s="117" t="s">
        <v>1150</v>
      </c>
      <c r="M15" s="111"/>
      <c r="N15" s="111"/>
      <c r="O15" s="141">
        <v>16600</v>
      </c>
      <c r="P15" s="228">
        <f t="shared" si="0"/>
        <v>8487.4452278572262</v>
      </c>
      <c r="Q15" s="107">
        <v>0</v>
      </c>
      <c r="R15" s="107">
        <v>0</v>
      </c>
      <c r="S15" s="231">
        <f>P15*0.4</f>
        <v>3394.9780911428907</v>
      </c>
      <c r="T15" s="236"/>
      <c r="U15" s="236"/>
    </row>
    <row r="16" spans="1:21" ht="57.6" x14ac:dyDescent="0.3">
      <c r="A16" s="117">
        <v>14</v>
      </c>
      <c r="B16" s="131">
        <v>170</v>
      </c>
      <c r="C16" s="111">
        <v>16</v>
      </c>
      <c r="D16" s="111">
        <v>4</v>
      </c>
      <c r="E16" s="118" t="s">
        <v>1353</v>
      </c>
      <c r="F16" s="118" t="s">
        <v>201</v>
      </c>
      <c r="G16" s="118" t="s">
        <v>1190</v>
      </c>
      <c r="H16" s="117" t="s">
        <v>994</v>
      </c>
      <c r="I16" s="117" t="s">
        <v>1171</v>
      </c>
      <c r="J16" s="117" t="s">
        <v>1176</v>
      </c>
      <c r="K16" s="117" t="s">
        <v>1063</v>
      </c>
      <c r="L16" s="117" t="s">
        <v>1149</v>
      </c>
      <c r="M16" s="111"/>
      <c r="N16" s="111"/>
      <c r="O16" s="141">
        <v>3644</v>
      </c>
      <c r="P16" s="228">
        <f t="shared" si="0"/>
        <v>1863.1476150790202</v>
      </c>
      <c r="Q16" s="107">
        <v>0</v>
      </c>
      <c r="R16" s="107">
        <v>0</v>
      </c>
      <c r="S16" s="231">
        <f>P16*0.4</f>
        <v>745.25904603160814</v>
      </c>
      <c r="T16" s="236"/>
      <c r="U16" s="236"/>
    </row>
    <row r="17" spans="1:21" ht="57.6" x14ac:dyDescent="0.3">
      <c r="A17" s="117">
        <v>15</v>
      </c>
      <c r="B17" s="131">
        <v>171</v>
      </c>
      <c r="C17" s="111">
        <v>16</v>
      </c>
      <c r="D17" s="111">
        <v>4</v>
      </c>
      <c r="E17" s="118" t="s">
        <v>1353</v>
      </c>
      <c r="F17" s="118" t="s">
        <v>201</v>
      </c>
      <c r="G17" s="118" t="s">
        <v>1190</v>
      </c>
      <c r="H17" s="119" t="s">
        <v>994</v>
      </c>
      <c r="I17" s="117" t="s">
        <v>1171</v>
      </c>
      <c r="J17" s="117" t="s">
        <v>1176</v>
      </c>
      <c r="K17" s="117" t="s">
        <v>1059</v>
      </c>
      <c r="L17" s="117" t="s">
        <v>1150</v>
      </c>
      <c r="M17" s="111"/>
      <c r="N17" s="120">
        <v>39476</v>
      </c>
      <c r="O17" s="141">
        <v>3644</v>
      </c>
      <c r="P17" s="228">
        <f t="shared" si="0"/>
        <v>1863.1476150790202</v>
      </c>
      <c r="Q17" s="107">
        <v>0</v>
      </c>
      <c r="R17" s="107">
        <v>0</v>
      </c>
      <c r="S17" s="231"/>
      <c r="T17" s="236"/>
      <c r="U17" s="236"/>
    </row>
    <row r="18" spans="1:21" ht="57.6" x14ac:dyDescent="0.3">
      <c r="A18" s="117">
        <v>16</v>
      </c>
      <c r="B18" s="131">
        <v>172</v>
      </c>
      <c r="C18" s="111">
        <v>16</v>
      </c>
      <c r="D18" s="111">
        <v>4</v>
      </c>
      <c r="E18" s="118" t="s">
        <v>1353</v>
      </c>
      <c r="F18" s="118" t="s">
        <v>201</v>
      </c>
      <c r="G18" s="118" t="s">
        <v>1190</v>
      </c>
      <c r="H18" s="119" t="s">
        <v>994</v>
      </c>
      <c r="I18" s="117" t="s">
        <v>1171</v>
      </c>
      <c r="J18" s="117" t="s">
        <v>1176</v>
      </c>
      <c r="K18" s="117" t="s">
        <v>1067</v>
      </c>
      <c r="L18" s="117" t="s">
        <v>1150</v>
      </c>
      <c r="M18" s="111"/>
      <c r="N18" s="120">
        <v>39476</v>
      </c>
      <c r="O18" s="141">
        <v>3644</v>
      </c>
      <c r="P18" s="228">
        <f t="shared" si="0"/>
        <v>1863.1476150790202</v>
      </c>
      <c r="Q18" s="107">
        <v>0</v>
      </c>
      <c r="R18" s="107">
        <v>0</v>
      </c>
      <c r="S18" s="231"/>
      <c r="T18" s="236"/>
      <c r="U18" s="236"/>
    </row>
    <row r="19" spans="1:21" ht="57.6" x14ac:dyDescent="0.3">
      <c r="A19" s="117">
        <v>17</v>
      </c>
      <c r="B19" s="131">
        <v>173</v>
      </c>
      <c r="C19" s="111">
        <v>16</v>
      </c>
      <c r="D19" s="111">
        <v>4</v>
      </c>
      <c r="E19" s="118" t="s">
        <v>1353</v>
      </c>
      <c r="F19" s="118" t="s">
        <v>201</v>
      </c>
      <c r="G19" s="119" t="s">
        <v>1179</v>
      </c>
      <c r="H19" s="119" t="s">
        <v>994</v>
      </c>
      <c r="I19" s="117" t="s">
        <v>1060</v>
      </c>
      <c r="J19" s="117" t="s">
        <v>1176</v>
      </c>
      <c r="K19" s="117" t="s">
        <v>1067</v>
      </c>
      <c r="L19" s="117" t="s">
        <v>1150</v>
      </c>
      <c r="M19" s="111"/>
      <c r="N19" s="120">
        <v>39476</v>
      </c>
      <c r="O19" s="141">
        <v>3644</v>
      </c>
      <c r="P19" s="228">
        <f t="shared" si="0"/>
        <v>1863.1476150790202</v>
      </c>
      <c r="Q19" s="107">
        <v>0</v>
      </c>
      <c r="R19" s="107">
        <v>0</v>
      </c>
      <c r="S19" s="231"/>
      <c r="T19" s="236"/>
      <c r="U19" s="236"/>
    </row>
    <row r="20" spans="1:21" ht="57.6" x14ac:dyDescent="0.3">
      <c r="A20" s="117">
        <v>18</v>
      </c>
      <c r="B20" s="131">
        <v>176</v>
      </c>
      <c r="C20" s="111">
        <v>16</v>
      </c>
      <c r="D20" s="111">
        <v>4</v>
      </c>
      <c r="E20" s="118" t="s">
        <v>1353</v>
      </c>
      <c r="F20" s="118" t="s">
        <v>201</v>
      </c>
      <c r="G20" s="118" t="s">
        <v>1190</v>
      </c>
      <c r="H20" s="119" t="s">
        <v>994</v>
      </c>
      <c r="I20" s="117" t="s">
        <v>1171</v>
      </c>
      <c r="J20" s="117" t="s">
        <v>1176</v>
      </c>
      <c r="K20" s="117" t="s">
        <v>1066</v>
      </c>
      <c r="L20" s="117" t="s">
        <v>1149</v>
      </c>
      <c r="M20" s="111"/>
      <c r="N20" s="120">
        <v>39476</v>
      </c>
      <c r="O20" s="141">
        <v>3644</v>
      </c>
      <c r="P20" s="228">
        <f t="shared" si="0"/>
        <v>1863.1476150790202</v>
      </c>
      <c r="Q20" s="107">
        <v>0</v>
      </c>
      <c r="R20" s="107">
        <v>0</v>
      </c>
      <c r="S20" s="231">
        <f>P20*0.4</f>
        <v>745.25904603160814</v>
      </c>
      <c r="T20" s="236"/>
      <c r="U20" s="236"/>
    </row>
    <row r="21" spans="1:21" ht="57.6" x14ac:dyDescent="0.3">
      <c r="A21" s="117">
        <v>19</v>
      </c>
      <c r="B21" s="131">
        <v>177</v>
      </c>
      <c r="C21" s="111">
        <v>16</v>
      </c>
      <c r="D21" s="111">
        <v>4</v>
      </c>
      <c r="E21" s="118" t="s">
        <v>1353</v>
      </c>
      <c r="F21" s="118" t="s">
        <v>201</v>
      </c>
      <c r="G21" s="118" t="s">
        <v>1190</v>
      </c>
      <c r="H21" s="119" t="s">
        <v>994</v>
      </c>
      <c r="I21" s="117" t="s">
        <v>1171</v>
      </c>
      <c r="J21" s="117" t="s">
        <v>1176</v>
      </c>
      <c r="K21" s="117" t="s">
        <v>1063</v>
      </c>
      <c r="L21" s="117" t="s">
        <v>1149</v>
      </c>
      <c r="M21" s="111"/>
      <c r="N21" s="120">
        <v>39476</v>
      </c>
      <c r="O21" s="141">
        <v>3644</v>
      </c>
      <c r="P21" s="228">
        <f t="shared" si="0"/>
        <v>1863.1476150790202</v>
      </c>
      <c r="Q21" s="107">
        <v>0</v>
      </c>
      <c r="R21" s="107">
        <v>0</v>
      </c>
      <c r="S21" s="231">
        <f>P21*0.4</f>
        <v>745.25904603160814</v>
      </c>
      <c r="T21" s="236"/>
      <c r="U21" s="236"/>
    </row>
    <row r="22" spans="1:21" ht="57.6" x14ac:dyDescent="0.3">
      <c r="A22" s="117">
        <v>20</v>
      </c>
      <c r="B22" s="131">
        <v>178</v>
      </c>
      <c r="C22" s="111">
        <v>16</v>
      </c>
      <c r="D22" s="111">
        <v>4</v>
      </c>
      <c r="E22" s="118" t="s">
        <v>1353</v>
      </c>
      <c r="F22" s="118" t="s">
        <v>201</v>
      </c>
      <c r="G22" s="118" t="s">
        <v>1190</v>
      </c>
      <c r="H22" s="119" t="s">
        <v>994</v>
      </c>
      <c r="I22" s="117" t="s">
        <v>1171</v>
      </c>
      <c r="J22" s="117" t="s">
        <v>1176</v>
      </c>
      <c r="K22" s="117" t="s">
        <v>1063</v>
      </c>
      <c r="L22" s="117" t="s">
        <v>1149</v>
      </c>
      <c r="M22" s="111"/>
      <c r="N22" s="120">
        <v>39476</v>
      </c>
      <c r="O22" s="141">
        <v>3644</v>
      </c>
      <c r="P22" s="228">
        <f t="shared" si="0"/>
        <v>1863.1476150790202</v>
      </c>
      <c r="Q22" s="107">
        <v>0</v>
      </c>
      <c r="R22" s="107">
        <v>0</v>
      </c>
      <c r="S22" s="231">
        <f>P22*0.4</f>
        <v>745.25904603160814</v>
      </c>
      <c r="T22" s="236"/>
      <c r="U22" s="236"/>
    </row>
    <row r="23" spans="1:21" ht="57.6" x14ac:dyDescent="0.3">
      <c r="A23" s="117">
        <v>21</v>
      </c>
      <c r="B23" s="131">
        <v>179</v>
      </c>
      <c r="C23" s="111">
        <v>16</v>
      </c>
      <c r="D23" s="111">
        <v>4</v>
      </c>
      <c r="E23" s="118" t="s">
        <v>1353</v>
      </c>
      <c r="F23" s="118" t="s">
        <v>201</v>
      </c>
      <c r="G23" s="118" t="s">
        <v>1190</v>
      </c>
      <c r="H23" s="119" t="s">
        <v>994</v>
      </c>
      <c r="I23" s="117" t="s">
        <v>1171</v>
      </c>
      <c r="J23" s="117" t="s">
        <v>1176</v>
      </c>
      <c r="K23" s="117" t="s">
        <v>1059</v>
      </c>
      <c r="L23" s="117" t="s">
        <v>1150</v>
      </c>
      <c r="M23" s="111"/>
      <c r="N23" s="120">
        <v>39476</v>
      </c>
      <c r="O23" s="141">
        <v>3644</v>
      </c>
      <c r="P23" s="228">
        <f t="shared" si="0"/>
        <v>1863.1476150790202</v>
      </c>
      <c r="Q23" s="107">
        <v>0</v>
      </c>
      <c r="R23" s="107">
        <v>0</v>
      </c>
      <c r="S23" s="231"/>
      <c r="T23" s="236"/>
      <c r="U23" s="236"/>
    </row>
    <row r="24" spans="1:21" ht="57.6" x14ac:dyDescent="0.3">
      <c r="A24" s="117">
        <v>22</v>
      </c>
      <c r="B24" s="131">
        <v>180</v>
      </c>
      <c r="C24" s="111">
        <v>16</v>
      </c>
      <c r="D24" s="111">
        <v>4</v>
      </c>
      <c r="E24" s="118" t="s">
        <v>1353</v>
      </c>
      <c r="F24" s="118" t="s">
        <v>201</v>
      </c>
      <c r="G24" s="118" t="s">
        <v>1190</v>
      </c>
      <c r="H24" s="119" t="s">
        <v>994</v>
      </c>
      <c r="I24" s="117" t="s">
        <v>1171</v>
      </c>
      <c r="J24" s="117" t="s">
        <v>1176</v>
      </c>
      <c r="K24" s="117" t="s">
        <v>1059</v>
      </c>
      <c r="L24" s="117" t="s">
        <v>1150</v>
      </c>
      <c r="M24" s="111"/>
      <c r="N24" s="120">
        <v>39476</v>
      </c>
      <c r="O24" s="141">
        <v>3644</v>
      </c>
      <c r="P24" s="228">
        <f t="shared" si="0"/>
        <v>1863.1476150790202</v>
      </c>
      <c r="Q24" s="107">
        <v>0</v>
      </c>
      <c r="R24" s="107">
        <v>0</v>
      </c>
      <c r="S24" s="231"/>
      <c r="T24" s="236"/>
      <c r="U24" s="236"/>
    </row>
    <row r="25" spans="1:21" ht="72" x14ac:dyDescent="0.3">
      <c r="A25" s="117">
        <v>23</v>
      </c>
      <c r="B25" s="131">
        <v>183</v>
      </c>
      <c r="C25" s="111">
        <v>5</v>
      </c>
      <c r="D25" s="111">
        <v>2</v>
      </c>
      <c r="E25" s="118" t="s">
        <v>1151</v>
      </c>
      <c r="F25" s="118" t="s">
        <v>212</v>
      </c>
      <c r="G25" s="119" t="s">
        <v>217</v>
      </c>
      <c r="H25" s="119" t="s">
        <v>995</v>
      </c>
      <c r="I25" s="117" t="s">
        <v>1217</v>
      </c>
      <c r="J25" s="117" t="s">
        <v>1068</v>
      </c>
      <c r="K25" s="117" t="s">
        <v>1069</v>
      </c>
      <c r="L25" s="117" t="s">
        <v>1150</v>
      </c>
      <c r="M25" s="111"/>
      <c r="N25" s="120">
        <v>39545</v>
      </c>
      <c r="O25" s="141">
        <v>3644</v>
      </c>
      <c r="P25" s="228">
        <f t="shared" si="0"/>
        <v>1863.1476150790202</v>
      </c>
      <c r="Q25" s="107">
        <v>0</v>
      </c>
      <c r="R25" s="107">
        <v>0</v>
      </c>
      <c r="S25" s="231"/>
      <c r="T25" s="236"/>
      <c r="U25" s="236"/>
    </row>
    <row r="26" spans="1:21" ht="72" x14ac:dyDescent="0.3">
      <c r="A26" s="117">
        <v>24</v>
      </c>
      <c r="B26" s="131">
        <v>184</v>
      </c>
      <c r="C26" s="111">
        <v>3</v>
      </c>
      <c r="D26" s="111">
        <v>3</v>
      </c>
      <c r="E26" s="118" t="s">
        <v>1058</v>
      </c>
      <c r="F26" s="118" t="s">
        <v>192</v>
      </c>
      <c r="G26" s="119" t="s">
        <v>571</v>
      </c>
      <c r="H26" s="117" t="s">
        <v>996</v>
      </c>
      <c r="I26" s="117"/>
      <c r="J26" s="117"/>
      <c r="K26" s="117" t="s">
        <v>1056</v>
      </c>
      <c r="L26" s="117" t="s">
        <v>1153</v>
      </c>
      <c r="M26" s="111"/>
      <c r="N26" s="120">
        <v>39545</v>
      </c>
      <c r="O26" s="141">
        <v>7182</v>
      </c>
      <c r="P26" s="228">
        <f t="shared" si="0"/>
        <v>3672.0982907512412</v>
      </c>
      <c r="Q26" s="107">
        <v>0</v>
      </c>
      <c r="R26" s="107">
        <v>0</v>
      </c>
      <c r="S26" s="231"/>
      <c r="T26" s="236"/>
      <c r="U26" s="236"/>
    </row>
    <row r="27" spans="1:21" ht="72" x14ac:dyDescent="0.3">
      <c r="A27" s="117">
        <v>25</v>
      </c>
      <c r="B27" s="131">
        <v>186</v>
      </c>
      <c r="C27" s="111">
        <v>6</v>
      </c>
      <c r="D27" s="111">
        <v>2</v>
      </c>
      <c r="E27" s="118" t="s">
        <v>1151</v>
      </c>
      <c r="F27" s="118" t="s">
        <v>115</v>
      </c>
      <c r="G27" s="119" t="s">
        <v>1219</v>
      </c>
      <c r="H27" s="117" t="s">
        <v>997</v>
      </c>
      <c r="I27" s="117" t="s">
        <v>1070</v>
      </c>
      <c r="J27" s="117"/>
      <c r="K27" s="117" t="s">
        <v>1066</v>
      </c>
      <c r="L27" s="117" t="s">
        <v>1149</v>
      </c>
      <c r="M27" s="111"/>
      <c r="N27" s="120">
        <v>39539</v>
      </c>
      <c r="O27" s="141">
        <v>7211</v>
      </c>
      <c r="P27" s="228">
        <f t="shared" si="0"/>
        <v>3686.9257553059315</v>
      </c>
      <c r="Q27" s="107">
        <v>0</v>
      </c>
      <c r="R27" s="107">
        <v>0</v>
      </c>
      <c r="S27" s="231">
        <f>P27*0.4</f>
        <v>1474.7703021223726</v>
      </c>
      <c r="T27" s="236"/>
      <c r="U27" s="236"/>
    </row>
    <row r="28" spans="1:21" ht="72" x14ac:dyDescent="0.3">
      <c r="A28" s="117">
        <v>26</v>
      </c>
      <c r="B28" s="131">
        <v>191</v>
      </c>
      <c r="C28" s="111">
        <v>22</v>
      </c>
      <c r="D28" s="111">
        <v>2</v>
      </c>
      <c r="E28" s="118" t="s">
        <v>1151</v>
      </c>
      <c r="F28" s="118" t="s">
        <v>7</v>
      </c>
      <c r="G28" s="119" t="s">
        <v>619</v>
      </c>
      <c r="H28" s="117" t="s">
        <v>998</v>
      </c>
      <c r="I28" s="117" t="s">
        <v>1071</v>
      </c>
      <c r="J28" s="117"/>
      <c r="K28" s="117" t="s">
        <v>1055</v>
      </c>
      <c r="L28" s="117" t="s">
        <v>1148</v>
      </c>
      <c r="M28" s="111"/>
      <c r="N28" s="120">
        <v>39814</v>
      </c>
      <c r="O28" s="140">
        <v>113922.19</v>
      </c>
      <c r="P28" s="227">
        <f t="shared" si="0"/>
        <v>58247.490835093035</v>
      </c>
      <c r="Q28" s="107">
        <v>2848.05</v>
      </c>
      <c r="R28" s="107">
        <v>0</v>
      </c>
      <c r="S28" s="231"/>
      <c r="T28" s="236"/>
      <c r="U28" s="236"/>
    </row>
    <row r="29" spans="1:21" ht="72" x14ac:dyDescent="0.3">
      <c r="A29" s="117">
        <v>27</v>
      </c>
      <c r="B29" s="131">
        <v>192</v>
      </c>
      <c r="C29" s="111">
        <v>1</v>
      </c>
      <c r="D29" s="111">
        <v>1</v>
      </c>
      <c r="E29" s="118" t="s">
        <v>1163</v>
      </c>
      <c r="F29" s="118" t="s">
        <v>190</v>
      </c>
      <c r="G29" s="119" t="s">
        <v>15</v>
      </c>
      <c r="H29" s="117" t="s">
        <v>915</v>
      </c>
      <c r="I29" s="117" t="s">
        <v>6</v>
      </c>
      <c r="J29" s="117" t="s">
        <v>1072</v>
      </c>
      <c r="K29" s="117" t="s">
        <v>1052</v>
      </c>
      <c r="L29" s="117" t="s">
        <v>1150</v>
      </c>
      <c r="M29" s="111"/>
      <c r="N29" s="120">
        <v>39660</v>
      </c>
      <c r="O29" s="140">
        <v>17584.5</v>
      </c>
      <c r="P29" s="227">
        <f t="shared" si="0"/>
        <v>8990.8120848949038</v>
      </c>
      <c r="Q29" s="107">
        <v>0</v>
      </c>
      <c r="R29" s="107">
        <v>0</v>
      </c>
      <c r="S29" s="231"/>
      <c r="T29" s="236"/>
      <c r="U29" s="236"/>
    </row>
    <row r="30" spans="1:21" ht="72" x14ac:dyDescent="0.3">
      <c r="A30" s="117">
        <v>28</v>
      </c>
      <c r="B30" s="131">
        <v>193</v>
      </c>
      <c r="C30" s="111">
        <v>2</v>
      </c>
      <c r="D30" s="111">
        <v>1</v>
      </c>
      <c r="E30" s="118" t="s">
        <v>1163</v>
      </c>
      <c r="F30" s="118" t="s">
        <v>191</v>
      </c>
      <c r="G30" s="119" t="s">
        <v>8</v>
      </c>
      <c r="H30" s="117" t="s">
        <v>921</v>
      </c>
      <c r="I30" s="117" t="s">
        <v>1073</v>
      </c>
      <c r="J30" s="117" t="s">
        <v>1074</v>
      </c>
      <c r="K30" s="117" t="s">
        <v>1066</v>
      </c>
      <c r="L30" s="117" t="s">
        <v>1149</v>
      </c>
      <c r="M30" s="111"/>
      <c r="N30" s="120">
        <v>39738</v>
      </c>
      <c r="O30" s="141">
        <v>2997</v>
      </c>
      <c r="P30" s="228">
        <f t="shared" si="0"/>
        <v>1532.3417679450667</v>
      </c>
      <c r="Q30" s="107">
        <v>0</v>
      </c>
      <c r="R30" s="107">
        <v>0</v>
      </c>
      <c r="S30" s="231">
        <f>P30*0.3</f>
        <v>459.70253038352001</v>
      </c>
      <c r="T30" s="236"/>
      <c r="U30" s="236"/>
    </row>
    <row r="31" spans="1:21" ht="72" x14ac:dyDescent="0.3">
      <c r="A31" s="117">
        <v>29</v>
      </c>
      <c r="B31" s="131">
        <v>194</v>
      </c>
      <c r="C31" s="111">
        <v>2</v>
      </c>
      <c r="D31" s="111">
        <v>1</v>
      </c>
      <c r="E31" s="118" t="s">
        <v>1163</v>
      </c>
      <c r="F31" s="118" t="s">
        <v>191</v>
      </c>
      <c r="G31" s="119" t="s">
        <v>8</v>
      </c>
      <c r="H31" s="117" t="s">
        <v>921</v>
      </c>
      <c r="I31" s="117" t="s">
        <v>1073</v>
      </c>
      <c r="J31" s="117" t="s">
        <v>1074</v>
      </c>
      <c r="K31" s="117" t="s">
        <v>1063</v>
      </c>
      <c r="L31" s="117" t="s">
        <v>1149</v>
      </c>
      <c r="M31" s="111"/>
      <c r="N31" s="120">
        <v>39738</v>
      </c>
      <c r="O31" s="141">
        <v>2997</v>
      </c>
      <c r="P31" s="228">
        <f t="shared" si="0"/>
        <v>1532.3417679450667</v>
      </c>
      <c r="Q31" s="107">
        <v>0</v>
      </c>
      <c r="R31" s="107">
        <v>0</v>
      </c>
      <c r="S31" s="231">
        <f>P31*0.3</f>
        <v>459.70253038352001</v>
      </c>
      <c r="T31" s="236"/>
      <c r="U31" s="236"/>
    </row>
    <row r="32" spans="1:21" ht="72" x14ac:dyDescent="0.3">
      <c r="A32" s="117">
        <v>30</v>
      </c>
      <c r="B32" s="131">
        <v>195</v>
      </c>
      <c r="C32" s="111">
        <v>2</v>
      </c>
      <c r="D32" s="111">
        <v>1</v>
      </c>
      <c r="E32" s="118" t="s">
        <v>1163</v>
      </c>
      <c r="F32" s="118" t="s">
        <v>191</v>
      </c>
      <c r="G32" s="119" t="s">
        <v>8</v>
      </c>
      <c r="H32" s="117" t="s">
        <v>921</v>
      </c>
      <c r="I32" s="117" t="s">
        <v>1073</v>
      </c>
      <c r="J32" s="117" t="s">
        <v>1074</v>
      </c>
      <c r="K32" s="117" t="s">
        <v>1059</v>
      </c>
      <c r="L32" s="117" t="s">
        <v>1150</v>
      </c>
      <c r="M32" s="111"/>
      <c r="N32" s="120">
        <v>39738</v>
      </c>
      <c r="O32" s="141">
        <v>2997</v>
      </c>
      <c r="P32" s="228">
        <f t="shared" si="0"/>
        <v>1532.3417679450667</v>
      </c>
      <c r="Q32" s="107">
        <v>0</v>
      </c>
      <c r="R32" s="107">
        <v>0</v>
      </c>
      <c r="S32" s="231"/>
      <c r="T32" s="236"/>
      <c r="U32" s="236"/>
    </row>
    <row r="33" spans="1:21" ht="72" x14ac:dyDescent="0.3">
      <c r="A33" s="117">
        <v>31</v>
      </c>
      <c r="B33" s="131">
        <v>197</v>
      </c>
      <c r="C33" s="111">
        <v>24</v>
      </c>
      <c r="D33" s="111">
        <v>1</v>
      </c>
      <c r="E33" s="118" t="s">
        <v>1163</v>
      </c>
      <c r="F33" s="118" t="s">
        <v>225</v>
      </c>
      <c r="G33" s="119" t="s">
        <v>598</v>
      </c>
      <c r="H33" s="117" t="s">
        <v>999</v>
      </c>
      <c r="I33" s="117" t="s">
        <v>1075</v>
      </c>
      <c r="J33" s="117"/>
      <c r="K33" s="117" t="s">
        <v>1055</v>
      </c>
      <c r="L33" s="117" t="s">
        <v>1148</v>
      </c>
      <c r="M33" s="111"/>
      <c r="N33" s="120">
        <v>39814</v>
      </c>
      <c r="O33" s="140">
        <v>33054.660000000003</v>
      </c>
      <c r="P33" s="227">
        <f t="shared" si="0"/>
        <v>16900.579293701398</v>
      </c>
      <c r="Q33" s="107">
        <v>826.37</v>
      </c>
      <c r="R33" s="107">
        <v>0</v>
      </c>
      <c r="S33" s="231"/>
      <c r="T33" s="236"/>
      <c r="U33" s="236"/>
    </row>
    <row r="34" spans="1:21" ht="72" x14ac:dyDescent="0.3">
      <c r="A34" s="117">
        <v>32</v>
      </c>
      <c r="B34" s="131">
        <v>198</v>
      </c>
      <c r="C34" s="111">
        <v>5</v>
      </c>
      <c r="D34" s="111">
        <v>2</v>
      </c>
      <c r="E34" s="118" t="s">
        <v>1151</v>
      </c>
      <c r="F34" s="118" t="s">
        <v>212</v>
      </c>
      <c r="G34" s="119" t="s">
        <v>9</v>
      </c>
      <c r="H34" s="117" t="s">
        <v>920</v>
      </c>
      <c r="I34" s="117" t="s">
        <v>1217</v>
      </c>
      <c r="J34" s="117"/>
      <c r="K34" s="117" t="s">
        <v>1063</v>
      </c>
      <c r="L34" s="117" t="s">
        <v>1149</v>
      </c>
      <c r="M34" s="111"/>
      <c r="N34" s="120">
        <v>39883</v>
      </c>
      <c r="O34" s="140">
        <v>3330.78</v>
      </c>
      <c r="P34" s="227">
        <f t="shared" si="0"/>
        <v>1703.0007720507408</v>
      </c>
      <c r="Q34" s="107">
        <v>83.27</v>
      </c>
      <c r="R34" s="107">
        <v>0</v>
      </c>
      <c r="S34" s="231">
        <f>P34*0.3</f>
        <v>510.9002316152222</v>
      </c>
      <c r="T34" s="236"/>
      <c r="U34" s="236"/>
    </row>
    <row r="35" spans="1:21" ht="72" x14ac:dyDescent="0.3">
      <c r="A35" s="117">
        <v>33</v>
      </c>
      <c r="B35" s="131">
        <v>209</v>
      </c>
      <c r="C35" s="111">
        <v>25</v>
      </c>
      <c r="D35" s="111">
        <v>3</v>
      </c>
      <c r="E35" s="118" t="s">
        <v>1058</v>
      </c>
      <c r="F35" s="118" t="s">
        <v>214</v>
      </c>
      <c r="G35" s="119" t="s">
        <v>10</v>
      </c>
      <c r="H35" s="119" t="s">
        <v>1000</v>
      </c>
      <c r="I35" s="117"/>
      <c r="J35" s="117"/>
      <c r="K35" s="117" t="s">
        <v>1063</v>
      </c>
      <c r="L35" s="117" t="s">
        <v>1149</v>
      </c>
      <c r="M35" s="111"/>
      <c r="N35" s="120">
        <v>38110</v>
      </c>
      <c r="O35" s="140">
        <v>1955</v>
      </c>
      <c r="P35" s="227">
        <f t="shared" si="0"/>
        <v>999.57562773860718</v>
      </c>
      <c r="Q35" s="107">
        <v>32.58</v>
      </c>
      <c r="R35" s="107">
        <v>0</v>
      </c>
      <c r="S35" s="231">
        <v>205</v>
      </c>
      <c r="T35" s="236"/>
      <c r="U35" s="236"/>
    </row>
    <row r="36" spans="1:21" ht="57.6" x14ac:dyDescent="0.3">
      <c r="A36" s="117">
        <v>34</v>
      </c>
      <c r="B36" s="131">
        <v>213</v>
      </c>
      <c r="C36" s="111">
        <v>16</v>
      </c>
      <c r="D36" s="111">
        <v>4</v>
      </c>
      <c r="E36" s="118" t="s">
        <v>1353</v>
      </c>
      <c r="F36" s="118" t="s">
        <v>201</v>
      </c>
      <c r="G36" s="119" t="s">
        <v>1187</v>
      </c>
      <c r="H36" s="119" t="s">
        <v>1001</v>
      </c>
      <c r="I36" s="117" t="s">
        <v>1171</v>
      </c>
      <c r="J36" s="117" t="s">
        <v>1076</v>
      </c>
      <c r="K36" s="117" t="s">
        <v>1056</v>
      </c>
      <c r="L36" s="117" t="s">
        <v>1153</v>
      </c>
      <c r="M36" s="111"/>
      <c r="N36" s="120">
        <v>37956</v>
      </c>
      <c r="O36" s="140">
        <v>4697.8999999999996</v>
      </c>
      <c r="P36" s="227">
        <f t="shared" si="0"/>
        <v>2401.9981286717148</v>
      </c>
      <c r="Q36" s="107">
        <v>78.3</v>
      </c>
      <c r="R36" s="107">
        <v>0</v>
      </c>
      <c r="S36" s="231"/>
      <c r="T36" s="236"/>
      <c r="U36" s="236"/>
    </row>
    <row r="37" spans="1:21" ht="57.6" x14ac:dyDescent="0.3">
      <c r="A37" s="117">
        <v>35</v>
      </c>
      <c r="B37" s="131">
        <v>214</v>
      </c>
      <c r="C37" s="111">
        <v>16</v>
      </c>
      <c r="D37" s="111">
        <v>4</v>
      </c>
      <c r="E37" s="118" t="s">
        <v>1353</v>
      </c>
      <c r="F37" s="118" t="s">
        <v>201</v>
      </c>
      <c r="G37" s="119" t="s">
        <v>1187</v>
      </c>
      <c r="H37" s="119" t="s">
        <v>1001</v>
      </c>
      <c r="I37" s="117" t="s">
        <v>1171</v>
      </c>
      <c r="J37" s="117" t="s">
        <v>1076</v>
      </c>
      <c r="K37" s="117" t="s">
        <v>1056</v>
      </c>
      <c r="L37" s="117" t="s">
        <v>1153</v>
      </c>
      <c r="M37" s="111"/>
      <c r="N37" s="120">
        <v>37956</v>
      </c>
      <c r="O37" s="140">
        <v>4695.95</v>
      </c>
      <c r="P37" s="227">
        <f t="shared" si="0"/>
        <v>2401.0011095033819</v>
      </c>
      <c r="Q37" s="107">
        <v>78.27</v>
      </c>
      <c r="R37" s="107">
        <v>0</v>
      </c>
      <c r="S37" s="231"/>
      <c r="T37" s="236"/>
      <c r="U37" s="236"/>
    </row>
    <row r="38" spans="1:21" ht="57.6" x14ac:dyDescent="0.3">
      <c r="A38" s="117">
        <v>36</v>
      </c>
      <c r="B38" s="131">
        <v>215</v>
      </c>
      <c r="C38" s="111">
        <v>16</v>
      </c>
      <c r="D38" s="111">
        <v>4</v>
      </c>
      <c r="E38" s="118" t="s">
        <v>1353</v>
      </c>
      <c r="F38" s="118" t="s">
        <v>201</v>
      </c>
      <c r="G38" s="119" t="s">
        <v>49</v>
      </c>
      <c r="H38" s="119" t="s">
        <v>1002</v>
      </c>
      <c r="I38" s="117"/>
      <c r="J38" s="117" t="s">
        <v>1076</v>
      </c>
      <c r="K38" s="117" t="s">
        <v>1056</v>
      </c>
      <c r="L38" s="117" t="s">
        <v>1153</v>
      </c>
      <c r="M38" s="111"/>
      <c r="N38" s="120">
        <v>38093</v>
      </c>
      <c r="O38" s="141">
        <v>3912</v>
      </c>
      <c r="P38" s="228">
        <f t="shared" si="0"/>
        <v>2000.1738392396067</v>
      </c>
      <c r="Q38" s="107">
        <v>0</v>
      </c>
      <c r="R38" s="107">
        <v>0</v>
      </c>
      <c r="S38" s="231"/>
      <c r="T38" s="236"/>
      <c r="U38" s="236"/>
    </row>
    <row r="39" spans="1:21" ht="57.6" x14ac:dyDescent="0.3">
      <c r="A39" s="117">
        <v>37</v>
      </c>
      <c r="B39" s="131">
        <v>216</v>
      </c>
      <c r="C39" s="111">
        <v>16</v>
      </c>
      <c r="D39" s="111">
        <v>4</v>
      </c>
      <c r="E39" s="118" t="s">
        <v>1353</v>
      </c>
      <c r="F39" s="118" t="s">
        <v>201</v>
      </c>
      <c r="G39" s="119" t="s">
        <v>49</v>
      </c>
      <c r="H39" s="119" t="s">
        <v>1003</v>
      </c>
      <c r="I39" s="117"/>
      <c r="J39" s="117" t="s">
        <v>1076</v>
      </c>
      <c r="K39" s="117" t="s">
        <v>1077</v>
      </c>
      <c r="L39" s="117" t="s">
        <v>1150</v>
      </c>
      <c r="M39" s="111"/>
      <c r="N39" s="120">
        <v>38094</v>
      </c>
      <c r="O39" s="141">
        <v>3912</v>
      </c>
      <c r="P39" s="228">
        <f t="shared" si="0"/>
        <v>2000.1738392396067</v>
      </c>
      <c r="Q39" s="107">
        <v>0</v>
      </c>
      <c r="R39" s="107">
        <v>0</v>
      </c>
      <c r="S39" s="231"/>
      <c r="T39" s="236"/>
      <c r="U39" s="236"/>
    </row>
    <row r="40" spans="1:21" ht="57.6" x14ac:dyDescent="0.3">
      <c r="A40" s="117">
        <v>38</v>
      </c>
      <c r="B40" s="131">
        <v>217</v>
      </c>
      <c r="C40" s="111">
        <v>16</v>
      </c>
      <c r="D40" s="111">
        <v>4</v>
      </c>
      <c r="E40" s="118" t="s">
        <v>1353</v>
      </c>
      <c r="F40" s="118" t="s">
        <v>201</v>
      </c>
      <c r="G40" s="119" t="s">
        <v>49</v>
      </c>
      <c r="H40" s="119" t="s">
        <v>1003</v>
      </c>
      <c r="I40" s="117"/>
      <c r="J40" s="117" t="s">
        <v>1076</v>
      </c>
      <c r="K40" s="117" t="s">
        <v>1077</v>
      </c>
      <c r="L40" s="117" t="s">
        <v>1150</v>
      </c>
      <c r="M40" s="111"/>
      <c r="N40" s="120">
        <v>38095</v>
      </c>
      <c r="O40" s="141">
        <v>3912</v>
      </c>
      <c r="P40" s="228">
        <f t="shared" si="0"/>
        <v>2000.1738392396067</v>
      </c>
      <c r="Q40" s="107">
        <v>0</v>
      </c>
      <c r="R40" s="107">
        <v>0</v>
      </c>
      <c r="S40" s="231"/>
      <c r="T40" s="236"/>
      <c r="U40" s="236"/>
    </row>
    <row r="41" spans="1:21" ht="72" x14ac:dyDescent="0.3">
      <c r="A41" s="117">
        <v>39</v>
      </c>
      <c r="B41" s="131">
        <v>272</v>
      </c>
      <c r="C41" s="111">
        <v>26</v>
      </c>
      <c r="D41" s="111">
        <v>5</v>
      </c>
      <c r="E41" s="118" t="s">
        <v>1152</v>
      </c>
      <c r="F41" s="118" t="s">
        <v>1354</v>
      </c>
      <c r="G41" s="119" t="s">
        <v>631</v>
      </c>
      <c r="H41" s="119" t="s">
        <v>1004</v>
      </c>
      <c r="I41" s="117" t="s">
        <v>1330</v>
      </c>
      <c r="J41" s="117"/>
      <c r="K41" s="117" t="s">
        <v>215</v>
      </c>
      <c r="L41" s="117" t="s">
        <v>1155</v>
      </c>
      <c r="M41" s="111"/>
      <c r="N41" s="120">
        <v>38015</v>
      </c>
      <c r="O41" s="140">
        <v>1834.47</v>
      </c>
      <c r="P41" s="227">
        <f t="shared" si="0"/>
        <v>937.94961729802696</v>
      </c>
      <c r="Q41" s="107">
        <v>30.57</v>
      </c>
      <c r="R41" s="107">
        <v>0</v>
      </c>
      <c r="S41" s="231"/>
      <c r="T41" s="236"/>
      <c r="U41" s="236"/>
    </row>
    <row r="42" spans="1:21" ht="57.6" x14ac:dyDescent="0.3">
      <c r="A42" s="117">
        <v>40</v>
      </c>
      <c r="B42" s="131">
        <v>273</v>
      </c>
      <c r="C42" s="111">
        <v>16</v>
      </c>
      <c r="D42" s="111">
        <v>4</v>
      </c>
      <c r="E42" s="118" t="s">
        <v>1353</v>
      </c>
      <c r="F42" s="118" t="s">
        <v>201</v>
      </c>
      <c r="G42" s="119" t="s">
        <v>1184</v>
      </c>
      <c r="H42" s="117" t="s">
        <v>1005</v>
      </c>
      <c r="I42" s="117" t="s">
        <v>1060</v>
      </c>
      <c r="J42" s="117" t="s">
        <v>1176</v>
      </c>
      <c r="K42" s="117" t="s">
        <v>1059</v>
      </c>
      <c r="L42" s="117" t="s">
        <v>1150</v>
      </c>
      <c r="M42" s="111"/>
      <c r="N42" s="120">
        <v>39133</v>
      </c>
      <c r="O42" s="140">
        <v>3144.97</v>
      </c>
      <c r="P42" s="227">
        <f t="shared" si="0"/>
        <v>1607.9976276056711</v>
      </c>
      <c r="Q42" s="107">
        <v>52.42</v>
      </c>
      <c r="R42" s="107">
        <v>0</v>
      </c>
      <c r="S42" s="231"/>
      <c r="T42" s="236"/>
      <c r="U42" s="236"/>
    </row>
    <row r="43" spans="1:21" ht="57.6" x14ac:dyDescent="0.3">
      <c r="A43" s="117">
        <v>41</v>
      </c>
      <c r="B43" s="131">
        <v>274</v>
      </c>
      <c r="C43" s="111">
        <v>18</v>
      </c>
      <c r="D43" s="111">
        <v>4</v>
      </c>
      <c r="E43" s="118" t="s">
        <v>1353</v>
      </c>
      <c r="F43" s="118" t="s">
        <v>1157</v>
      </c>
      <c r="G43" s="119" t="s">
        <v>1165</v>
      </c>
      <c r="H43" s="119" t="s">
        <v>1006</v>
      </c>
      <c r="I43" s="117" t="s">
        <v>1168</v>
      </c>
      <c r="J43" s="117"/>
      <c r="K43" s="117" t="s">
        <v>1056</v>
      </c>
      <c r="L43" s="117" t="s">
        <v>1153</v>
      </c>
      <c r="M43" s="111"/>
      <c r="N43" s="120">
        <v>39133</v>
      </c>
      <c r="O43" s="140">
        <v>3520.49</v>
      </c>
      <c r="P43" s="227">
        <f t="shared" si="0"/>
        <v>1799.9979548324752</v>
      </c>
      <c r="Q43" s="107">
        <v>58.67</v>
      </c>
      <c r="R43" s="107">
        <v>0</v>
      </c>
      <c r="S43" s="231"/>
      <c r="T43" s="236"/>
      <c r="U43" s="236"/>
    </row>
    <row r="44" spans="1:21" ht="57.6" x14ac:dyDescent="0.3">
      <c r="A44" s="117">
        <v>42</v>
      </c>
      <c r="B44" s="131">
        <v>276</v>
      </c>
      <c r="C44" s="111">
        <v>16</v>
      </c>
      <c r="D44" s="111">
        <v>4</v>
      </c>
      <c r="E44" s="118" t="s">
        <v>1353</v>
      </c>
      <c r="F44" s="118" t="s">
        <v>201</v>
      </c>
      <c r="G44" s="119" t="s">
        <v>1180</v>
      </c>
      <c r="H44" s="119" t="s">
        <v>1007</v>
      </c>
      <c r="I44" s="117" t="s">
        <v>1060</v>
      </c>
      <c r="J44" s="117" t="s">
        <v>1196</v>
      </c>
      <c r="K44" s="117" t="s">
        <v>1067</v>
      </c>
      <c r="L44" s="117" t="s">
        <v>1150</v>
      </c>
      <c r="M44" s="111"/>
      <c r="N44" s="120">
        <v>39133</v>
      </c>
      <c r="O44" s="140">
        <v>3144.97</v>
      </c>
      <c r="P44" s="227">
        <f t="shared" si="0"/>
        <v>1607.9976276056711</v>
      </c>
      <c r="Q44" s="107">
        <v>52.42</v>
      </c>
      <c r="R44" s="107">
        <v>0</v>
      </c>
      <c r="S44" s="231"/>
      <c r="T44" s="236"/>
      <c r="U44" s="236"/>
    </row>
    <row r="45" spans="1:21" ht="57.6" x14ac:dyDescent="0.3">
      <c r="A45" s="117">
        <v>43</v>
      </c>
      <c r="B45" s="131">
        <v>279</v>
      </c>
      <c r="C45" s="111">
        <v>18</v>
      </c>
      <c r="D45" s="111">
        <v>4</v>
      </c>
      <c r="E45" s="118" t="s">
        <v>1353</v>
      </c>
      <c r="F45" s="118" t="s">
        <v>1157</v>
      </c>
      <c r="G45" s="119" t="s">
        <v>1165</v>
      </c>
      <c r="H45" s="119" t="s">
        <v>1006</v>
      </c>
      <c r="I45" s="117" t="s">
        <v>1168</v>
      </c>
      <c r="J45" s="117"/>
      <c r="K45" s="117" t="s">
        <v>1059</v>
      </c>
      <c r="L45" s="117" t="s">
        <v>1150</v>
      </c>
      <c r="M45" s="111"/>
      <c r="N45" s="120">
        <v>39133</v>
      </c>
      <c r="O45" s="140">
        <v>3520.49</v>
      </c>
      <c r="P45" s="227">
        <f t="shared" si="0"/>
        <v>1799.9979548324752</v>
      </c>
      <c r="Q45" s="107">
        <v>58.67</v>
      </c>
      <c r="R45" s="107">
        <v>0</v>
      </c>
      <c r="S45" s="231"/>
      <c r="T45" s="236"/>
      <c r="U45" s="236"/>
    </row>
    <row r="46" spans="1:21" ht="72" x14ac:dyDescent="0.3">
      <c r="A46" s="117">
        <v>44</v>
      </c>
      <c r="B46" s="131">
        <v>282</v>
      </c>
      <c r="C46" s="111">
        <v>9</v>
      </c>
      <c r="D46" s="111">
        <v>2</v>
      </c>
      <c r="E46" s="118" t="s">
        <v>1151</v>
      </c>
      <c r="F46" s="118" t="s">
        <v>195</v>
      </c>
      <c r="G46" s="119" t="s">
        <v>12</v>
      </c>
      <c r="H46" s="119" t="s">
        <v>1008</v>
      </c>
      <c r="I46" s="117" t="s">
        <v>1078</v>
      </c>
      <c r="J46" s="117" t="s">
        <v>1239</v>
      </c>
      <c r="K46" s="117" t="s">
        <v>1063</v>
      </c>
      <c r="L46" s="117" t="s">
        <v>1149</v>
      </c>
      <c r="M46" s="111"/>
      <c r="N46" s="120">
        <v>39631</v>
      </c>
      <c r="O46" s="140">
        <v>8032.33</v>
      </c>
      <c r="P46" s="227">
        <f t="shared" si="0"/>
        <v>4106.8651160888221</v>
      </c>
      <c r="Q46" s="107">
        <v>133.87</v>
      </c>
      <c r="R46" s="107">
        <v>0</v>
      </c>
      <c r="S46" s="231">
        <f>P46*0.3</f>
        <v>1232.0595348266465</v>
      </c>
      <c r="T46" s="236"/>
      <c r="U46" s="236"/>
    </row>
    <row r="47" spans="1:21" ht="72" x14ac:dyDescent="0.3">
      <c r="A47" s="117">
        <v>45</v>
      </c>
      <c r="B47" s="131">
        <v>283</v>
      </c>
      <c r="C47" s="111">
        <v>6</v>
      </c>
      <c r="D47" s="111">
        <v>2</v>
      </c>
      <c r="E47" s="118" t="s">
        <v>1151</v>
      </c>
      <c r="F47" s="118" t="s">
        <v>115</v>
      </c>
      <c r="G47" s="119" t="s">
        <v>1220</v>
      </c>
      <c r="H47" s="119" t="s">
        <v>1009</v>
      </c>
      <c r="I47" s="117"/>
      <c r="J47" s="117"/>
      <c r="K47" s="117" t="s">
        <v>1059</v>
      </c>
      <c r="L47" s="117" t="s">
        <v>1150</v>
      </c>
      <c r="M47" s="111"/>
      <c r="N47" s="120">
        <v>39631</v>
      </c>
      <c r="O47" s="140">
        <v>6700.8</v>
      </c>
      <c r="P47" s="227">
        <f t="shared" si="0"/>
        <v>3426.0646375196211</v>
      </c>
      <c r="Q47" s="107">
        <v>111.68</v>
      </c>
      <c r="R47" s="107">
        <v>0</v>
      </c>
      <c r="S47" s="231"/>
      <c r="T47" s="236"/>
      <c r="U47" s="236"/>
    </row>
    <row r="48" spans="1:21" ht="72" x14ac:dyDescent="0.3">
      <c r="A48" s="117">
        <v>46</v>
      </c>
      <c r="B48" s="131">
        <v>339</v>
      </c>
      <c r="C48" s="111">
        <v>11</v>
      </c>
      <c r="D48" s="111">
        <v>3</v>
      </c>
      <c r="E48" s="118" t="s">
        <v>1058</v>
      </c>
      <c r="F48" s="118" t="s">
        <v>196</v>
      </c>
      <c r="G48" s="119" t="s">
        <v>34</v>
      </c>
      <c r="H48" s="119" t="s">
        <v>959</v>
      </c>
      <c r="I48" s="117"/>
      <c r="J48" s="117"/>
      <c r="K48" s="117" t="s">
        <v>1063</v>
      </c>
      <c r="L48" s="117" t="s">
        <v>1149</v>
      </c>
      <c r="M48" s="111"/>
      <c r="N48" s="120">
        <v>39496</v>
      </c>
      <c r="O48" s="140">
        <v>8220</v>
      </c>
      <c r="P48" s="227">
        <f t="shared" si="0"/>
        <v>4202.8192634329162</v>
      </c>
      <c r="Q48" s="107">
        <v>137</v>
      </c>
      <c r="R48" s="107">
        <v>0</v>
      </c>
      <c r="S48" s="231">
        <v>2955</v>
      </c>
      <c r="T48" s="236"/>
      <c r="U48" s="236"/>
    </row>
    <row r="49" spans="1:21" ht="72" x14ac:dyDescent="0.3">
      <c r="A49" s="117">
        <v>47</v>
      </c>
      <c r="B49" s="131">
        <v>340</v>
      </c>
      <c r="C49" s="111">
        <v>11</v>
      </c>
      <c r="D49" s="111">
        <v>3</v>
      </c>
      <c r="E49" s="118" t="s">
        <v>1058</v>
      </c>
      <c r="F49" s="118" t="s">
        <v>196</v>
      </c>
      <c r="G49" s="119" t="s">
        <v>34</v>
      </c>
      <c r="H49" s="119" t="s">
        <v>959</v>
      </c>
      <c r="I49" s="117"/>
      <c r="J49" s="117"/>
      <c r="K49" s="117" t="s">
        <v>1063</v>
      </c>
      <c r="L49" s="117" t="s">
        <v>1149</v>
      </c>
      <c r="M49" s="111"/>
      <c r="N49" s="120">
        <v>39496</v>
      </c>
      <c r="O49" s="140">
        <v>8220</v>
      </c>
      <c r="P49" s="227">
        <f t="shared" si="0"/>
        <v>4202.8192634329162</v>
      </c>
      <c r="Q49" s="107">
        <v>137</v>
      </c>
      <c r="R49" s="107">
        <v>0</v>
      </c>
      <c r="S49" s="231">
        <v>2955</v>
      </c>
      <c r="T49" s="236"/>
      <c r="U49" s="236"/>
    </row>
    <row r="50" spans="1:21" ht="72" x14ac:dyDescent="0.3">
      <c r="A50" s="117">
        <v>48</v>
      </c>
      <c r="B50" s="131">
        <v>400</v>
      </c>
      <c r="C50" s="111">
        <v>21</v>
      </c>
      <c r="D50" s="111">
        <v>2</v>
      </c>
      <c r="E50" s="118" t="s">
        <v>1151</v>
      </c>
      <c r="F50" s="118" t="s">
        <v>203</v>
      </c>
      <c r="G50" s="119" t="s">
        <v>583</v>
      </c>
      <c r="H50" s="119" t="s">
        <v>1010</v>
      </c>
      <c r="I50" s="117" t="s">
        <v>1079</v>
      </c>
      <c r="J50" s="117"/>
      <c r="K50" s="117" t="s">
        <v>1055</v>
      </c>
      <c r="L50" s="117" t="s">
        <v>1148</v>
      </c>
      <c r="M50" s="121"/>
      <c r="N50" s="120">
        <v>40338</v>
      </c>
      <c r="O50" s="140">
        <v>276118</v>
      </c>
      <c r="P50" s="227">
        <f t="shared" si="0"/>
        <v>141176.89165213745</v>
      </c>
      <c r="Q50" s="107">
        <v>6902.95</v>
      </c>
      <c r="R50" s="107">
        <v>0</v>
      </c>
      <c r="S50" s="231"/>
      <c r="T50" s="236"/>
      <c r="U50" s="236"/>
    </row>
    <row r="51" spans="1:21" ht="72" x14ac:dyDescent="0.3">
      <c r="A51" s="117">
        <v>49</v>
      </c>
      <c r="B51" s="131">
        <v>401</v>
      </c>
      <c r="C51" s="111">
        <v>24</v>
      </c>
      <c r="D51" s="111">
        <v>1</v>
      </c>
      <c r="E51" s="118" t="s">
        <v>1163</v>
      </c>
      <c r="F51" s="118" t="s">
        <v>225</v>
      </c>
      <c r="G51" s="119" t="s">
        <v>599</v>
      </c>
      <c r="H51" s="117" t="s">
        <v>1011</v>
      </c>
      <c r="I51" s="117" t="s">
        <v>1295</v>
      </c>
      <c r="J51" s="117" t="s">
        <v>1290</v>
      </c>
      <c r="K51" s="117" t="s">
        <v>1055</v>
      </c>
      <c r="L51" s="117" t="s">
        <v>1148</v>
      </c>
      <c r="M51" s="111"/>
      <c r="N51" s="120">
        <v>40338</v>
      </c>
      <c r="O51" s="140">
        <v>47281.49</v>
      </c>
      <c r="P51" s="227">
        <f t="shared" si="0"/>
        <v>24174.641967860192</v>
      </c>
      <c r="Q51" s="107">
        <v>1182.04</v>
      </c>
      <c r="R51" s="107">
        <v>0</v>
      </c>
      <c r="S51" s="231"/>
      <c r="T51" s="236"/>
      <c r="U51" s="236"/>
    </row>
    <row r="52" spans="1:21" ht="72" x14ac:dyDescent="0.3">
      <c r="A52" s="117">
        <v>50</v>
      </c>
      <c r="B52" s="131">
        <v>402</v>
      </c>
      <c r="C52" s="111">
        <v>20</v>
      </c>
      <c r="D52" s="111">
        <v>1</v>
      </c>
      <c r="E52" s="118" t="s">
        <v>1163</v>
      </c>
      <c r="F52" s="118" t="s">
        <v>44</v>
      </c>
      <c r="G52" s="119" t="s">
        <v>388</v>
      </c>
      <c r="H52" s="119" t="s">
        <v>1012</v>
      </c>
      <c r="I52" s="117" t="s">
        <v>1287</v>
      </c>
      <c r="J52" s="117"/>
      <c r="K52" s="117" t="s">
        <v>1055</v>
      </c>
      <c r="L52" s="117" t="s">
        <v>1148</v>
      </c>
      <c r="M52" s="111"/>
      <c r="N52" s="120">
        <v>40338</v>
      </c>
      <c r="O52" s="140">
        <v>67846</v>
      </c>
      <c r="P52" s="227">
        <f t="shared" si="0"/>
        <v>34689.108971638641</v>
      </c>
      <c r="Q52" s="107">
        <v>1696.15</v>
      </c>
      <c r="R52" s="107">
        <v>0</v>
      </c>
      <c r="S52" s="231"/>
      <c r="T52" s="236"/>
      <c r="U52" s="236"/>
    </row>
    <row r="53" spans="1:21" ht="72" x14ac:dyDescent="0.3">
      <c r="A53" s="117">
        <v>51</v>
      </c>
      <c r="B53" s="131">
        <v>403</v>
      </c>
      <c r="C53" s="111">
        <v>20</v>
      </c>
      <c r="D53" s="111">
        <v>1</v>
      </c>
      <c r="E53" s="118" t="s">
        <v>1163</v>
      </c>
      <c r="F53" s="118" t="s">
        <v>44</v>
      </c>
      <c r="G53" s="119" t="s">
        <v>387</v>
      </c>
      <c r="H53" s="119" t="s">
        <v>1012</v>
      </c>
      <c r="I53" s="117" t="s">
        <v>1288</v>
      </c>
      <c r="J53" s="117"/>
      <c r="K53" s="117" t="s">
        <v>1055</v>
      </c>
      <c r="L53" s="117" t="s">
        <v>1148</v>
      </c>
      <c r="M53" s="111"/>
      <c r="N53" s="120">
        <v>40338</v>
      </c>
      <c r="O53" s="140">
        <v>67846</v>
      </c>
      <c r="P53" s="227">
        <f t="shared" si="0"/>
        <v>34689.108971638641</v>
      </c>
      <c r="Q53" s="107">
        <v>1696.15</v>
      </c>
      <c r="R53" s="107">
        <v>0</v>
      </c>
      <c r="S53" s="231"/>
      <c r="T53" s="236"/>
      <c r="U53" s="236"/>
    </row>
    <row r="54" spans="1:21" ht="57.6" x14ac:dyDescent="0.3">
      <c r="A54" s="117">
        <v>52</v>
      </c>
      <c r="B54" s="131">
        <v>404</v>
      </c>
      <c r="C54" s="111">
        <v>17</v>
      </c>
      <c r="D54" s="111">
        <v>4</v>
      </c>
      <c r="E54" s="118" t="s">
        <v>1353</v>
      </c>
      <c r="F54" s="118" t="s">
        <v>202</v>
      </c>
      <c r="G54" s="119" t="s">
        <v>267</v>
      </c>
      <c r="H54" s="119" t="s">
        <v>905</v>
      </c>
      <c r="I54" s="117" t="s">
        <v>1286</v>
      </c>
      <c r="J54" s="117"/>
      <c r="K54" s="117" t="s">
        <v>1059</v>
      </c>
      <c r="L54" s="117" t="s">
        <v>1150</v>
      </c>
      <c r="M54" s="111"/>
      <c r="N54" s="120">
        <v>40338</v>
      </c>
      <c r="O54" s="140">
        <v>56534</v>
      </c>
      <c r="P54" s="227">
        <f t="shared" si="0"/>
        <v>28905.375211547016</v>
      </c>
      <c r="Q54" s="107">
        <v>1413.35</v>
      </c>
      <c r="R54" s="107">
        <v>0</v>
      </c>
      <c r="S54" s="231"/>
      <c r="T54" s="236"/>
      <c r="U54" s="236"/>
    </row>
    <row r="55" spans="1:21" ht="57.6" x14ac:dyDescent="0.3">
      <c r="A55" s="117">
        <v>53</v>
      </c>
      <c r="B55" s="131">
        <v>405</v>
      </c>
      <c r="C55" s="111">
        <v>17</v>
      </c>
      <c r="D55" s="111">
        <v>4</v>
      </c>
      <c r="E55" s="118" t="s">
        <v>1353</v>
      </c>
      <c r="F55" s="118" t="s">
        <v>202</v>
      </c>
      <c r="G55" s="119" t="s">
        <v>13</v>
      </c>
      <c r="H55" s="119" t="s">
        <v>906</v>
      </c>
      <c r="I55" s="117" t="s">
        <v>1080</v>
      </c>
      <c r="J55" s="117"/>
      <c r="K55" s="117" t="s">
        <v>1059</v>
      </c>
      <c r="L55" s="117" t="s">
        <v>1150</v>
      </c>
      <c r="M55" s="111"/>
      <c r="N55" s="120">
        <v>40338</v>
      </c>
      <c r="O55" s="140">
        <v>36873</v>
      </c>
      <c r="P55" s="227">
        <f t="shared" si="0"/>
        <v>18852.865535348166</v>
      </c>
      <c r="Q55" s="107">
        <v>921.83</v>
      </c>
      <c r="R55" s="107">
        <v>0</v>
      </c>
      <c r="S55" s="231"/>
      <c r="T55" s="236"/>
      <c r="U55" s="236"/>
    </row>
    <row r="56" spans="1:21" ht="57.6" x14ac:dyDescent="0.3">
      <c r="A56" s="117">
        <v>54</v>
      </c>
      <c r="B56" s="131">
        <v>406</v>
      </c>
      <c r="C56" s="111">
        <v>16</v>
      </c>
      <c r="D56" s="111">
        <v>4</v>
      </c>
      <c r="E56" s="118" t="s">
        <v>1353</v>
      </c>
      <c r="F56" s="118" t="s">
        <v>201</v>
      </c>
      <c r="G56" s="119" t="s">
        <v>1207</v>
      </c>
      <c r="H56" s="119" t="s">
        <v>907</v>
      </c>
      <c r="I56" s="117" t="s">
        <v>1081</v>
      </c>
      <c r="J56" s="117"/>
      <c r="K56" s="117" t="s">
        <v>1056</v>
      </c>
      <c r="L56" s="117" t="s">
        <v>1153</v>
      </c>
      <c r="M56" s="111"/>
      <c r="N56" s="120">
        <v>40338</v>
      </c>
      <c r="O56" s="140">
        <v>11585</v>
      </c>
      <c r="P56" s="227">
        <f t="shared" si="0"/>
        <v>5923.316443658191</v>
      </c>
      <c r="Q56" s="107">
        <v>289.63</v>
      </c>
      <c r="R56" s="107">
        <v>0</v>
      </c>
      <c r="S56" s="231"/>
      <c r="T56" s="236"/>
      <c r="U56" s="236"/>
    </row>
    <row r="57" spans="1:21" ht="57.6" x14ac:dyDescent="0.3">
      <c r="A57" s="117">
        <v>55</v>
      </c>
      <c r="B57" s="131">
        <v>407</v>
      </c>
      <c r="C57" s="111">
        <v>17</v>
      </c>
      <c r="D57" s="111">
        <v>4</v>
      </c>
      <c r="E57" s="118" t="s">
        <v>1353</v>
      </c>
      <c r="F57" s="118" t="s">
        <v>202</v>
      </c>
      <c r="G57" s="119" t="s">
        <v>377</v>
      </c>
      <c r="H57" s="119" t="s">
        <v>908</v>
      </c>
      <c r="I57" s="117" t="s">
        <v>1325</v>
      </c>
      <c r="J57" s="117"/>
      <c r="K57" s="117" t="s">
        <v>1067</v>
      </c>
      <c r="L57" s="117" t="s">
        <v>1150</v>
      </c>
      <c r="M57" s="111"/>
      <c r="N57" s="120">
        <v>40338</v>
      </c>
      <c r="O57" s="140">
        <v>116371</v>
      </c>
      <c r="P57" s="227">
        <f t="shared" si="0"/>
        <v>59499.547506685143</v>
      </c>
      <c r="Q57" s="107">
        <v>2909.28</v>
      </c>
      <c r="R57" s="107">
        <v>0</v>
      </c>
      <c r="S57" s="231"/>
      <c r="T57" s="236"/>
      <c r="U57" s="236"/>
    </row>
    <row r="58" spans="1:21" ht="57.6" x14ac:dyDescent="0.3">
      <c r="A58" s="117">
        <v>56</v>
      </c>
      <c r="B58" s="131">
        <v>408</v>
      </c>
      <c r="C58" s="111">
        <v>17</v>
      </c>
      <c r="D58" s="111">
        <v>4</v>
      </c>
      <c r="E58" s="118" t="s">
        <v>1353</v>
      </c>
      <c r="F58" s="118" t="s">
        <v>202</v>
      </c>
      <c r="G58" s="119" t="s">
        <v>560</v>
      </c>
      <c r="H58" s="119" t="s">
        <v>909</v>
      </c>
      <c r="I58" s="117" t="s">
        <v>1282</v>
      </c>
      <c r="J58" s="117"/>
      <c r="K58" s="117" t="s">
        <v>1077</v>
      </c>
      <c r="L58" s="117" t="s">
        <v>1150</v>
      </c>
      <c r="M58" s="111"/>
      <c r="N58" s="120">
        <v>40338</v>
      </c>
      <c r="O58" s="140">
        <v>61620</v>
      </c>
      <c r="P58" s="227">
        <f t="shared" si="0"/>
        <v>31505.805719310985</v>
      </c>
      <c r="Q58" s="107">
        <v>1540.5</v>
      </c>
      <c r="R58" s="107">
        <v>0</v>
      </c>
      <c r="S58" s="231"/>
      <c r="T58" s="236"/>
      <c r="U58" s="236"/>
    </row>
    <row r="59" spans="1:21" ht="57.6" x14ac:dyDescent="0.3">
      <c r="A59" s="117">
        <v>57</v>
      </c>
      <c r="B59" s="131">
        <v>411</v>
      </c>
      <c r="C59" s="111">
        <v>17</v>
      </c>
      <c r="D59" s="111">
        <v>4</v>
      </c>
      <c r="E59" s="118" t="s">
        <v>1353</v>
      </c>
      <c r="F59" s="118" t="s">
        <v>202</v>
      </c>
      <c r="G59" s="119" t="s">
        <v>372</v>
      </c>
      <c r="H59" s="117" t="s">
        <v>910</v>
      </c>
      <c r="I59" s="117" t="s">
        <v>1171</v>
      </c>
      <c r="J59" s="117"/>
      <c r="K59" s="117" t="s">
        <v>1067</v>
      </c>
      <c r="L59" s="117" t="s">
        <v>1150</v>
      </c>
      <c r="M59" s="111"/>
      <c r="N59" s="120">
        <v>40338</v>
      </c>
      <c r="O59" s="140">
        <v>35146</v>
      </c>
      <c r="P59" s="227">
        <f t="shared" si="0"/>
        <v>17969.864456522297</v>
      </c>
      <c r="Q59" s="107">
        <v>878.65</v>
      </c>
      <c r="R59" s="107">
        <v>0</v>
      </c>
      <c r="S59" s="231"/>
      <c r="T59" s="236"/>
      <c r="U59" s="236"/>
    </row>
    <row r="60" spans="1:21" ht="57.6" x14ac:dyDescent="0.3">
      <c r="A60" s="117">
        <v>58</v>
      </c>
      <c r="B60" s="131">
        <v>412</v>
      </c>
      <c r="C60" s="111">
        <v>17</v>
      </c>
      <c r="D60" s="111">
        <v>4</v>
      </c>
      <c r="E60" s="118" t="s">
        <v>1353</v>
      </c>
      <c r="F60" s="118" t="s">
        <v>202</v>
      </c>
      <c r="G60" s="119" t="s">
        <v>383</v>
      </c>
      <c r="H60" s="119" t="s">
        <v>911</v>
      </c>
      <c r="I60" s="117" t="s">
        <v>1283</v>
      </c>
      <c r="J60" s="117"/>
      <c r="K60" s="117" t="s">
        <v>1077</v>
      </c>
      <c r="L60" s="117" t="s">
        <v>1150</v>
      </c>
      <c r="M60" s="111"/>
      <c r="N60" s="120">
        <v>40338</v>
      </c>
      <c r="O60" s="140">
        <v>44523</v>
      </c>
      <c r="P60" s="227">
        <f t="shared" si="0"/>
        <v>22764.248426499234</v>
      </c>
      <c r="Q60" s="107">
        <v>1113.08</v>
      </c>
      <c r="R60" s="107">
        <v>0</v>
      </c>
      <c r="S60" s="231"/>
      <c r="T60" s="236"/>
      <c r="U60" s="236"/>
    </row>
    <row r="61" spans="1:21" ht="57.6" x14ac:dyDescent="0.3">
      <c r="A61" s="117">
        <v>59</v>
      </c>
      <c r="B61" s="131">
        <v>413</v>
      </c>
      <c r="C61" s="111">
        <v>17</v>
      </c>
      <c r="D61" s="111">
        <v>4</v>
      </c>
      <c r="E61" s="118" t="s">
        <v>1353</v>
      </c>
      <c r="F61" s="118" t="s">
        <v>202</v>
      </c>
      <c r="G61" s="119" t="s">
        <v>13</v>
      </c>
      <c r="H61" s="119" t="s">
        <v>912</v>
      </c>
      <c r="I61" s="117" t="s">
        <v>1080</v>
      </c>
      <c r="J61" s="117"/>
      <c r="K61" s="117" t="s">
        <v>1066</v>
      </c>
      <c r="L61" s="117" t="s">
        <v>1149</v>
      </c>
      <c r="M61" s="111"/>
      <c r="N61" s="120">
        <v>40338</v>
      </c>
      <c r="O61" s="140">
        <v>35146</v>
      </c>
      <c r="P61" s="227">
        <f t="shared" si="0"/>
        <v>17969.864456522297</v>
      </c>
      <c r="Q61" s="107">
        <v>878.65</v>
      </c>
      <c r="R61" s="107">
        <v>0</v>
      </c>
      <c r="S61" s="231">
        <f>P61*0.4</f>
        <v>7187.9457826089192</v>
      </c>
      <c r="T61" s="236"/>
      <c r="U61" s="236"/>
    </row>
    <row r="62" spans="1:21" ht="72" x14ac:dyDescent="0.3">
      <c r="A62" s="117">
        <v>60</v>
      </c>
      <c r="B62" s="131">
        <v>414</v>
      </c>
      <c r="C62" s="111">
        <v>36</v>
      </c>
      <c r="D62" s="111">
        <v>5</v>
      </c>
      <c r="E62" s="118" t="s">
        <v>1152</v>
      </c>
      <c r="F62" s="118" t="s">
        <v>211</v>
      </c>
      <c r="G62" s="119" t="s">
        <v>14</v>
      </c>
      <c r="H62" s="119" t="s">
        <v>913</v>
      </c>
      <c r="I62" s="117"/>
      <c r="J62" s="117"/>
      <c r="K62" s="117" t="s">
        <v>1063</v>
      </c>
      <c r="L62" s="117" t="s">
        <v>1149</v>
      </c>
      <c r="M62" s="111"/>
      <c r="N62" s="120">
        <v>40338</v>
      </c>
      <c r="O62" s="140">
        <v>57498.400000000001</v>
      </c>
      <c r="P62" s="227">
        <f t="shared" si="0"/>
        <v>29398.46510177265</v>
      </c>
      <c r="Q62" s="107">
        <v>1437.46</v>
      </c>
      <c r="R62" s="107">
        <v>0</v>
      </c>
      <c r="S62" s="235">
        <v>11759</v>
      </c>
      <c r="T62" s="236"/>
      <c r="U62" s="236"/>
    </row>
    <row r="63" spans="1:21" ht="72" x14ac:dyDescent="0.3">
      <c r="A63" s="117">
        <v>61</v>
      </c>
      <c r="B63" s="131">
        <v>415</v>
      </c>
      <c r="C63" s="111">
        <v>27</v>
      </c>
      <c r="D63" s="111">
        <v>2</v>
      </c>
      <c r="E63" s="118" t="s">
        <v>1151</v>
      </c>
      <c r="F63" s="118" t="s">
        <v>204</v>
      </c>
      <c r="G63" s="118" t="s">
        <v>1297</v>
      </c>
      <c r="H63" s="118" t="s">
        <v>914</v>
      </c>
      <c r="I63" s="117"/>
      <c r="J63" s="117"/>
      <c r="K63" s="117" t="s">
        <v>1052</v>
      </c>
      <c r="L63" s="117" t="s">
        <v>1150</v>
      </c>
      <c r="M63" s="111"/>
      <c r="N63" s="120">
        <v>40338</v>
      </c>
      <c r="O63" s="140">
        <v>26340</v>
      </c>
      <c r="P63" s="227">
        <f t="shared" si="0"/>
        <v>13467.428150708396</v>
      </c>
      <c r="Q63" s="107">
        <v>658.5</v>
      </c>
      <c r="R63" s="107">
        <v>0</v>
      </c>
      <c r="S63" s="231"/>
      <c r="T63" s="236"/>
      <c r="U63" s="236"/>
    </row>
    <row r="64" spans="1:21" ht="72" x14ac:dyDescent="0.3">
      <c r="A64" s="117">
        <v>62</v>
      </c>
      <c r="B64" s="131">
        <v>416</v>
      </c>
      <c r="C64" s="111">
        <v>1</v>
      </c>
      <c r="D64" s="111">
        <v>1</v>
      </c>
      <c r="E64" s="118" t="s">
        <v>1163</v>
      </c>
      <c r="F64" s="118" t="s">
        <v>190</v>
      </c>
      <c r="G64" s="119" t="s">
        <v>15</v>
      </c>
      <c r="H64" s="119" t="s">
        <v>915</v>
      </c>
      <c r="I64" s="117" t="s">
        <v>6</v>
      </c>
      <c r="J64" s="117" t="s">
        <v>1050</v>
      </c>
      <c r="K64" s="117" t="s">
        <v>1066</v>
      </c>
      <c r="L64" s="117" t="s">
        <v>1149</v>
      </c>
      <c r="M64" s="111"/>
      <c r="N64" s="120">
        <v>40338</v>
      </c>
      <c r="O64" s="140">
        <v>9800</v>
      </c>
      <c r="P64" s="227">
        <f t="shared" si="0"/>
        <v>5010.6604357229417</v>
      </c>
      <c r="Q64" s="107">
        <v>245</v>
      </c>
      <c r="R64" s="107">
        <v>0</v>
      </c>
      <c r="S64" s="231">
        <f>P64*0.4</f>
        <v>2004.2641742891767</v>
      </c>
      <c r="T64" s="236"/>
      <c r="U64" s="236"/>
    </row>
    <row r="65" spans="1:21" ht="72" x14ac:dyDescent="0.3">
      <c r="A65" s="117">
        <v>63</v>
      </c>
      <c r="B65" s="131">
        <v>417</v>
      </c>
      <c r="C65" s="111">
        <v>1</v>
      </c>
      <c r="D65" s="111">
        <v>1</v>
      </c>
      <c r="E65" s="118" t="s">
        <v>1163</v>
      </c>
      <c r="F65" s="118" t="s">
        <v>190</v>
      </c>
      <c r="G65" s="119" t="s">
        <v>15</v>
      </c>
      <c r="H65" s="119" t="s">
        <v>915</v>
      </c>
      <c r="I65" s="117" t="s">
        <v>6</v>
      </c>
      <c r="J65" s="117" t="s">
        <v>1050</v>
      </c>
      <c r="K65" s="117" t="s">
        <v>1066</v>
      </c>
      <c r="L65" s="117" t="s">
        <v>1149</v>
      </c>
      <c r="M65" s="111"/>
      <c r="N65" s="120">
        <v>40338</v>
      </c>
      <c r="O65" s="140">
        <v>9800</v>
      </c>
      <c r="P65" s="227">
        <f t="shared" si="0"/>
        <v>5010.6604357229417</v>
      </c>
      <c r="Q65" s="107">
        <v>245</v>
      </c>
      <c r="R65" s="107">
        <v>0</v>
      </c>
      <c r="S65" s="231">
        <f>P65*0.4</f>
        <v>2004.2641742891767</v>
      </c>
      <c r="T65" s="236"/>
      <c r="U65" s="236"/>
    </row>
    <row r="66" spans="1:21" ht="72" x14ac:dyDescent="0.3">
      <c r="A66" s="117">
        <v>64</v>
      </c>
      <c r="B66" s="131">
        <v>418</v>
      </c>
      <c r="C66" s="111">
        <v>1</v>
      </c>
      <c r="D66" s="111">
        <v>1</v>
      </c>
      <c r="E66" s="118" t="s">
        <v>1163</v>
      </c>
      <c r="F66" s="118" t="s">
        <v>190</v>
      </c>
      <c r="G66" s="119" t="s">
        <v>15</v>
      </c>
      <c r="H66" s="119" t="s">
        <v>915</v>
      </c>
      <c r="I66" s="117" t="s">
        <v>6</v>
      </c>
      <c r="J66" s="117" t="s">
        <v>1072</v>
      </c>
      <c r="K66" s="117" t="s">
        <v>1067</v>
      </c>
      <c r="L66" s="117" t="s">
        <v>1150</v>
      </c>
      <c r="M66" s="111"/>
      <c r="N66" s="120">
        <v>40338</v>
      </c>
      <c r="O66" s="140">
        <v>15800</v>
      </c>
      <c r="P66" s="227">
        <f t="shared" si="0"/>
        <v>8078.4117229002522</v>
      </c>
      <c r="Q66" s="107">
        <v>395</v>
      </c>
      <c r="R66" s="107">
        <v>0</v>
      </c>
      <c r="S66" s="231"/>
      <c r="T66" s="236"/>
      <c r="U66" s="236"/>
    </row>
    <row r="67" spans="1:21" ht="72" x14ac:dyDescent="0.3">
      <c r="A67" s="117">
        <v>65</v>
      </c>
      <c r="B67" s="131">
        <v>419</v>
      </c>
      <c r="C67" s="111">
        <v>10</v>
      </c>
      <c r="D67" s="111">
        <v>2</v>
      </c>
      <c r="E67" s="118" t="s">
        <v>1151</v>
      </c>
      <c r="F67" s="118" t="s">
        <v>43</v>
      </c>
      <c r="G67" s="119" t="s">
        <v>16</v>
      </c>
      <c r="H67" s="117" t="s">
        <v>916</v>
      </c>
      <c r="I67" s="117" t="s">
        <v>1064</v>
      </c>
      <c r="J67" s="117" t="s">
        <v>1065</v>
      </c>
      <c r="K67" s="117" t="s">
        <v>1052</v>
      </c>
      <c r="L67" s="117" t="s">
        <v>1150</v>
      </c>
      <c r="M67" s="111"/>
      <c r="N67" s="120">
        <v>40338</v>
      </c>
      <c r="O67" s="140">
        <v>19900</v>
      </c>
      <c r="P67" s="227">
        <f t="shared" si="0"/>
        <v>10174.708435804749</v>
      </c>
      <c r="Q67" s="107">
        <v>497.5</v>
      </c>
      <c r="R67" s="107">
        <v>0</v>
      </c>
      <c r="S67" s="231"/>
      <c r="T67" s="236"/>
      <c r="U67" s="236"/>
    </row>
    <row r="68" spans="1:21" ht="72" x14ac:dyDescent="0.3">
      <c r="A68" s="117">
        <v>66</v>
      </c>
      <c r="B68" s="131">
        <v>420</v>
      </c>
      <c r="C68" s="111">
        <v>6</v>
      </c>
      <c r="D68" s="111">
        <v>2</v>
      </c>
      <c r="E68" s="118" t="s">
        <v>1151</v>
      </c>
      <c r="F68" s="118" t="s">
        <v>115</v>
      </c>
      <c r="G68" s="119" t="s">
        <v>1219</v>
      </c>
      <c r="H68" s="117" t="s">
        <v>917</v>
      </c>
      <c r="I68" s="117"/>
      <c r="J68" s="117"/>
      <c r="K68" s="117" t="s">
        <v>1052</v>
      </c>
      <c r="L68" s="117" t="s">
        <v>1150</v>
      </c>
      <c r="M68" s="111"/>
      <c r="N68" s="120">
        <v>40338</v>
      </c>
      <c r="O68" s="140">
        <v>7100</v>
      </c>
      <c r="P68" s="227">
        <f t="shared" ref="P68:P131" si="1">O68/$P$1</f>
        <v>3630.1723564931513</v>
      </c>
      <c r="Q68" s="107">
        <v>177.5</v>
      </c>
      <c r="R68" s="107">
        <v>0</v>
      </c>
      <c r="S68" s="231"/>
      <c r="T68" s="236"/>
      <c r="U68" s="236"/>
    </row>
    <row r="69" spans="1:21" ht="72" x14ac:dyDescent="0.3">
      <c r="A69" s="117">
        <v>67</v>
      </c>
      <c r="B69" s="131">
        <v>421</v>
      </c>
      <c r="C69" s="111">
        <v>12</v>
      </c>
      <c r="D69" s="111">
        <v>2</v>
      </c>
      <c r="E69" s="118" t="s">
        <v>1151</v>
      </c>
      <c r="F69" s="118" t="s">
        <v>197</v>
      </c>
      <c r="G69" s="119" t="s">
        <v>17</v>
      </c>
      <c r="H69" s="119" t="s">
        <v>646</v>
      </c>
      <c r="I69" s="117"/>
      <c r="J69" s="117" t="s">
        <v>1082</v>
      </c>
      <c r="K69" s="117" t="s">
        <v>1063</v>
      </c>
      <c r="L69" s="117" t="s">
        <v>1149</v>
      </c>
      <c r="M69" s="111"/>
      <c r="N69" s="120">
        <v>40338</v>
      </c>
      <c r="O69" s="140">
        <v>48700</v>
      </c>
      <c r="P69" s="227">
        <f t="shared" si="1"/>
        <v>24899.914614255842</v>
      </c>
      <c r="Q69" s="107">
        <v>1217.5</v>
      </c>
      <c r="R69" s="107">
        <v>0</v>
      </c>
      <c r="S69" s="231">
        <f>P69*0.2</f>
        <v>4979.982922851169</v>
      </c>
      <c r="T69" s="236"/>
      <c r="U69" s="236"/>
    </row>
    <row r="70" spans="1:21" ht="72" x14ac:dyDescent="0.3">
      <c r="A70" s="117">
        <v>68</v>
      </c>
      <c r="B70" s="131">
        <v>422</v>
      </c>
      <c r="C70" s="111">
        <v>1</v>
      </c>
      <c r="D70" s="111">
        <v>1</v>
      </c>
      <c r="E70" s="118" t="s">
        <v>1163</v>
      </c>
      <c r="F70" s="118" t="s">
        <v>190</v>
      </c>
      <c r="G70" s="119" t="s">
        <v>41</v>
      </c>
      <c r="H70" s="119" t="s">
        <v>918</v>
      </c>
      <c r="I70" s="117"/>
      <c r="J70" s="117"/>
      <c r="K70" s="117" t="s">
        <v>1052</v>
      </c>
      <c r="L70" s="117" t="s">
        <v>1150</v>
      </c>
      <c r="M70" s="111"/>
      <c r="N70" s="120">
        <v>40339</v>
      </c>
      <c r="O70" s="140">
        <v>2828</v>
      </c>
      <c r="P70" s="227">
        <f t="shared" si="1"/>
        <v>1445.9334400229059</v>
      </c>
      <c r="Q70" s="107">
        <v>70.7</v>
      </c>
      <c r="R70" s="107">
        <v>0</v>
      </c>
      <c r="S70" s="231"/>
      <c r="T70" s="236"/>
      <c r="U70" s="236"/>
    </row>
    <row r="71" spans="1:21" ht="72" x14ac:dyDescent="0.3">
      <c r="A71" s="117">
        <v>69</v>
      </c>
      <c r="B71" s="131">
        <v>423</v>
      </c>
      <c r="C71" s="111">
        <v>1</v>
      </c>
      <c r="D71" s="111">
        <v>1</v>
      </c>
      <c r="E71" s="118" t="s">
        <v>1163</v>
      </c>
      <c r="F71" s="118" t="s">
        <v>190</v>
      </c>
      <c r="G71" s="119" t="s">
        <v>41</v>
      </c>
      <c r="H71" s="119" t="s">
        <v>918</v>
      </c>
      <c r="I71" s="117"/>
      <c r="J71" s="117"/>
      <c r="K71" s="117" t="s">
        <v>1052</v>
      </c>
      <c r="L71" s="117" t="s">
        <v>1150</v>
      </c>
      <c r="M71" s="111"/>
      <c r="N71" s="120">
        <v>40339</v>
      </c>
      <c r="O71" s="140">
        <v>2828</v>
      </c>
      <c r="P71" s="227">
        <f t="shared" si="1"/>
        <v>1445.9334400229059</v>
      </c>
      <c r="Q71" s="107">
        <v>70.7</v>
      </c>
      <c r="R71" s="107">
        <v>0</v>
      </c>
      <c r="S71" s="231"/>
      <c r="T71" s="236"/>
      <c r="U71" s="236"/>
    </row>
    <row r="72" spans="1:21" ht="72" x14ac:dyDescent="0.3">
      <c r="A72" s="117">
        <v>70</v>
      </c>
      <c r="B72" s="131">
        <v>424</v>
      </c>
      <c r="C72" s="111">
        <v>1</v>
      </c>
      <c r="D72" s="111">
        <v>1</v>
      </c>
      <c r="E72" s="118" t="s">
        <v>1163</v>
      </c>
      <c r="F72" s="118" t="s">
        <v>190</v>
      </c>
      <c r="G72" s="119" t="s">
        <v>18</v>
      </c>
      <c r="H72" s="119" t="s">
        <v>919</v>
      </c>
      <c r="I72" s="117"/>
      <c r="J72" s="117" t="s">
        <v>1049</v>
      </c>
      <c r="K72" s="117" t="s">
        <v>1059</v>
      </c>
      <c r="L72" s="117" t="s">
        <v>1150</v>
      </c>
      <c r="M72" s="111"/>
      <c r="N72" s="120">
        <v>40339</v>
      </c>
      <c r="O72" s="140">
        <v>4273</v>
      </c>
      <c r="P72" s="227">
        <f t="shared" si="1"/>
        <v>2184.7502083514414</v>
      </c>
      <c r="Q72" s="107">
        <v>106.83</v>
      </c>
      <c r="R72" s="107">
        <v>0</v>
      </c>
      <c r="S72" s="231"/>
      <c r="T72" s="236"/>
      <c r="U72" s="236"/>
    </row>
    <row r="73" spans="1:21" ht="72" x14ac:dyDescent="0.3">
      <c r="A73" s="117">
        <v>71</v>
      </c>
      <c r="B73" s="131">
        <v>425</v>
      </c>
      <c r="C73" s="111">
        <v>1</v>
      </c>
      <c r="D73" s="111">
        <v>1</v>
      </c>
      <c r="E73" s="118" t="s">
        <v>1163</v>
      </c>
      <c r="F73" s="118" t="s">
        <v>190</v>
      </c>
      <c r="G73" s="119" t="s">
        <v>18</v>
      </c>
      <c r="H73" s="119" t="s">
        <v>919</v>
      </c>
      <c r="I73" s="117"/>
      <c r="J73" s="117" t="s">
        <v>1049</v>
      </c>
      <c r="K73" s="117" t="s">
        <v>1052</v>
      </c>
      <c r="L73" s="117" t="s">
        <v>1150</v>
      </c>
      <c r="M73" s="111"/>
      <c r="N73" s="120">
        <v>40339</v>
      </c>
      <c r="O73" s="140">
        <v>4273</v>
      </c>
      <c r="P73" s="227">
        <f t="shared" si="1"/>
        <v>2184.7502083514414</v>
      </c>
      <c r="Q73" s="107">
        <v>106.83</v>
      </c>
      <c r="R73" s="107">
        <v>0</v>
      </c>
      <c r="S73" s="231"/>
      <c r="T73" s="236"/>
      <c r="U73" s="236"/>
    </row>
    <row r="74" spans="1:21" ht="72" x14ac:dyDescent="0.3">
      <c r="A74" s="117">
        <v>72</v>
      </c>
      <c r="B74" s="131">
        <v>426</v>
      </c>
      <c r="C74" s="111">
        <v>5</v>
      </c>
      <c r="D74" s="111">
        <v>2</v>
      </c>
      <c r="E74" s="118" t="s">
        <v>1151</v>
      </c>
      <c r="F74" s="118" t="s">
        <v>212</v>
      </c>
      <c r="G74" s="119" t="s">
        <v>9</v>
      </c>
      <c r="H74" s="119" t="s">
        <v>920</v>
      </c>
      <c r="I74" s="117" t="s">
        <v>1217</v>
      </c>
      <c r="J74" s="117"/>
      <c r="K74" s="117" t="s">
        <v>1067</v>
      </c>
      <c r="L74" s="117" t="s">
        <v>1150</v>
      </c>
      <c r="M74" s="111"/>
      <c r="N74" s="120">
        <v>40339</v>
      </c>
      <c r="O74" s="140">
        <v>3331</v>
      </c>
      <c r="P74" s="227">
        <f t="shared" si="1"/>
        <v>1703.1132562646037</v>
      </c>
      <c r="Q74" s="107">
        <v>83.28</v>
      </c>
      <c r="R74" s="107">
        <v>0</v>
      </c>
      <c r="S74" s="231"/>
      <c r="T74" s="236"/>
      <c r="U74" s="236"/>
    </row>
    <row r="75" spans="1:21" ht="72" x14ac:dyDescent="0.3">
      <c r="A75" s="117">
        <v>73</v>
      </c>
      <c r="B75" s="131">
        <v>427</v>
      </c>
      <c r="C75" s="111">
        <v>5</v>
      </c>
      <c r="D75" s="111">
        <v>2</v>
      </c>
      <c r="E75" s="118" t="s">
        <v>1151</v>
      </c>
      <c r="F75" s="118" t="s">
        <v>212</v>
      </c>
      <c r="G75" s="119" t="s">
        <v>9</v>
      </c>
      <c r="H75" s="119" t="s">
        <v>920</v>
      </c>
      <c r="I75" s="117" t="s">
        <v>1217</v>
      </c>
      <c r="J75" s="117"/>
      <c r="K75" s="117" t="s">
        <v>1067</v>
      </c>
      <c r="L75" s="117" t="s">
        <v>1150</v>
      </c>
      <c r="M75" s="111"/>
      <c r="N75" s="120">
        <v>40339</v>
      </c>
      <c r="O75" s="140">
        <v>3331</v>
      </c>
      <c r="P75" s="227">
        <f t="shared" si="1"/>
        <v>1703.1132562646037</v>
      </c>
      <c r="Q75" s="107">
        <v>83.28</v>
      </c>
      <c r="R75" s="107">
        <v>0</v>
      </c>
      <c r="S75" s="231"/>
      <c r="T75" s="236"/>
      <c r="U75" s="236"/>
    </row>
    <row r="76" spans="1:21" ht="72" x14ac:dyDescent="0.3">
      <c r="A76" s="117">
        <v>74</v>
      </c>
      <c r="B76" s="131">
        <v>429</v>
      </c>
      <c r="C76" s="111">
        <v>2</v>
      </c>
      <c r="D76" s="111">
        <v>1</v>
      </c>
      <c r="E76" s="118" t="s">
        <v>1163</v>
      </c>
      <c r="F76" s="118" t="s">
        <v>191</v>
      </c>
      <c r="G76" s="119" t="s">
        <v>8</v>
      </c>
      <c r="H76" s="117" t="s">
        <v>921</v>
      </c>
      <c r="I76" s="117" t="s">
        <v>1073</v>
      </c>
      <c r="J76" s="117" t="s">
        <v>1083</v>
      </c>
      <c r="K76" s="117" t="s">
        <v>1056</v>
      </c>
      <c r="L76" s="117" t="s">
        <v>1153</v>
      </c>
      <c r="M76" s="111"/>
      <c r="N76" s="120">
        <v>40339</v>
      </c>
      <c r="O76" s="140">
        <v>2843</v>
      </c>
      <c r="P76" s="227">
        <f t="shared" si="1"/>
        <v>1453.6028182408493</v>
      </c>
      <c r="Q76" s="107">
        <v>71.08</v>
      </c>
      <c r="R76" s="107">
        <v>0</v>
      </c>
      <c r="S76" s="231"/>
      <c r="T76" s="236"/>
      <c r="U76" s="236"/>
    </row>
    <row r="77" spans="1:21" ht="72" x14ac:dyDescent="0.3">
      <c r="A77" s="117">
        <v>75</v>
      </c>
      <c r="B77" s="131">
        <v>430</v>
      </c>
      <c r="C77" s="111">
        <v>2</v>
      </c>
      <c r="D77" s="111">
        <v>1</v>
      </c>
      <c r="E77" s="118" t="s">
        <v>1163</v>
      </c>
      <c r="F77" s="118" t="s">
        <v>191</v>
      </c>
      <c r="G77" s="119" t="s">
        <v>8</v>
      </c>
      <c r="H77" s="117" t="s">
        <v>921</v>
      </c>
      <c r="I77" s="117" t="s">
        <v>1073</v>
      </c>
      <c r="J77" s="117" t="s">
        <v>1083</v>
      </c>
      <c r="K77" s="117" t="s">
        <v>1066</v>
      </c>
      <c r="L77" s="117" t="s">
        <v>1149</v>
      </c>
      <c r="M77" s="111"/>
      <c r="N77" s="120">
        <v>40339</v>
      </c>
      <c r="O77" s="140">
        <v>2843</v>
      </c>
      <c r="P77" s="227">
        <f t="shared" si="1"/>
        <v>1453.6028182408493</v>
      </c>
      <c r="Q77" s="107">
        <v>71.08</v>
      </c>
      <c r="R77" s="107">
        <v>0</v>
      </c>
      <c r="S77" s="231">
        <f>P77*0.3</f>
        <v>436.08084547225479</v>
      </c>
      <c r="T77" s="236"/>
      <c r="U77" s="236"/>
    </row>
    <row r="78" spans="1:21" ht="72" x14ac:dyDescent="0.3">
      <c r="A78" s="117">
        <v>76</v>
      </c>
      <c r="B78" s="131">
        <v>431</v>
      </c>
      <c r="C78" s="111">
        <v>2</v>
      </c>
      <c r="D78" s="111">
        <v>1</v>
      </c>
      <c r="E78" s="118" t="s">
        <v>1163</v>
      </c>
      <c r="F78" s="118" t="s">
        <v>191</v>
      </c>
      <c r="G78" s="119" t="s">
        <v>8</v>
      </c>
      <c r="H78" s="117" t="s">
        <v>921</v>
      </c>
      <c r="I78" s="117" t="s">
        <v>1073</v>
      </c>
      <c r="J78" s="117" t="s">
        <v>1083</v>
      </c>
      <c r="K78" s="117" t="s">
        <v>1067</v>
      </c>
      <c r="L78" s="117" t="s">
        <v>1150</v>
      </c>
      <c r="M78" s="111"/>
      <c r="N78" s="120">
        <v>40339</v>
      </c>
      <c r="O78" s="140">
        <v>2843</v>
      </c>
      <c r="P78" s="227">
        <f t="shared" si="1"/>
        <v>1453.6028182408493</v>
      </c>
      <c r="Q78" s="107">
        <v>71.08</v>
      </c>
      <c r="R78" s="107">
        <v>0</v>
      </c>
      <c r="S78" s="231"/>
      <c r="T78" s="236"/>
      <c r="U78" s="236"/>
    </row>
    <row r="79" spans="1:21" ht="72" x14ac:dyDescent="0.3">
      <c r="A79" s="117">
        <v>77</v>
      </c>
      <c r="B79" s="131">
        <v>432</v>
      </c>
      <c r="C79" s="111">
        <v>1</v>
      </c>
      <c r="D79" s="111">
        <v>1</v>
      </c>
      <c r="E79" s="118" t="s">
        <v>1163</v>
      </c>
      <c r="F79" s="118" t="s">
        <v>190</v>
      </c>
      <c r="G79" s="119" t="s">
        <v>19</v>
      </c>
      <c r="H79" s="119" t="s">
        <v>922</v>
      </c>
      <c r="I79" s="117" t="s">
        <v>6</v>
      </c>
      <c r="J79" s="117" t="s">
        <v>1084</v>
      </c>
      <c r="K79" s="117" t="s">
        <v>1066</v>
      </c>
      <c r="L79" s="117" t="s">
        <v>1149</v>
      </c>
      <c r="M79" s="111"/>
      <c r="N79" s="120">
        <v>40339</v>
      </c>
      <c r="O79" s="140">
        <v>5989</v>
      </c>
      <c r="P79" s="227">
        <f t="shared" si="1"/>
        <v>3062.1270764841524</v>
      </c>
      <c r="Q79" s="107">
        <v>149.72999999999999</v>
      </c>
      <c r="R79" s="107">
        <v>0</v>
      </c>
      <c r="S79" s="231">
        <f>P79*0.4</f>
        <v>1224.8508305936609</v>
      </c>
      <c r="T79" s="236"/>
      <c r="U79" s="236"/>
    </row>
    <row r="80" spans="1:21" ht="72" x14ac:dyDescent="0.3">
      <c r="A80" s="117">
        <v>78</v>
      </c>
      <c r="B80" s="131">
        <v>435</v>
      </c>
      <c r="C80" s="111">
        <v>37</v>
      </c>
      <c r="D80" s="111">
        <v>1</v>
      </c>
      <c r="E80" s="118" t="s">
        <v>1163</v>
      </c>
      <c r="F80" s="118" t="s">
        <v>221</v>
      </c>
      <c r="G80" s="119" t="s">
        <v>222</v>
      </c>
      <c r="H80" s="117" t="s">
        <v>923</v>
      </c>
      <c r="I80" s="117" t="s">
        <v>1320</v>
      </c>
      <c r="J80" s="117"/>
      <c r="K80" s="117" t="s">
        <v>1055</v>
      </c>
      <c r="L80" s="117" t="s">
        <v>1148</v>
      </c>
      <c r="M80" s="111"/>
      <c r="N80" s="120">
        <v>40497</v>
      </c>
      <c r="O80" s="140">
        <v>1030.73</v>
      </c>
      <c r="P80" s="227">
        <f t="shared" si="1"/>
        <v>527.00388070537826</v>
      </c>
      <c r="Q80" s="107">
        <v>25.77</v>
      </c>
      <c r="R80" s="107">
        <v>0</v>
      </c>
      <c r="S80" s="231"/>
      <c r="T80" s="236"/>
      <c r="U80" s="236"/>
    </row>
    <row r="81" spans="1:21" ht="72" x14ac:dyDescent="0.3">
      <c r="A81" s="117">
        <v>79</v>
      </c>
      <c r="B81" s="131">
        <v>436</v>
      </c>
      <c r="C81" s="111">
        <v>28</v>
      </c>
      <c r="D81" s="111">
        <v>3</v>
      </c>
      <c r="E81" s="118" t="s">
        <v>1058</v>
      </c>
      <c r="F81" s="118" t="s">
        <v>205</v>
      </c>
      <c r="G81" s="119" t="s">
        <v>1302</v>
      </c>
      <c r="H81" s="119" t="s">
        <v>763</v>
      </c>
      <c r="I81" s="117" t="s">
        <v>1347</v>
      </c>
      <c r="J81" s="117" t="s">
        <v>1301</v>
      </c>
      <c r="K81" s="117" t="s">
        <v>1066</v>
      </c>
      <c r="L81" s="117" t="s">
        <v>1149</v>
      </c>
      <c r="M81" s="111"/>
      <c r="N81" s="120">
        <v>40571</v>
      </c>
      <c r="O81" s="140">
        <v>707.83</v>
      </c>
      <c r="P81" s="227">
        <f t="shared" si="1"/>
        <v>361.90773226711934</v>
      </c>
      <c r="Q81" s="107">
        <v>17.7</v>
      </c>
      <c r="R81" s="107">
        <v>0</v>
      </c>
      <c r="S81" s="231">
        <v>100</v>
      </c>
      <c r="T81" s="236"/>
      <c r="U81" s="236"/>
    </row>
    <row r="82" spans="1:21" ht="72" x14ac:dyDescent="0.3">
      <c r="A82" s="117">
        <v>80</v>
      </c>
      <c r="B82" s="131">
        <v>437</v>
      </c>
      <c r="C82" s="111">
        <v>37</v>
      </c>
      <c r="D82" s="111">
        <v>1</v>
      </c>
      <c r="E82" s="118" t="s">
        <v>1163</v>
      </c>
      <c r="F82" s="118" t="s">
        <v>221</v>
      </c>
      <c r="G82" s="119" t="s">
        <v>223</v>
      </c>
      <c r="H82" s="117" t="s">
        <v>923</v>
      </c>
      <c r="I82" s="117" t="s">
        <v>1320</v>
      </c>
      <c r="J82" s="117"/>
      <c r="K82" s="117" t="s">
        <v>1055</v>
      </c>
      <c r="L82" s="117" t="s">
        <v>1148</v>
      </c>
      <c r="M82" s="111"/>
      <c r="N82" s="120">
        <v>40548</v>
      </c>
      <c r="O82" s="140">
        <v>1030.73</v>
      </c>
      <c r="P82" s="227">
        <f t="shared" si="1"/>
        <v>527.00388070537826</v>
      </c>
      <c r="Q82" s="107">
        <v>25.77</v>
      </c>
      <c r="R82" s="107">
        <v>0</v>
      </c>
      <c r="S82" s="231"/>
      <c r="T82" s="236"/>
      <c r="U82" s="236"/>
    </row>
    <row r="83" spans="1:21" ht="72" x14ac:dyDescent="0.3">
      <c r="A83" s="117">
        <v>81</v>
      </c>
      <c r="B83" s="131">
        <v>438</v>
      </c>
      <c r="C83" s="111">
        <v>24</v>
      </c>
      <c r="D83" s="111">
        <v>1</v>
      </c>
      <c r="E83" s="118" t="s">
        <v>1163</v>
      </c>
      <c r="F83" s="118" t="s">
        <v>225</v>
      </c>
      <c r="G83" s="119" t="s">
        <v>20</v>
      </c>
      <c r="H83" s="119" t="s">
        <v>924</v>
      </c>
      <c r="I83" s="117" t="s">
        <v>1345</v>
      </c>
      <c r="J83" s="117" t="s">
        <v>1291</v>
      </c>
      <c r="K83" s="117" t="s">
        <v>1055</v>
      </c>
      <c r="L83" s="117" t="s">
        <v>1148</v>
      </c>
      <c r="M83" s="111"/>
      <c r="N83" s="120">
        <v>40574</v>
      </c>
      <c r="O83" s="140">
        <v>2764.93</v>
      </c>
      <c r="P83" s="227">
        <f t="shared" si="1"/>
        <v>1413.6862610758603</v>
      </c>
      <c r="Q83" s="107">
        <v>69.12</v>
      </c>
      <c r="R83" s="107">
        <v>0</v>
      </c>
      <c r="S83" s="231"/>
      <c r="T83" s="236"/>
      <c r="U83" s="236"/>
    </row>
    <row r="84" spans="1:21" ht="57.6" x14ac:dyDescent="0.3">
      <c r="A84" s="117">
        <v>82</v>
      </c>
      <c r="B84" s="131">
        <v>439</v>
      </c>
      <c r="C84" s="111">
        <v>16</v>
      </c>
      <c r="D84" s="111">
        <v>4</v>
      </c>
      <c r="E84" s="118" t="s">
        <v>1353</v>
      </c>
      <c r="F84" s="118" t="s">
        <v>201</v>
      </c>
      <c r="G84" s="119" t="s">
        <v>1172</v>
      </c>
      <c r="H84" s="119" t="s">
        <v>925</v>
      </c>
      <c r="I84" s="117" t="s">
        <v>1060</v>
      </c>
      <c r="J84" s="117" t="s">
        <v>1176</v>
      </c>
      <c r="K84" s="117" t="s">
        <v>1066</v>
      </c>
      <c r="L84" s="117" t="s">
        <v>1149</v>
      </c>
      <c r="M84" s="111"/>
      <c r="N84" s="120">
        <v>40668</v>
      </c>
      <c r="O84" s="140">
        <v>3892.1</v>
      </c>
      <c r="P84" s="227">
        <f t="shared" si="1"/>
        <v>1989.999130803802</v>
      </c>
      <c r="Q84" s="107">
        <v>97.3</v>
      </c>
      <c r="R84" s="107">
        <v>0</v>
      </c>
      <c r="S84" s="231">
        <f>P84*0.4</f>
        <v>795.9996523215209</v>
      </c>
      <c r="T84" s="236"/>
      <c r="U84" s="236"/>
    </row>
    <row r="85" spans="1:21" ht="57.6" x14ac:dyDescent="0.3">
      <c r="A85" s="117">
        <v>83</v>
      </c>
      <c r="B85" s="131">
        <v>440</v>
      </c>
      <c r="C85" s="111">
        <v>16</v>
      </c>
      <c r="D85" s="111">
        <v>4</v>
      </c>
      <c r="E85" s="118" t="s">
        <v>1353</v>
      </c>
      <c r="F85" s="118" t="s">
        <v>201</v>
      </c>
      <c r="G85" s="119" t="s">
        <v>1172</v>
      </c>
      <c r="H85" s="119" t="s">
        <v>926</v>
      </c>
      <c r="I85" s="117" t="s">
        <v>1060</v>
      </c>
      <c r="J85" s="117" t="s">
        <v>1176</v>
      </c>
      <c r="K85" s="117" t="s">
        <v>1063</v>
      </c>
      <c r="L85" s="117" t="s">
        <v>1149</v>
      </c>
      <c r="M85" s="111"/>
      <c r="N85" s="120">
        <v>40668</v>
      </c>
      <c r="O85" s="140">
        <v>3892.1</v>
      </c>
      <c r="P85" s="227">
        <f t="shared" si="1"/>
        <v>1989.999130803802</v>
      </c>
      <c r="Q85" s="107">
        <v>97.3</v>
      </c>
      <c r="R85" s="107">
        <v>0</v>
      </c>
      <c r="S85" s="231">
        <f>P85*0.4</f>
        <v>795.9996523215209</v>
      </c>
      <c r="T85" s="236"/>
      <c r="U85" s="236"/>
    </row>
    <row r="86" spans="1:21" ht="72" x14ac:dyDescent="0.3">
      <c r="A86" s="117">
        <v>84</v>
      </c>
      <c r="B86" s="131">
        <v>441</v>
      </c>
      <c r="C86" s="111">
        <v>1</v>
      </c>
      <c r="D86" s="111">
        <v>1</v>
      </c>
      <c r="E86" s="118" t="s">
        <v>1163</v>
      </c>
      <c r="F86" s="118" t="s">
        <v>190</v>
      </c>
      <c r="G86" s="119" t="s">
        <v>41</v>
      </c>
      <c r="H86" s="119" t="s">
        <v>927</v>
      </c>
      <c r="I86" s="117"/>
      <c r="J86" s="117"/>
      <c r="K86" s="117" t="s">
        <v>1059</v>
      </c>
      <c r="L86" s="117" t="s">
        <v>1150</v>
      </c>
      <c r="M86" s="111"/>
      <c r="N86" s="120">
        <v>41240</v>
      </c>
      <c r="O86" s="140">
        <v>2015</v>
      </c>
      <c r="P86" s="227">
        <f t="shared" si="1"/>
        <v>1030.2531406103803</v>
      </c>
      <c r="Q86" s="107">
        <v>50.38</v>
      </c>
      <c r="R86" s="107">
        <v>0</v>
      </c>
      <c r="S86" s="231"/>
      <c r="T86" s="236"/>
      <c r="U86" s="236"/>
    </row>
    <row r="87" spans="1:21" ht="72" x14ac:dyDescent="0.3">
      <c r="A87" s="117">
        <v>85</v>
      </c>
      <c r="B87" s="131">
        <v>442</v>
      </c>
      <c r="C87" s="111">
        <v>1</v>
      </c>
      <c r="D87" s="111">
        <v>1</v>
      </c>
      <c r="E87" s="118" t="s">
        <v>1163</v>
      </c>
      <c r="F87" s="118" t="s">
        <v>190</v>
      </c>
      <c r="G87" s="119" t="s">
        <v>41</v>
      </c>
      <c r="H87" s="119" t="s">
        <v>927</v>
      </c>
      <c r="I87" s="117"/>
      <c r="J87" s="117"/>
      <c r="K87" s="117" t="s">
        <v>1066</v>
      </c>
      <c r="L87" s="117" t="s">
        <v>1149</v>
      </c>
      <c r="M87" s="111"/>
      <c r="N87" s="120">
        <v>41240</v>
      </c>
      <c r="O87" s="140">
        <v>2015</v>
      </c>
      <c r="P87" s="227">
        <f t="shared" si="1"/>
        <v>1030.2531406103803</v>
      </c>
      <c r="Q87" s="107">
        <v>50.38</v>
      </c>
      <c r="R87" s="107">
        <v>0</v>
      </c>
      <c r="S87" s="231">
        <v>205</v>
      </c>
      <c r="T87" s="236"/>
      <c r="U87" s="236"/>
    </row>
    <row r="88" spans="1:21" ht="72" x14ac:dyDescent="0.3">
      <c r="A88" s="117">
        <v>86</v>
      </c>
      <c r="B88" s="131">
        <v>443</v>
      </c>
      <c r="C88" s="111">
        <v>1</v>
      </c>
      <c r="D88" s="111">
        <v>1</v>
      </c>
      <c r="E88" s="118" t="s">
        <v>1163</v>
      </c>
      <c r="F88" s="118" t="s">
        <v>190</v>
      </c>
      <c r="G88" s="119" t="s">
        <v>41</v>
      </c>
      <c r="H88" s="119" t="s">
        <v>927</v>
      </c>
      <c r="I88" s="117"/>
      <c r="J88" s="117"/>
      <c r="K88" s="117" t="s">
        <v>1061</v>
      </c>
      <c r="L88" s="117" t="s">
        <v>1150</v>
      </c>
      <c r="M88" s="111"/>
      <c r="N88" s="120">
        <v>41240</v>
      </c>
      <c r="O88" s="140">
        <v>2015</v>
      </c>
      <c r="P88" s="227">
        <f t="shared" si="1"/>
        <v>1030.2531406103803</v>
      </c>
      <c r="Q88" s="107">
        <v>50.38</v>
      </c>
      <c r="R88" s="107">
        <v>0</v>
      </c>
      <c r="S88" s="231"/>
      <c r="T88" s="236"/>
      <c r="U88" s="236"/>
    </row>
    <row r="89" spans="1:21" ht="72" x14ac:dyDescent="0.3">
      <c r="A89" s="117">
        <v>87</v>
      </c>
      <c r="B89" s="131">
        <v>444</v>
      </c>
      <c r="C89" s="111">
        <v>1</v>
      </c>
      <c r="D89" s="111">
        <v>1</v>
      </c>
      <c r="E89" s="118" t="s">
        <v>1163</v>
      </c>
      <c r="F89" s="118" t="s">
        <v>190</v>
      </c>
      <c r="G89" s="119" t="s">
        <v>41</v>
      </c>
      <c r="H89" s="119" t="s">
        <v>927</v>
      </c>
      <c r="I89" s="117"/>
      <c r="J89" s="117"/>
      <c r="K89" s="117" t="s">
        <v>1067</v>
      </c>
      <c r="L89" s="117" t="s">
        <v>1150</v>
      </c>
      <c r="M89" s="111"/>
      <c r="N89" s="120">
        <v>41240</v>
      </c>
      <c r="O89" s="140">
        <v>2015</v>
      </c>
      <c r="P89" s="227">
        <f t="shared" si="1"/>
        <v>1030.2531406103803</v>
      </c>
      <c r="Q89" s="107">
        <v>50.38</v>
      </c>
      <c r="R89" s="107">
        <v>0</v>
      </c>
      <c r="S89" s="231"/>
      <c r="T89" s="236"/>
      <c r="U89" s="236"/>
    </row>
    <row r="90" spans="1:21" ht="72" x14ac:dyDescent="0.3">
      <c r="A90" s="117">
        <v>88</v>
      </c>
      <c r="B90" s="131">
        <v>445</v>
      </c>
      <c r="C90" s="111">
        <v>1</v>
      </c>
      <c r="D90" s="111">
        <v>1</v>
      </c>
      <c r="E90" s="118" t="s">
        <v>1163</v>
      </c>
      <c r="F90" s="118" t="s">
        <v>190</v>
      </c>
      <c r="G90" s="119" t="s">
        <v>41</v>
      </c>
      <c r="H90" s="119" t="s">
        <v>927</v>
      </c>
      <c r="I90" s="117"/>
      <c r="J90" s="117"/>
      <c r="K90" s="117" t="s">
        <v>1056</v>
      </c>
      <c r="L90" s="117" t="s">
        <v>1153</v>
      </c>
      <c r="M90" s="111"/>
      <c r="N90" s="120">
        <v>41240</v>
      </c>
      <c r="O90" s="140">
        <v>2015</v>
      </c>
      <c r="P90" s="227">
        <f t="shared" si="1"/>
        <v>1030.2531406103803</v>
      </c>
      <c r="Q90" s="107">
        <v>50.38</v>
      </c>
      <c r="R90" s="107">
        <v>0</v>
      </c>
      <c r="S90" s="231"/>
      <c r="T90" s="236"/>
      <c r="U90" s="236"/>
    </row>
    <row r="91" spans="1:21" ht="72" x14ac:dyDescent="0.3">
      <c r="A91" s="117">
        <v>89</v>
      </c>
      <c r="B91" s="131">
        <v>446</v>
      </c>
      <c r="C91" s="111">
        <v>1</v>
      </c>
      <c r="D91" s="111">
        <v>1</v>
      </c>
      <c r="E91" s="118" t="s">
        <v>1163</v>
      </c>
      <c r="F91" s="118" t="s">
        <v>190</v>
      </c>
      <c r="G91" s="119" t="s">
        <v>41</v>
      </c>
      <c r="H91" s="119" t="s">
        <v>927</v>
      </c>
      <c r="I91" s="117"/>
      <c r="J91" s="117"/>
      <c r="K91" s="117" t="s">
        <v>1056</v>
      </c>
      <c r="L91" s="117" t="s">
        <v>1153</v>
      </c>
      <c r="M91" s="111"/>
      <c r="N91" s="120">
        <v>41240</v>
      </c>
      <c r="O91" s="140">
        <v>2015</v>
      </c>
      <c r="P91" s="227">
        <f t="shared" si="1"/>
        <v>1030.2531406103803</v>
      </c>
      <c r="Q91" s="107">
        <v>50.38</v>
      </c>
      <c r="R91" s="107">
        <v>0</v>
      </c>
      <c r="S91" s="231"/>
      <c r="T91" s="236"/>
      <c r="U91" s="236"/>
    </row>
    <row r="92" spans="1:21" ht="72" x14ac:dyDescent="0.3">
      <c r="A92" s="117">
        <v>90</v>
      </c>
      <c r="B92" s="131">
        <v>447</v>
      </c>
      <c r="C92" s="111">
        <v>1</v>
      </c>
      <c r="D92" s="111">
        <v>1</v>
      </c>
      <c r="E92" s="118" t="s">
        <v>1163</v>
      </c>
      <c r="F92" s="118" t="s">
        <v>190</v>
      </c>
      <c r="G92" s="119" t="s">
        <v>41</v>
      </c>
      <c r="H92" s="119" t="s">
        <v>927</v>
      </c>
      <c r="I92" s="117"/>
      <c r="J92" s="117"/>
      <c r="K92" s="117" t="s">
        <v>1059</v>
      </c>
      <c r="L92" s="117" t="s">
        <v>1150</v>
      </c>
      <c r="M92" s="111"/>
      <c r="N92" s="120">
        <v>41240</v>
      </c>
      <c r="O92" s="140">
        <v>2015</v>
      </c>
      <c r="P92" s="227">
        <f t="shared" si="1"/>
        <v>1030.2531406103803</v>
      </c>
      <c r="Q92" s="107">
        <v>50.38</v>
      </c>
      <c r="R92" s="107">
        <v>0</v>
      </c>
      <c r="S92" s="231"/>
      <c r="T92" s="236"/>
      <c r="U92" s="236"/>
    </row>
    <row r="93" spans="1:21" ht="72" x14ac:dyDescent="0.3">
      <c r="A93" s="117">
        <v>91</v>
      </c>
      <c r="B93" s="131">
        <v>448</v>
      </c>
      <c r="C93" s="111">
        <v>1</v>
      </c>
      <c r="D93" s="111">
        <v>1</v>
      </c>
      <c r="E93" s="118" t="s">
        <v>1163</v>
      </c>
      <c r="F93" s="118" t="s">
        <v>190</v>
      </c>
      <c r="G93" s="119" t="s">
        <v>41</v>
      </c>
      <c r="H93" s="119" t="s">
        <v>927</v>
      </c>
      <c r="I93" s="117"/>
      <c r="J93" s="117"/>
      <c r="K93" s="117" t="s">
        <v>1056</v>
      </c>
      <c r="L93" s="117" t="s">
        <v>1153</v>
      </c>
      <c r="M93" s="111"/>
      <c r="N93" s="120">
        <v>41240</v>
      </c>
      <c r="O93" s="140">
        <v>2015</v>
      </c>
      <c r="P93" s="227">
        <f t="shared" si="1"/>
        <v>1030.2531406103803</v>
      </c>
      <c r="Q93" s="107">
        <v>50.38</v>
      </c>
      <c r="R93" s="107">
        <v>0</v>
      </c>
      <c r="S93" s="231"/>
      <c r="T93" s="236"/>
      <c r="U93" s="236"/>
    </row>
    <row r="94" spans="1:21" ht="72" x14ac:dyDescent="0.3">
      <c r="A94" s="117">
        <v>92</v>
      </c>
      <c r="B94" s="131">
        <v>449</v>
      </c>
      <c r="C94" s="111">
        <v>1</v>
      </c>
      <c r="D94" s="111">
        <v>1</v>
      </c>
      <c r="E94" s="118" t="s">
        <v>1163</v>
      </c>
      <c r="F94" s="118" t="s">
        <v>190</v>
      </c>
      <c r="G94" s="119" t="s">
        <v>41</v>
      </c>
      <c r="H94" s="119" t="s">
        <v>927</v>
      </c>
      <c r="I94" s="117"/>
      <c r="J94" s="117"/>
      <c r="K94" s="117" t="s">
        <v>1056</v>
      </c>
      <c r="L94" s="117" t="s">
        <v>1153</v>
      </c>
      <c r="M94" s="111"/>
      <c r="N94" s="120">
        <v>41240</v>
      </c>
      <c r="O94" s="140">
        <v>2015</v>
      </c>
      <c r="P94" s="227">
        <f t="shared" si="1"/>
        <v>1030.2531406103803</v>
      </c>
      <c r="Q94" s="107">
        <v>50.38</v>
      </c>
      <c r="R94" s="107">
        <v>0</v>
      </c>
      <c r="S94" s="231"/>
      <c r="T94" s="236"/>
      <c r="U94" s="236"/>
    </row>
    <row r="95" spans="1:21" ht="72" x14ac:dyDescent="0.3">
      <c r="A95" s="117">
        <v>93</v>
      </c>
      <c r="B95" s="131">
        <v>450</v>
      </c>
      <c r="C95" s="111">
        <v>1</v>
      </c>
      <c r="D95" s="111">
        <v>1</v>
      </c>
      <c r="E95" s="118" t="s">
        <v>1163</v>
      </c>
      <c r="F95" s="118" t="s">
        <v>190</v>
      </c>
      <c r="G95" s="119" t="s">
        <v>41</v>
      </c>
      <c r="H95" s="119" t="s">
        <v>927</v>
      </c>
      <c r="I95" s="117"/>
      <c r="J95" s="117"/>
      <c r="K95" s="117" t="s">
        <v>1056</v>
      </c>
      <c r="L95" s="117" t="s">
        <v>1153</v>
      </c>
      <c r="M95" s="111"/>
      <c r="N95" s="120">
        <v>41240</v>
      </c>
      <c r="O95" s="140">
        <v>2015</v>
      </c>
      <c r="P95" s="227">
        <f t="shared" si="1"/>
        <v>1030.2531406103803</v>
      </c>
      <c r="Q95" s="107">
        <v>50.38</v>
      </c>
      <c r="R95" s="107">
        <v>0</v>
      </c>
      <c r="S95" s="231"/>
      <c r="T95" s="236"/>
      <c r="U95" s="236"/>
    </row>
    <row r="96" spans="1:21" ht="72" x14ac:dyDescent="0.3">
      <c r="A96" s="117">
        <v>94</v>
      </c>
      <c r="B96" s="131">
        <v>451</v>
      </c>
      <c r="C96" s="111">
        <v>6</v>
      </c>
      <c r="D96" s="111">
        <v>2</v>
      </c>
      <c r="E96" s="118" t="s">
        <v>1151</v>
      </c>
      <c r="F96" s="118" t="s">
        <v>115</v>
      </c>
      <c r="G96" s="119" t="s">
        <v>1221</v>
      </c>
      <c r="H96" s="119" t="s">
        <v>928</v>
      </c>
      <c r="I96" s="117"/>
      <c r="J96" s="117"/>
      <c r="K96" s="117" t="s">
        <v>1059</v>
      </c>
      <c r="L96" s="117" t="s">
        <v>1150</v>
      </c>
      <c r="M96" s="111"/>
      <c r="N96" s="120">
        <v>41250</v>
      </c>
      <c r="O96" s="140">
        <v>2607.12</v>
      </c>
      <c r="P96" s="227">
        <f t="shared" si="1"/>
        <v>1332.9992893042852</v>
      </c>
      <c r="Q96" s="107">
        <v>65.180000000000007</v>
      </c>
      <c r="R96" s="107">
        <v>0</v>
      </c>
      <c r="S96" s="231"/>
      <c r="T96" s="236"/>
      <c r="U96" s="236"/>
    </row>
    <row r="97" spans="1:21" ht="57.6" x14ac:dyDescent="0.3">
      <c r="A97" s="117">
        <v>95</v>
      </c>
      <c r="B97" s="131">
        <v>452</v>
      </c>
      <c r="C97" s="111">
        <v>16</v>
      </c>
      <c r="D97" s="111">
        <v>4</v>
      </c>
      <c r="E97" s="118" t="s">
        <v>1353</v>
      </c>
      <c r="F97" s="118" t="s">
        <v>201</v>
      </c>
      <c r="G97" s="119" t="s">
        <v>1206</v>
      </c>
      <c r="H97" s="117" t="s">
        <v>929</v>
      </c>
      <c r="I97" s="117" t="s">
        <v>1081</v>
      </c>
      <c r="J97" s="117"/>
      <c r="K97" s="117" t="s">
        <v>1059</v>
      </c>
      <c r="L97" s="117" t="s">
        <v>1150</v>
      </c>
      <c r="M97" s="111"/>
      <c r="N97" s="120">
        <v>41365</v>
      </c>
      <c r="O97" s="140">
        <v>2110.5</v>
      </c>
      <c r="P97" s="227">
        <f t="shared" si="1"/>
        <v>1079.0815152646192</v>
      </c>
      <c r="Q97" s="107">
        <v>52.76</v>
      </c>
      <c r="R97" s="107">
        <v>0</v>
      </c>
      <c r="S97" s="231"/>
      <c r="T97" s="236"/>
      <c r="U97" s="236"/>
    </row>
    <row r="98" spans="1:21" ht="57.6" x14ac:dyDescent="0.3">
      <c r="A98" s="117">
        <v>96</v>
      </c>
      <c r="B98" s="131">
        <v>453</v>
      </c>
      <c r="C98" s="111">
        <v>18</v>
      </c>
      <c r="D98" s="111">
        <v>4</v>
      </c>
      <c r="E98" s="118" t="s">
        <v>1353</v>
      </c>
      <c r="F98" s="118" t="s">
        <v>1157</v>
      </c>
      <c r="G98" s="119" t="s">
        <v>1165</v>
      </c>
      <c r="H98" s="119" t="s">
        <v>930</v>
      </c>
      <c r="I98" s="117" t="s">
        <v>1168</v>
      </c>
      <c r="J98" s="117"/>
      <c r="K98" s="117" t="s">
        <v>1059</v>
      </c>
      <c r="L98" s="117" t="s">
        <v>1150</v>
      </c>
      <c r="M98" s="111"/>
      <c r="N98" s="120">
        <v>41337</v>
      </c>
      <c r="O98" s="140">
        <v>3520.49</v>
      </c>
      <c r="P98" s="227">
        <f t="shared" si="1"/>
        <v>1799.9979548324752</v>
      </c>
      <c r="Q98" s="107">
        <v>88.01</v>
      </c>
      <c r="R98" s="107">
        <v>0</v>
      </c>
      <c r="S98" s="231"/>
      <c r="T98" s="236"/>
      <c r="U98" s="236"/>
    </row>
    <row r="99" spans="1:21" ht="72" x14ac:dyDescent="0.3">
      <c r="A99" s="117">
        <v>97</v>
      </c>
      <c r="B99" s="131">
        <v>455</v>
      </c>
      <c r="C99" s="111">
        <v>5</v>
      </c>
      <c r="D99" s="111">
        <v>2</v>
      </c>
      <c r="E99" s="118" t="s">
        <v>1151</v>
      </c>
      <c r="F99" s="118" t="s">
        <v>212</v>
      </c>
      <c r="G99" s="119" t="s">
        <v>21</v>
      </c>
      <c r="H99" s="119" t="s">
        <v>931</v>
      </c>
      <c r="I99" s="117" t="s">
        <v>1218</v>
      </c>
      <c r="J99" s="117"/>
      <c r="K99" s="117" t="s">
        <v>1059</v>
      </c>
      <c r="L99" s="117" t="s">
        <v>1150</v>
      </c>
      <c r="M99" s="111"/>
      <c r="N99" s="120">
        <v>41250</v>
      </c>
      <c r="O99" s="140">
        <v>3065.76</v>
      </c>
      <c r="P99" s="227">
        <f t="shared" si="1"/>
        <v>1567.498197696119</v>
      </c>
      <c r="Q99" s="107">
        <v>76.64</v>
      </c>
      <c r="R99" s="107">
        <v>0</v>
      </c>
      <c r="S99" s="231"/>
      <c r="T99" s="236"/>
      <c r="U99" s="236"/>
    </row>
    <row r="100" spans="1:21" ht="57.6" x14ac:dyDescent="0.3">
      <c r="A100" s="117">
        <v>98</v>
      </c>
      <c r="B100" s="131">
        <v>461</v>
      </c>
      <c r="C100" s="111">
        <v>16</v>
      </c>
      <c r="D100" s="111">
        <v>4</v>
      </c>
      <c r="E100" s="118" t="s">
        <v>1353</v>
      </c>
      <c r="F100" s="118" t="s">
        <v>201</v>
      </c>
      <c r="G100" s="119" t="s">
        <v>375</v>
      </c>
      <c r="H100" s="119" t="s">
        <v>932</v>
      </c>
      <c r="I100" s="117" t="s">
        <v>1171</v>
      </c>
      <c r="J100" s="117" t="s">
        <v>1196</v>
      </c>
      <c r="K100" s="117" t="s">
        <v>1061</v>
      </c>
      <c r="L100" s="117" t="s">
        <v>1150</v>
      </c>
      <c r="M100" s="111"/>
      <c r="N100" s="120">
        <v>41250</v>
      </c>
      <c r="O100" s="140">
        <v>3012.96</v>
      </c>
      <c r="P100" s="227">
        <f t="shared" si="1"/>
        <v>1540.5019863689586</v>
      </c>
      <c r="Q100" s="107">
        <v>75.319999999999993</v>
      </c>
      <c r="R100" s="107">
        <v>0</v>
      </c>
      <c r="S100" s="231"/>
      <c r="T100" s="236"/>
      <c r="U100" s="236"/>
    </row>
    <row r="101" spans="1:21" ht="57.6" x14ac:dyDescent="0.3">
      <c r="A101" s="117">
        <v>99</v>
      </c>
      <c r="B101" s="131">
        <v>462</v>
      </c>
      <c r="C101" s="111">
        <v>16</v>
      </c>
      <c r="D101" s="111">
        <v>4</v>
      </c>
      <c r="E101" s="118" t="s">
        <v>1353</v>
      </c>
      <c r="F101" s="118" t="s">
        <v>201</v>
      </c>
      <c r="G101" s="118" t="s">
        <v>1201</v>
      </c>
      <c r="H101" s="118" t="s">
        <v>933</v>
      </c>
      <c r="I101" s="117" t="s">
        <v>1086</v>
      </c>
      <c r="J101" s="117"/>
      <c r="K101" s="117" t="s">
        <v>1061</v>
      </c>
      <c r="L101" s="117" t="s">
        <v>1150</v>
      </c>
      <c r="M101" s="111"/>
      <c r="N101" s="120">
        <v>41250</v>
      </c>
      <c r="O101" s="140">
        <v>3012.96</v>
      </c>
      <c r="P101" s="227">
        <f t="shared" si="1"/>
        <v>1540.5019863689586</v>
      </c>
      <c r="Q101" s="107">
        <v>75.319999999999993</v>
      </c>
      <c r="R101" s="107">
        <v>0</v>
      </c>
      <c r="S101" s="231"/>
      <c r="T101" s="236"/>
      <c r="U101" s="236"/>
    </row>
    <row r="102" spans="1:21" ht="72" x14ac:dyDescent="0.3">
      <c r="A102" s="117">
        <v>100</v>
      </c>
      <c r="B102" s="131">
        <v>463</v>
      </c>
      <c r="C102" s="111">
        <v>24</v>
      </c>
      <c r="D102" s="111">
        <v>1</v>
      </c>
      <c r="E102" s="118" t="s">
        <v>1163</v>
      </c>
      <c r="F102" s="118" t="s">
        <v>225</v>
      </c>
      <c r="G102" s="119" t="s">
        <v>561</v>
      </c>
      <c r="H102" s="117" t="s">
        <v>934</v>
      </c>
      <c r="I102" s="117" t="s">
        <v>1295</v>
      </c>
      <c r="J102" s="117" t="s">
        <v>1290</v>
      </c>
      <c r="K102" s="117" t="s">
        <v>1055</v>
      </c>
      <c r="L102" s="117" t="s">
        <v>1148</v>
      </c>
      <c r="M102" s="111"/>
      <c r="N102" s="120">
        <v>41250</v>
      </c>
      <c r="O102" s="140">
        <v>19427.91</v>
      </c>
      <c r="P102" s="227">
        <f t="shared" si="1"/>
        <v>9933.3326516108245</v>
      </c>
      <c r="Q102" s="107">
        <v>485.7</v>
      </c>
      <c r="R102" s="107">
        <v>0</v>
      </c>
      <c r="S102" s="231"/>
      <c r="T102" s="236"/>
      <c r="U102" s="236"/>
    </row>
    <row r="103" spans="1:21" ht="72" x14ac:dyDescent="0.3">
      <c r="A103" s="117">
        <v>101</v>
      </c>
      <c r="B103" s="131">
        <v>464</v>
      </c>
      <c r="C103" s="111">
        <v>1</v>
      </c>
      <c r="D103" s="111">
        <v>1</v>
      </c>
      <c r="E103" s="118" t="s">
        <v>1163</v>
      </c>
      <c r="F103" s="118" t="s">
        <v>190</v>
      </c>
      <c r="G103" s="119" t="s">
        <v>22</v>
      </c>
      <c r="H103" s="119" t="s">
        <v>831</v>
      </c>
      <c r="I103" s="117"/>
      <c r="J103" s="117"/>
      <c r="K103" s="117" t="s">
        <v>1059</v>
      </c>
      <c r="L103" s="117" t="s">
        <v>1150</v>
      </c>
      <c r="M103" s="111"/>
      <c r="N103" s="120">
        <v>41271</v>
      </c>
      <c r="O103" s="140">
        <v>2366.5500000000002</v>
      </c>
      <c r="P103" s="227">
        <f t="shared" si="1"/>
        <v>1209.9978014449109</v>
      </c>
      <c r="Q103" s="107">
        <v>59.16</v>
      </c>
      <c r="R103" s="107">
        <v>0</v>
      </c>
      <c r="S103" s="231"/>
      <c r="T103" s="236"/>
      <c r="U103" s="236"/>
    </row>
    <row r="104" spans="1:21" ht="72" x14ac:dyDescent="0.3">
      <c r="A104" s="117">
        <v>102</v>
      </c>
      <c r="B104" s="131">
        <v>465</v>
      </c>
      <c r="C104" s="111">
        <v>1</v>
      </c>
      <c r="D104" s="111">
        <v>1</v>
      </c>
      <c r="E104" s="118" t="s">
        <v>1163</v>
      </c>
      <c r="F104" s="118" t="s">
        <v>190</v>
      </c>
      <c r="G104" s="119" t="s">
        <v>22</v>
      </c>
      <c r="H104" s="119" t="s">
        <v>831</v>
      </c>
      <c r="I104" s="117"/>
      <c r="J104" s="117"/>
      <c r="K104" s="117" t="s">
        <v>1063</v>
      </c>
      <c r="L104" s="117" t="s">
        <v>1149</v>
      </c>
      <c r="M104" s="111"/>
      <c r="N104" s="120">
        <v>41271</v>
      </c>
      <c r="O104" s="140">
        <v>2366.5500000000002</v>
      </c>
      <c r="P104" s="227">
        <f t="shared" si="1"/>
        <v>1209.9978014449109</v>
      </c>
      <c r="Q104" s="107">
        <v>59.16</v>
      </c>
      <c r="R104" s="107">
        <v>0</v>
      </c>
      <c r="S104" s="231">
        <v>205</v>
      </c>
      <c r="T104" s="236"/>
      <c r="U104" s="236"/>
    </row>
    <row r="105" spans="1:21" ht="72" x14ac:dyDescent="0.3">
      <c r="A105" s="117">
        <v>103</v>
      </c>
      <c r="B105" s="131">
        <v>466</v>
      </c>
      <c r="C105" s="111">
        <v>1</v>
      </c>
      <c r="D105" s="111">
        <v>1</v>
      </c>
      <c r="E105" s="118" t="s">
        <v>1163</v>
      </c>
      <c r="F105" s="118" t="s">
        <v>190</v>
      </c>
      <c r="G105" s="119" t="s">
        <v>22</v>
      </c>
      <c r="H105" s="119" t="s">
        <v>831</v>
      </c>
      <c r="I105" s="117"/>
      <c r="J105" s="117"/>
      <c r="K105" s="117" t="s">
        <v>1056</v>
      </c>
      <c r="L105" s="117" t="s">
        <v>1153</v>
      </c>
      <c r="M105" s="111"/>
      <c r="N105" s="120">
        <v>41271</v>
      </c>
      <c r="O105" s="140">
        <v>2366.5500000000002</v>
      </c>
      <c r="P105" s="227">
        <f t="shared" si="1"/>
        <v>1209.9978014449109</v>
      </c>
      <c r="Q105" s="107">
        <v>59.16</v>
      </c>
      <c r="R105" s="107">
        <v>0</v>
      </c>
      <c r="S105" s="231"/>
      <c r="T105" s="236"/>
      <c r="U105" s="236"/>
    </row>
    <row r="106" spans="1:21" ht="72" x14ac:dyDescent="0.3">
      <c r="A106" s="117">
        <v>104</v>
      </c>
      <c r="B106" s="131">
        <v>467</v>
      </c>
      <c r="C106" s="111">
        <v>1</v>
      </c>
      <c r="D106" s="111">
        <v>1</v>
      </c>
      <c r="E106" s="118" t="s">
        <v>1163</v>
      </c>
      <c r="F106" s="118" t="s">
        <v>190</v>
      </c>
      <c r="G106" s="119" t="s">
        <v>22</v>
      </c>
      <c r="H106" s="119" t="s">
        <v>831</v>
      </c>
      <c r="I106" s="117"/>
      <c r="J106" s="117"/>
      <c r="K106" s="117" t="s">
        <v>1067</v>
      </c>
      <c r="L106" s="117" t="s">
        <v>1150</v>
      </c>
      <c r="M106" s="111"/>
      <c r="N106" s="120">
        <v>41271</v>
      </c>
      <c r="O106" s="140">
        <v>2366.5500000000002</v>
      </c>
      <c r="P106" s="227">
        <f t="shared" si="1"/>
        <v>1209.9978014449109</v>
      </c>
      <c r="Q106" s="107">
        <v>59.16</v>
      </c>
      <c r="R106" s="107">
        <v>0</v>
      </c>
      <c r="S106" s="231"/>
      <c r="T106" s="236"/>
      <c r="U106" s="236"/>
    </row>
    <row r="107" spans="1:21" ht="72" x14ac:dyDescent="0.3">
      <c r="A107" s="117">
        <v>105</v>
      </c>
      <c r="B107" s="131">
        <v>468</v>
      </c>
      <c r="C107" s="111">
        <v>1</v>
      </c>
      <c r="D107" s="111">
        <v>1</v>
      </c>
      <c r="E107" s="118" t="s">
        <v>1163</v>
      </c>
      <c r="F107" s="118" t="s">
        <v>190</v>
      </c>
      <c r="G107" s="119" t="s">
        <v>22</v>
      </c>
      <c r="H107" s="119" t="s">
        <v>831</v>
      </c>
      <c r="I107" s="117"/>
      <c r="J107" s="117"/>
      <c r="K107" s="117" t="s">
        <v>1066</v>
      </c>
      <c r="L107" s="117" t="s">
        <v>1149</v>
      </c>
      <c r="M107" s="111"/>
      <c r="N107" s="120">
        <v>41271</v>
      </c>
      <c r="O107" s="140">
        <v>2366.5500000000002</v>
      </c>
      <c r="P107" s="227">
        <f t="shared" si="1"/>
        <v>1209.9978014449109</v>
      </c>
      <c r="Q107" s="107">
        <v>59.16</v>
      </c>
      <c r="R107" s="107">
        <v>0</v>
      </c>
      <c r="S107" s="231">
        <v>205</v>
      </c>
      <c r="T107" s="236"/>
      <c r="U107" s="236"/>
    </row>
    <row r="108" spans="1:21" ht="72" x14ac:dyDescent="0.3">
      <c r="A108" s="117">
        <v>106</v>
      </c>
      <c r="B108" s="131">
        <v>469</v>
      </c>
      <c r="C108" s="111">
        <v>1</v>
      </c>
      <c r="D108" s="111">
        <v>1</v>
      </c>
      <c r="E108" s="118" t="s">
        <v>1163</v>
      </c>
      <c r="F108" s="118" t="s">
        <v>190</v>
      </c>
      <c r="G108" s="119" t="s">
        <v>22</v>
      </c>
      <c r="H108" s="119" t="s">
        <v>831</v>
      </c>
      <c r="I108" s="117"/>
      <c r="J108" s="117"/>
      <c r="K108" s="117" t="s">
        <v>1067</v>
      </c>
      <c r="L108" s="117" t="s">
        <v>1150</v>
      </c>
      <c r="M108" s="111"/>
      <c r="N108" s="120">
        <v>41271</v>
      </c>
      <c r="O108" s="140">
        <v>2366.5500000000002</v>
      </c>
      <c r="P108" s="227">
        <f t="shared" si="1"/>
        <v>1209.9978014449109</v>
      </c>
      <c r="Q108" s="107">
        <v>59.16</v>
      </c>
      <c r="R108" s="107">
        <v>0</v>
      </c>
      <c r="S108" s="231"/>
      <c r="T108" s="236"/>
      <c r="U108" s="236"/>
    </row>
    <row r="109" spans="1:21" ht="72" x14ac:dyDescent="0.3">
      <c r="A109" s="117">
        <v>107</v>
      </c>
      <c r="B109" s="131">
        <v>470</v>
      </c>
      <c r="C109" s="111">
        <v>1</v>
      </c>
      <c r="D109" s="111">
        <v>1</v>
      </c>
      <c r="E109" s="118" t="s">
        <v>1163</v>
      </c>
      <c r="F109" s="118" t="s">
        <v>190</v>
      </c>
      <c r="G109" s="119" t="s">
        <v>22</v>
      </c>
      <c r="H109" s="119" t="s">
        <v>831</v>
      </c>
      <c r="I109" s="117"/>
      <c r="J109" s="117"/>
      <c r="K109" s="117" t="s">
        <v>1067</v>
      </c>
      <c r="L109" s="117" t="s">
        <v>1150</v>
      </c>
      <c r="M109" s="111"/>
      <c r="N109" s="120">
        <v>41271</v>
      </c>
      <c r="O109" s="140">
        <v>2366.5500000000002</v>
      </c>
      <c r="P109" s="227">
        <f t="shared" si="1"/>
        <v>1209.9978014449109</v>
      </c>
      <c r="Q109" s="107">
        <v>59.16</v>
      </c>
      <c r="R109" s="107">
        <v>0</v>
      </c>
      <c r="S109" s="231"/>
      <c r="T109" s="236"/>
      <c r="U109" s="236"/>
    </row>
    <row r="110" spans="1:21" ht="72" x14ac:dyDescent="0.3">
      <c r="A110" s="117">
        <v>108</v>
      </c>
      <c r="B110" s="131">
        <v>471</v>
      </c>
      <c r="C110" s="111">
        <v>1</v>
      </c>
      <c r="D110" s="111">
        <v>1</v>
      </c>
      <c r="E110" s="118" t="s">
        <v>1163</v>
      </c>
      <c r="F110" s="118" t="s">
        <v>190</v>
      </c>
      <c r="G110" s="119" t="s">
        <v>22</v>
      </c>
      <c r="H110" s="119" t="s">
        <v>831</v>
      </c>
      <c r="I110" s="117"/>
      <c r="J110" s="117"/>
      <c r="K110" s="117" t="s">
        <v>1067</v>
      </c>
      <c r="L110" s="117" t="s">
        <v>1150</v>
      </c>
      <c r="M110" s="111"/>
      <c r="N110" s="120">
        <v>41271</v>
      </c>
      <c r="O110" s="140">
        <v>2366.5500000000002</v>
      </c>
      <c r="P110" s="227">
        <f t="shared" si="1"/>
        <v>1209.9978014449109</v>
      </c>
      <c r="Q110" s="107">
        <v>59.16</v>
      </c>
      <c r="R110" s="107">
        <v>0</v>
      </c>
      <c r="S110" s="231"/>
      <c r="T110" s="236"/>
      <c r="U110" s="236"/>
    </row>
    <row r="111" spans="1:21" ht="72" x14ac:dyDescent="0.3">
      <c r="A111" s="117">
        <v>109</v>
      </c>
      <c r="B111" s="131">
        <v>473</v>
      </c>
      <c r="C111" s="111">
        <v>1</v>
      </c>
      <c r="D111" s="111">
        <v>1</v>
      </c>
      <c r="E111" s="118" t="s">
        <v>1163</v>
      </c>
      <c r="F111" s="118" t="s">
        <v>190</v>
      </c>
      <c r="G111" s="119" t="s">
        <v>22</v>
      </c>
      <c r="H111" s="119" t="s">
        <v>831</v>
      </c>
      <c r="I111" s="117"/>
      <c r="J111" s="117"/>
      <c r="K111" s="117" t="s">
        <v>1067</v>
      </c>
      <c r="L111" s="117" t="s">
        <v>1150</v>
      </c>
      <c r="M111" s="111"/>
      <c r="N111" s="120">
        <v>41271</v>
      </c>
      <c r="O111" s="140">
        <v>2366.5500000000002</v>
      </c>
      <c r="P111" s="227">
        <f t="shared" si="1"/>
        <v>1209.9978014449109</v>
      </c>
      <c r="Q111" s="107">
        <v>59.16</v>
      </c>
      <c r="R111" s="107">
        <v>0</v>
      </c>
      <c r="S111" s="231"/>
      <c r="T111" s="236"/>
      <c r="U111" s="236"/>
    </row>
    <row r="112" spans="1:21" ht="72" x14ac:dyDescent="0.3">
      <c r="A112" s="117">
        <v>110</v>
      </c>
      <c r="B112" s="131">
        <v>474</v>
      </c>
      <c r="C112" s="111">
        <v>1</v>
      </c>
      <c r="D112" s="111">
        <v>1</v>
      </c>
      <c r="E112" s="118" t="s">
        <v>1163</v>
      </c>
      <c r="F112" s="118" t="s">
        <v>190</v>
      </c>
      <c r="G112" s="119" t="s">
        <v>22</v>
      </c>
      <c r="H112" s="119" t="s">
        <v>831</v>
      </c>
      <c r="I112" s="117"/>
      <c r="J112" s="117"/>
      <c r="K112" s="117" t="s">
        <v>1067</v>
      </c>
      <c r="L112" s="117" t="s">
        <v>1150</v>
      </c>
      <c r="M112" s="111"/>
      <c r="N112" s="120">
        <v>41271</v>
      </c>
      <c r="O112" s="140">
        <v>2366.5500000000002</v>
      </c>
      <c r="P112" s="227">
        <f t="shared" si="1"/>
        <v>1209.9978014449109</v>
      </c>
      <c r="Q112" s="107">
        <v>59.16</v>
      </c>
      <c r="R112" s="107">
        <v>0</v>
      </c>
      <c r="S112" s="231"/>
      <c r="T112" s="236"/>
      <c r="U112" s="236"/>
    </row>
    <row r="113" spans="1:21" ht="72" x14ac:dyDescent="0.3">
      <c r="A113" s="117">
        <v>111</v>
      </c>
      <c r="B113" s="131">
        <v>475</v>
      </c>
      <c r="C113" s="111">
        <v>1</v>
      </c>
      <c r="D113" s="111">
        <v>1</v>
      </c>
      <c r="E113" s="118" t="s">
        <v>1163</v>
      </c>
      <c r="F113" s="118" t="s">
        <v>190</v>
      </c>
      <c r="G113" s="119" t="s">
        <v>22</v>
      </c>
      <c r="H113" s="119" t="s">
        <v>831</v>
      </c>
      <c r="I113" s="117"/>
      <c r="J113" s="117"/>
      <c r="K113" s="117" t="s">
        <v>1056</v>
      </c>
      <c r="L113" s="117" t="s">
        <v>1153</v>
      </c>
      <c r="M113" s="111"/>
      <c r="N113" s="120">
        <v>41271</v>
      </c>
      <c r="O113" s="140">
        <v>2366.5500000000002</v>
      </c>
      <c r="P113" s="227">
        <f t="shared" si="1"/>
        <v>1209.9978014449109</v>
      </c>
      <c r="Q113" s="107">
        <v>59.16</v>
      </c>
      <c r="R113" s="107">
        <v>0</v>
      </c>
      <c r="S113" s="231"/>
      <c r="T113" s="236"/>
      <c r="U113" s="236"/>
    </row>
    <row r="114" spans="1:21" ht="72" x14ac:dyDescent="0.3">
      <c r="A114" s="117">
        <v>112</v>
      </c>
      <c r="B114" s="131">
        <v>476</v>
      </c>
      <c r="C114" s="111">
        <v>1</v>
      </c>
      <c r="D114" s="111">
        <v>1</v>
      </c>
      <c r="E114" s="118" t="s">
        <v>1163</v>
      </c>
      <c r="F114" s="118" t="s">
        <v>190</v>
      </c>
      <c r="G114" s="119" t="s">
        <v>22</v>
      </c>
      <c r="H114" s="119" t="s">
        <v>831</v>
      </c>
      <c r="I114" s="117"/>
      <c r="J114" s="117"/>
      <c r="K114" s="117" t="s">
        <v>1059</v>
      </c>
      <c r="L114" s="117" t="s">
        <v>1150</v>
      </c>
      <c r="M114" s="111"/>
      <c r="N114" s="120">
        <v>41271</v>
      </c>
      <c r="O114" s="140">
        <v>2366.5500000000002</v>
      </c>
      <c r="P114" s="227">
        <f t="shared" si="1"/>
        <v>1209.9978014449109</v>
      </c>
      <c r="Q114" s="107">
        <v>59.16</v>
      </c>
      <c r="R114" s="107">
        <v>0</v>
      </c>
      <c r="S114" s="231"/>
      <c r="T114" s="236"/>
      <c r="U114" s="236"/>
    </row>
    <row r="115" spans="1:21" ht="72" x14ac:dyDescent="0.3">
      <c r="A115" s="117">
        <v>113</v>
      </c>
      <c r="B115" s="131">
        <v>478</v>
      </c>
      <c r="C115" s="111">
        <v>1</v>
      </c>
      <c r="D115" s="111">
        <v>1</v>
      </c>
      <c r="E115" s="118" t="s">
        <v>1163</v>
      </c>
      <c r="F115" s="118" t="s">
        <v>190</v>
      </c>
      <c r="G115" s="119" t="s">
        <v>22</v>
      </c>
      <c r="H115" s="119" t="s">
        <v>831</v>
      </c>
      <c r="I115" s="117"/>
      <c r="J115" s="117"/>
      <c r="K115" s="117" t="s">
        <v>1052</v>
      </c>
      <c r="L115" s="117" t="s">
        <v>1150</v>
      </c>
      <c r="M115" s="111"/>
      <c r="N115" s="120">
        <v>41271</v>
      </c>
      <c r="O115" s="140">
        <v>2366.5500000000002</v>
      </c>
      <c r="P115" s="227">
        <f t="shared" si="1"/>
        <v>1209.9978014449109</v>
      </c>
      <c r="Q115" s="107">
        <v>59.16</v>
      </c>
      <c r="R115" s="107">
        <v>0</v>
      </c>
      <c r="S115" s="231"/>
      <c r="T115" s="236"/>
      <c r="U115" s="236"/>
    </row>
    <row r="116" spans="1:21" ht="72" x14ac:dyDescent="0.3">
      <c r="A116" s="117">
        <v>114</v>
      </c>
      <c r="B116" s="131">
        <v>479</v>
      </c>
      <c r="C116" s="111">
        <v>1</v>
      </c>
      <c r="D116" s="111">
        <v>1</v>
      </c>
      <c r="E116" s="118" t="s">
        <v>1163</v>
      </c>
      <c r="F116" s="118" t="s">
        <v>190</v>
      </c>
      <c r="G116" s="119" t="s">
        <v>22</v>
      </c>
      <c r="H116" s="119" t="s">
        <v>831</v>
      </c>
      <c r="I116" s="117"/>
      <c r="J116" s="117"/>
      <c r="K116" s="117" t="s">
        <v>1059</v>
      </c>
      <c r="L116" s="117" t="s">
        <v>1150</v>
      </c>
      <c r="M116" s="111"/>
      <c r="N116" s="120">
        <v>41271</v>
      </c>
      <c r="O116" s="140">
        <v>2366.5500000000002</v>
      </c>
      <c r="P116" s="227">
        <f t="shared" si="1"/>
        <v>1209.9978014449109</v>
      </c>
      <c r="Q116" s="107">
        <v>59.16</v>
      </c>
      <c r="R116" s="107">
        <v>0</v>
      </c>
      <c r="S116" s="231"/>
      <c r="T116" s="236"/>
      <c r="U116" s="236"/>
    </row>
    <row r="117" spans="1:21" ht="72" x14ac:dyDescent="0.3">
      <c r="A117" s="117">
        <v>115</v>
      </c>
      <c r="B117" s="131">
        <v>480</v>
      </c>
      <c r="C117" s="111">
        <v>1</v>
      </c>
      <c r="D117" s="111">
        <v>1</v>
      </c>
      <c r="E117" s="118" t="s">
        <v>1163</v>
      </c>
      <c r="F117" s="118" t="s">
        <v>190</v>
      </c>
      <c r="G117" s="119" t="s">
        <v>22</v>
      </c>
      <c r="H117" s="119" t="s">
        <v>831</v>
      </c>
      <c r="I117" s="117"/>
      <c r="J117" s="117"/>
      <c r="K117" s="117" t="s">
        <v>1067</v>
      </c>
      <c r="L117" s="117" t="s">
        <v>1150</v>
      </c>
      <c r="M117" s="111"/>
      <c r="N117" s="120">
        <v>41271</v>
      </c>
      <c r="O117" s="140">
        <v>2366.5500000000002</v>
      </c>
      <c r="P117" s="227">
        <f t="shared" si="1"/>
        <v>1209.9978014449109</v>
      </c>
      <c r="Q117" s="107">
        <v>59.16</v>
      </c>
      <c r="R117" s="107">
        <v>0</v>
      </c>
      <c r="S117" s="231"/>
      <c r="T117" s="236"/>
      <c r="U117" s="236"/>
    </row>
    <row r="118" spans="1:21" ht="72" x14ac:dyDescent="0.3">
      <c r="A118" s="117">
        <v>116</v>
      </c>
      <c r="B118" s="131">
        <v>481</v>
      </c>
      <c r="C118" s="111">
        <v>1</v>
      </c>
      <c r="D118" s="111">
        <v>1</v>
      </c>
      <c r="E118" s="118" t="s">
        <v>1163</v>
      </c>
      <c r="F118" s="118" t="s">
        <v>190</v>
      </c>
      <c r="G118" s="119" t="s">
        <v>22</v>
      </c>
      <c r="H118" s="119" t="s">
        <v>831</v>
      </c>
      <c r="I118" s="117"/>
      <c r="J118" s="117"/>
      <c r="K118" s="117" t="s">
        <v>1067</v>
      </c>
      <c r="L118" s="117" t="s">
        <v>1150</v>
      </c>
      <c r="M118" s="111"/>
      <c r="N118" s="120">
        <v>41271</v>
      </c>
      <c r="O118" s="140">
        <v>2366.5500000000002</v>
      </c>
      <c r="P118" s="227">
        <f t="shared" si="1"/>
        <v>1209.9978014449109</v>
      </c>
      <c r="Q118" s="107">
        <v>59.16</v>
      </c>
      <c r="R118" s="107">
        <v>0</v>
      </c>
      <c r="S118" s="231"/>
      <c r="T118" s="236"/>
      <c r="U118" s="236"/>
    </row>
    <row r="119" spans="1:21" ht="72" x14ac:dyDescent="0.3">
      <c r="A119" s="117">
        <v>117</v>
      </c>
      <c r="B119" s="131">
        <v>482</v>
      </c>
      <c r="C119" s="111">
        <v>1</v>
      </c>
      <c r="D119" s="111">
        <v>1</v>
      </c>
      <c r="E119" s="118" t="s">
        <v>1163</v>
      </c>
      <c r="F119" s="118" t="s">
        <v>190</v>
      </c>
      <c r="G119" s="119" t="s">
        <v>22</v>
      </c>
      <c r="H119" s="119" t="s">
        <v>831</v>
      </c>
      <c r="I119" s="117"/>
      <c r="J119" s="117"/>
      <c r="K119" s="117" t="s">
        <v>1066</v>
      </c>
      <c r="L119" s="117" t="s">
        <v>1149</v>
      </c>
      <c r="M119" s="111"/>
      <c r="N119" s="120">
        <v>41271</v>
      </c>
      <c r="O119" s="140">
        <v>2366.5500000000002</v>
      </c>
      <c r="P119" s="227">
        <f t="shared" si="1"/>
        <v>1209.9978014449109</v>
      </c>
      <c r="Q119" s="107">
        <v>59.16</v>
      </c>
      <c r="R119" s="107">
        <v>0</v>
      </c>
      <c r="S119" s="231">
        <v>205</v>
      </c>
      <c r="T119" s="236"/>
      <c r="U119" s="236"/>
    </row>
    <row r="120" spans="1:21" ht="72" x14ac:dyDescent="0.3">
      <c r="A120" s="117">
        <v>118</v>
      </c>
      <c r="B120" s="131">
        <v>483</v>
      </c>
      <c r="C120" s="111">
        <v>1</v>
      </c>
      <c r="D120" s="111">
        <v>1</v>
      </c>
      <c r="E120" s="118" t="s">
        <v>1163</v>
      </c>
      <c r="F120" s="118" t="s">
        <v>190</v>
      </c>
      <c r="G120" s="119" t="s">
        <v>22</v>
      </c>
      <c r="H120" s="119" t="s">
        <v>831</v>
      </c>
      <c r="I120" s="117"/>
      <c r="J120" s="117"/>
      <c r="K120" s="117" t="s">
        <v>1067</v>
      </c>
      <c r="L120" s="117" t="s">
        <v>1150</v>
      </c>
      <c r="M120" s="111"/>
      <c r="N120" s="120">
        <v>41271</v>
      </c>
      <c r="O120" s="140">
        <v>2366.64</v>
      </c>
      <c r="P120" s="227">
        <f t="shared" si="1"/>
        <v>1210.0438177142184</v>
      </c>
      <c r="Q120" s="107">
        <v>59.17</v>
      </c>
      <c r="R120" s="107">
        <v>0</v>
      </c>
      <c r="S120" s="231"/>
      <c r="T120" s="236"/>
      <c r="U120" s="236"/>
    </row>
    <row r="121" spans="1:21" ht="72" x14ac:dyDescent="0.3">
      <c r="A121" s="117">
        <v>119</v>
      </c>
      <c r="B121" s="131">
        <v>484</v>
      </c>
      <c r="C121" s="111">
        <v>1</v>
      </c>
      <c r="D121" s="111">
        <v>1</v>
      </c>
      <c r="E121" s="118" t="s">
        <v>1163</v>
      </c>
      <c r="F121" s="118" t="s">
        <v>190</v>
      </c>
      <c r="G121" s="119" t="s">
        <v>23</v>
      </c>
      <c r="H121" s="119" t="s">
        <v>935</v>
      </c>
      <c r="I121" s="117"/>
      <c r="J121" s="117"/>
      <c r="K121" s="117" t="s">
        <v>1059</v>
      </c>
      <c r="L121" s="117" t="s">
        <v>1150</v>
      </c>
      <c r="M121" s="111"/>
      <c r="N121" s="120">
        <v>41317</v>
      </c>
      <c r="O121" s="140">
        <v>1994.97</v>
      </c>
      <c r="P121" s="227">
        <f t="shared" si="1"/>
        <v>1020.01196423002</v>
      </c>
      <c r="Q121" s="107">
        <v>49.87</v>
      </c>
      <c r="R121" s="107">
        <v>0</v>
      </c>
      <c r="S121" s="231"/>
      <c r="T121" s="236"/>
      <c r="U121" s="236"/>
    </row>
    <row r="122" spans="1:21" ht="72" x14ac:dyDescent="0.3">
      <c r="A122" s="117">
        <v>120</v>
      </c>
      <c r="B122" s="131">
        <v>485</v>
      </c>
      <c r="C122" s="111">
        <v>1</v>
      </c>
      <c r="D122" s="111">
        <v>1</v>
      </c>
      <c r="E122" s="118" t="s">
        <v>1163</v>
      </c>
      <c r="F122" s="118" t="s">
        <v>190</v>
      </c>
      <c r="G122" s="119" t="s">
        <v>23</v>
      </c>
      <c r="H122" s="119" t="s">
        <v>935</v>
      </c>
      <c r="I122" s="117"/>
      <c r="J122" s="117"/>
      <c r="K122" s="117" t="s">
        <v>1063</v>
      </c>
      <c r="L122" s="117" t="s">
        <v>1149</v>
      </c>
      <c r="M122" s="111"/>
      <c r="N122" s="120">
        <v>41317</v>
      </c>
      <c r="O122" s="140">
        <v>1994.97</v>
      </c>
      <c r="P122" s="227">
        <f t="shared" si="1"/>
        <v>1020.01196423002</v>
      </c>
      <c r="Q122" s="107">
        <v>49.87</v>
      </c>
      <c r="R122" s="107">
        <v>0</v>
      </c>
      <c r="S122" s="231">
        <v>205</v>
      </c>
      <c r="T122" s="236"/>
      <c r="U122" s="236"/>
    </row>
    <row r="123" spans="1:21" ht="72" x14ac:dyDescent="0.3">
      <c r="A123" s="117">
        <v>121</v>
      </c>
      <c r="B123" s="131">
        <v>486</v>
      </c>
      <c r="C123" s="111">
        <v>1</v>
      </c>
      <c r="D123" s="111">
        <v>1</v>
      </c>
      <c r="E123" s="118" t="s">
        <v>1163</v>
      </c>
      <c r="F123" s="118" t="s">
        <v>190</v>
      </c>
      <c r="G123" s="119" t="s">
        <v>23</v>
      </c>
      <c r="H123" s="119" t="s">
        <v>935</v>
      </c>
      <c r="I123" s="117"/>
      <c r="J123" s="117"/>
      <c r="K123" s="117" t="s">
        <v>1063</v>
      </c>
      <c r="L123" s="117" t="s">
        <v>1149</v>
      </c>
      <c r="M123" s="111"/>
      <c r="N123" s="120">
        <v>41317</v>
      </c>
      <c r="O123" s="140">
        <v>1994.97</v>
      </c>
      <c r="P123" s="227">
        <f t="shared" si="1"/>
        <v>1020.01196423002</v>
      </c>
      <c r="Q123" s="107">
        <v>49.87</v>
      </c>
      <c r="R123" s="107">
        <v>0</v>
      </c>
      <c r="S123" s="231">
        <v>205</v>
      </c>
      <c r="T123" s="236"/>
      <c r="U123" s="236"/>
    </row>
    <row r="124" spans="1:21" ht="72" x14ac:dyDescent="0.3">
      <c r="A124" s="117">
        <v>122</v>
      </c>
      <c r="B124" s="131">
        <v>487</v>
      </c>
      <c r="C124" s="111">
        <v>1</v>
      </c>
      <c r="D124" s="111">
        <v>1</v>
      </c>
      <c r="E124" s="118" t="s">
        <v>1163</v>
      </c>
      <c r="F124" s="118" t="s">
        <v>190</v>
      </c>
      <c r="G124" s="119" t="s">
        <v>23</v>
      </c>
      <c r="H124" s="119" t="s">
        <v>935</v>
      </c>
      <c r="I124" s="117"/>
      <c r="J124" s="117"/>
      <c r="K124" s="117" t="s">
        <v>1059</v>
      </c>
      <c r="L124" s="117" t="s">
        <v>1150</v>
      </c>
      <c r="M124" s="111"/>
      <c r="N124" s="120">
        <v>41317</v>
      </c>
      <c r="O124" s="140">
        <v>1994.97</v>
      </c>
      <c r="P124" s="227">
        <f t="shared" si="1"/>
        <v>1020.01196423002</v>
      </c>
      <c r="Q124" s="107">
        <v>49.87</v>
      </c>
      <c r="R124" s="107">
        <v>0</v>
      </c>
      <c r="S124" s="231"/>
      <c r="T124" s="236"/>
      <c r="U124" s="236"/>
    </row>
    <row r="125" spans="1:21" ht="72" x14ac:dyDescent="0.3">
      <c r="A125" s="117">
        <v>123</v>
      </c>
      <c r="B125" s="131">
        <v>488</v>
      </c>
      <c r="C125" s="111">
        <v>1</v>
      </c>
      <c r="D125" s="111">
        <v>1</v>
      </c>
      <c r="E125" s="118" t="s">
        <v>1163</v>
      </c>
      <c r="F125" s="118" t="s">
        <v>190</v>
      </c>
      <c r="G125" s="119" t="s">
        <v>23</v>
      </c>
      <c r="H125" s="119" t="s">
        <v>935</v>
      </c>
      <c r="I125" s="117"/>
      <c r="J125" s="117"/>
      <c r="K125" s="117" t="s">
        <v>11</v>
      </c>
      <c r="L125" s="117" t="s">
        <v>1149</v>
      </c>
      <c r="M125" s="111"/>
      <c r="N125" s="120">
        <v>41317</v>
      </c>
      <c r="O125" s="140">
        <v>1994.97</v>
      </c>
      <c r="P125" s="227">
        <f t="shared" si="1"/>
        <v>1020.01196423002</v>
      </c>
      <c r="Q125" s="107">
        <v>49.87</v>
      </c>
      <c r="R125" s="107">
        <v>0</v>
      </c>
      <c r="S125" s="231">
        <v>205</v>
      </c>
      <c r="T125" s="236"/>
      <c r="U125" s="236"/>
    </row>
    <row r="126" spans="1:21" ht="72" x14ac:dyDescent="0.3">
      <c r="A126" s="117">
        <v>124</v>
      </c>
      <c r="B126" s="131">
        <v>489</v>
      </c>
      <c r="C126" s="111">
        <v>1</v>
      </c>
      <c r="D126" s="111">
        <v>1</v>
      </c>
      <c r="E126" s="118" t="s">
        <v>1163</v>
      </c>
      <c r="F126" s="118" t="s">
        <v>190</v>
      </c>
      <c r="G126" s="119" t="s">
        <v>23</v>
      </c>
      <c r="H126" s="119" t="s">
        <v>935</v>
      </c>
      <c r="I126" s="117"/>
      <c r="J126" s="117"/>
      <c r="K126" s="117" t="s">
        <v>1066</v>
      </c>
      <c r="L126" s="117" t="s">
        <v>1149</v>
      </c>
      <c r="M126" s="111"/>
      <c r="N126" s="120">
        <v>41317</v>
      </c>
      <c r="O126" s="140">
        <v>1994.97</v>
      </c>
      <c r="P126" s="227">
        <f t="shared" si="1"/>
        <v>1020.01196423002</v>
      </c>
      <c r="Q126" s="107">
        <v>49.87</v>
      </c>
      <c r="R126" s="107">
        <v>0</v>
      </c>
      <c r="S126" s="231">
        <v>205</v>
      </c>
      <c r="T126" s="236"/>
      <c r="U126" s="236"/>
    </row>
    <row r="127" spans="1:21" ht="72" x14ac:dyDescent="0.3">
      <c r="A127" s="117">
        <v>125</v>
      </c>
      <c r="B127" s="131">
        <v>490</v>
      </c>
      <c r="C127" s="111">
        <v>1</v>
      </c>
      <c r="D127" s="111">
        <v>1</v>
      </c>
      <c r="E127" s="118" t="s">
        <v>1163</v>
      </c>
      <c r="F127" s="118" t="s">
        <v>190</v>
      </c>
      <c r="G127" s="119" t="s">
        <v>23</v>
      </c>
      <c r="H127" s="119" t="s">
        <v>935</v>
      </c>
      <c r="I127" s="117"/>
      <c r="J127" s="117"/>
      <c r="K127" s="117" t="s">
        <v>1066</v>
      </c>
      <c r="L127" s="117" t="s">
        <v>1149</v>
      </c>
      <c r="M127" s="111"/>
      <c r="N127" s="120">
        <v>41317</v>
      </c>
      <c r="O127" s="140">
        <v>1994.97</v>
      </c>
      <c r="P127" s="227">
        <f t="shared" si="1"/>
        <v>1020.01196423002</v>
      </c>
      <c r="Q127" s="107">
        <v>49.87</v>
      </c>
      <c r="R127" s="107">
        <v>0</v>
      </c>
      <c r="S127" s="231">
        <v>205</v>
      </c>
      <c r="T127" s="236"/>
      <c r="U127" s="236"/>
    </row>
    <row r="128" spans="1:21" ht="72" x14ac:dyDescent="0.3">
      <c r="A128" s="117">
        <v>126</v>
      </c>
      <c r="B128" s="131">
        <v>491</v>
      </c>
      <c r="C128" s="111">
        <v>1</v>
      </c>
      <c r="D128" s="111">
        <v>1</v>
      </c>
      <c r="E128" s="118" t="s">
        <v>1163</v>
      </c>
      <c r="F128" s="118" t="s">
        <v>190</v>
      </c>
      <c r="G128" s="119" t="s">
        <v>23</v>
      </c>
      <c r="H128" s="119" t="s">
        <v>935</v>
      </c>
      <c r="I128" s="117"/>
      <c r="J128" s="117"/>
      <c r="K128" s="117" t="s">
        <v>1067</v>
      </c>
      <c r="L128" s="117" t="s">
        <v>1150</v>
      </c>
      <c r="M128" s="111"/>
      <c r="N128" s="120">
        <v>41317</v>
      </c>
      <c r="O128" s="140">
        <v>1994.97</v>
      </c>
      <c r="P128" s="227">
        <f t="shared" si="1"/>
        <v>1020.01196423002</v>
      </c>
      <c r="Q128" s="107">
        <v>49.87</v>
      </c>
      <c r="R128" s="107">
        <v>0</v>
      </c>
      <c r="S128" s="231"/>
      <c r="T128" s="236"/>
      <c r="U128" s="236"/>
    </row>
    <row r="129" spans="1:21" ht="72" x14ac:dyDescent="0.3">
      <c r="A129" s="117">
        <v>127</v>
      </c>
      <c r="B129" s="131">
        <v>492</v>
      </c>
      <c r="C129" s="111">
        <v>1</v>
      </c>
      <c r="D129" s="111">
        <v>1</v>
      </c>
      <c r="E129" s="118" t="s">
        <v>1163</v>
      </c>
      <c r="F129" s="118" t="s">
        <v>190</v>
      </c>
      <c r="G129" s="119" t="s">
        <v>23</v>
      </c>
      <c r="H129" s="119" t="s">
        <v>935</v>
      </c>
      <c r="I129" s="117"/>
      <c r="J129" s="117"/>
      <c r="K129" s="117" t="s">
        <v>1063</v>
      </c>
      <c r="L129" s="117" t="s">
        <v>1149</v>
      </c>
      <c r="M129" s="111"/>
      <c r="N129" s="120">
        <v>41317</v>
      </c>
      <c r="O129" s="140">
        <v>1994.97</v>
      </c>
      <c r="P129" s="227">
        <f t="shared" si="1"/>
        <v>1020.01196423002</v>
      </c>
      <c r="Q129" s="107">
        <v>49.87</v>
      </c>
      <c r="R129" s="107">
        <v>0</v>
      </c>
      <c r="S129" s="231">
        <v>205</v>
      </c>
      <c r="T129" s="236"/>
      <c r="U129" s="236"/>
    </row>
    <row r="130" spans="1:21" ht="57.6" x14ac:dyDescent="0.3">
      <c r="A130" s="117">
        <v>128</v>
      </c>
      <c r="B130" s="131">
        <v>493</v>
      </c>
      <c r="C130" s="111">
        <v>16</v>
      </c>
      <c r="D130" s="111">
        <v>4</v>
      </c>
      <c r="E130" s="118" t="s">
        <v>1353</v>
      </c>
      <c r="F130" s="118" t="s">
        <v>201</v>
      </c>
      <c r="G130" s="119" t="s">
        <v>1182</v>
      </c>
      <c r="H130" s="119" t="s">
        <v>936</v>
      </c>
      <c r="I130" s="117" t="s">
        <v>1060</v>
      </c>
      <c r="J130" s="117" t="s">
        <v>1176</v>
      </c>
      <c r="K130" s="117" t="s">
        <v>1059</v>
      </c>
      <c r="L130" s="117" t="s">
        <v>1150</v>
      </c>
      <c r="M130" s="111"/>
      <c r="N130" s="120">
        <v>41337</v>
      </c>
      <c r="O130" s="140">
        <v>4615.76</v>
      </c>
      <c r="P130" s="227">
        <f t="shared" si="1"/>
        <v>2360.0006135502576</v>
      </c>
      <c r="Q130" s="107">
        <v>115.39</v>
      </c>
      <c r="R130" s="107">
        <v>0</v>
      </c>
      <c r="S130" s="231"/>
      <c r="T130" s="236"/>
      <c r="U130" s="236"/>
    </row>
    <row r="131" spans="1:21" ht="57.6" x14ac:dyDescent="0.3">
      <c r="A131" s="117">
        <v>129</v>
      </c>
      <c r="B131" s="131">
        <v>494</v>
      </c>
      <c r="C131" s="111">
        <v>16</v>
      </c>
      <c r="D131" s="111">
        <v>4</v>
      </c>
      <c r="E131" s="118" t="s">
        <v>1353</v>
      </c>
      <c r="F131" s="118" t="s">
        <v>201</v>
      </c>
      <c r="G131" s="119" t="s">
        <v>1178</v>
      </c>
      <c r="H131" s="119" t="s">
        <v>937</v>
      </c>
      <c r="I131" s="117" t="s">
        <v>1060</v>
      </c>
      <c r="J131" s="117" t="s">
        <v>1196</v>
      </c>
      <c r="K131" s="117" t="s">
        <v>1067</v>
      </c>
      <c r="L131" s="117" t="s">
        <v>1150</v>
      </c>
      <c r="M131" s="111"/>
      <c r="N131" s="120">
        <v>41337</v>
      </c>
      <c r="O131" s="140">
        <v>4615.76</v>
      </c>
      <c r="P131" s="227">
        <f t="shared" si="1"/>
        <v>2360.0006135502576</v>
      </c>
      <c r="Q131" s="107">
        <v>115.39</v>
      </c>
      <c r="R131" s="107">
        <v>0</v>
      </c>
      <c r="S131" s="231"/>
      <c r="T131" s="236"/>
      <c r="U131" s="236"/>
    </row>
    <row r="132" spans="1:21" ht="72" x14ac:dyDescent="0.3">
      <c r="A132" s="117">
        <v>130</v>
      </c>
      <c r="B132" s="131">
        <v>495</v>
      </c>
      <c r="C132" s="111">
        <v>2</v>
      </c>
      <c r="D132" s="111">
        <v>1</v>
      </c>
      <c r="E132" s="118" t="s">
        <v>1163</v>
      </c>
      <c r="F132" s="118" t="s">
        <v>191</v>
      </c>
      <c r="G132" s="119" t="s">
        <v>8</v>
      </c>
      <c r="H132" s="117" t="s">
        <v>921</v>
      </c>
      <c r="I132" s="117" t="s">
        <v>1073</v>
      </c>
      <c r="J132" s="117" t="s">
        <v>1083</v>
      </c>
      <c r="K132" s="117" t="s">
        <v>1063</v>
      </c>
      <c r="L132" s="117" t="s">
        <v>1149</v>
      </c>
      <c r="M132" s="111"/>
      <c r="N132" s="120">
        <v>41401</v>
      </c>
      <c r="O132" s="140">
        <v>3998</v>
      </c>
      <c r="P132" s="227">
        <f t="shared" ref="P132:P195" si="2">O132/$P$1</f>
        <v>2044.1449410224816</v>
      </c>
      <c r="Q132" s="107">
        <v>99.95</v>
      </c>
      <c r="R132" s="107">
        <v>0</v>
      </c>
      <c r="S132" s="231">
        <f>P132*0.4</f>
        <v>817.65797640899268</v>
      </c>
      <c r="T132" s="236"/>
      <c r="U132" s="236"/>
    </row>
    <row r="133" spans="1:21" ht="72" x14ac:dyDescent="0.3">
      <c r="A133" s="117">
        <v>131</v>
      </c>
      <c r="B133" s="131">
        <v>497</v>
      </c>
      <c r="C133" s="111">
        <v>2</v>
      </c>
      <c r="D133" s="111">
        <v>1</v>
      </c>
      <c r="E133" s="118" t="s">
        <v>1163</v>
      </c>
      <c r="F133" s="118" t="s">
        <v>191</v>
      </c>
      <c r="G133" s="119" t="s">
        <v>8</v>
      </c>
      <c r="H133" s="117" t="s">
        <v>921</v>
      </c>
      <c r="I133" s="117" t="s">
        <v>1073</v>
      </c>
      <c r="J133" s="117" t="s">
        <v>1083</v>
      </c>
      <c r="K133" s="117" t="s">
        <v>1066</v>
      </c>
      <c r="L133" s="117" t="s">
        <v>1149</v>
      </c>
      <c r="M133" s="111"/>
      <c r="N133" s="120">
        <v>41401</v>
      </c>
      <c r="O133" s="140">
        <v>3998</v>
      </c>
      <c r="P133" s="227">
        <f t="shared" si="2"/>
        <v>2044.1449410224816</v>
      </c>
      <c r="Q133" s="107">
        <v>99.95</v>
      </c>
      <c r="R133" s="107">
        <v>0</v>
      </c>
      <c r="S133" s="231">
        <f>P133*0.4</f>
        <v>817.65797640899268</v>
      </c>
      <c r="T133" s="236"/>
      <c r="U133" s="236"/>
    </row>
    <row r="134" spans="1:21" ht="57.6" x14ac:dyDescent="0.3">
      <c r="A134" s="117">
        <v>132</v>
      </c>
      <c r="B134" s="131">
        <v>498</v>
      </c>
      <c r="C134" s="111">
        <v>16</v>
      </c>
      <c r="D134" s="111">
        <v>4</v>
      </c>
      <c r="E134" s="118" t="s">
        <v>1353</v>
      </c>
      <c r="F134" s="118" t="s">
        <v>201</v>
      </c>
      <c r="G134" s="119" t="s">
        <v>1182</v>
      </c>
      <c r="H134" s="119" t="s">
        <v>938</v>
      </c>
      <c r="I134" s="117" t="s">
        <v>1060</v>
      </c>
      <c r="J134" s="117" t="s">
        <v>1176</v>
      </c>
      <c r="K134" s="117" t="s">
        <v>1059</v>
      </c>
      <c r="L134" s="117" t="s">
        <v>1150</v>
      </c>
      <c r="M134" s="111"/>
      <c r="N134" s="120">
        <v>41337</v>
      </c>
      <c r="O134" s="140">
        <v>4615.76</v>
      </c>
      <c r="P134" s="227">
        <f t="shared" si="2"/>
        <v>2360.0006135502576</v>
      </c>
      <c r="Q134" s="107">
        <v>115.39</v>
      </c>
      <c r="R134" s="107">
        <v>0</v>
      </c>
      <c r="S134" s="231"/>
      <c r="T134" s="236"/>
      <c r="U134" s="236"/>
    </row>
    <row r="135" spans="1:21" ht="57.6" x14ac:dyDescent="0.3">
      <c r="A135" s="117">
        <v>133</v>
      </c>
      <c r="B135" s="131">
        <v>499</v>
      </c>
      <c r="C135" s="111">
        <v>16</v>
      </c>
      <c r="D135" s="111">
        <v>4</v>
      </c>
      <c r="E135" s="118" t="s">
        <v>1353</v>
      </c>
      <c r="F135" s="118" t="s">
        <v>201</v>
      </c>
      <c r="G135" s="119" t="s">
        <v>1182</v>
      </c>
      <c r="H135" s="119" t="s">
        <v>938</v>
      </c>
      <c r="I135" s="117" t="s">
        <v>1060</v>
      </c>
      <c r="J135" s="117" t="s">
        <v>1176</v>
      </c>
      <c r="K135" s="117" t="s">
        <v>1055</v>
      </c>
      <c r="L135" s="117" t="s">
        <v>1148</v>
      </c>
      <c r="M135" s="111"/>
      <c r="N135" s="120">
        <v>41337</v>
      </c>
      <c r="O135" s="140">
        <v>4615.76</v>
      </c>
      <c r="P135" s="227">
        <f t="shared" si="2"/>
        <v>2360.0006135502576</v>
      </c>
      <c r="Q135" s="107">
        <v>115.39</v>
      </c>
      <c r="R135" s="107">
        <v>0</v>
      </c>
      <c r="S135" s="231"/>
      <c r="T135" s="236"/>
      <c r="U135" s="236"/>
    </row>
    <row r="136" spans="1:21" ht="57.6" x14ac:dyDescent="0.3">
      <c r="A136" s="117">
        <v>134</v>
      </c>
      <c r="B136" s="131">
        <v>501</v>
      </c>
      <c r="C136" s="111">
        <v>16</v>
      </c>
      <c r="D136" s="111">
        <v>4</v>
      </c>
      <c r="E136" s="118" t="s">
        <v>1353</v>
      </c>
      <c r="F136" s="118" t="s">
        <v>201</v>
      </c>
      <c r="G136" s="119" t="s">
        <v>379</v>
      </c>
      <c r="H136" s="119" t="s">
        <v>939</v>
      </c>
      <c r="I136" s="117" t="s">
        <v>1171</v>
      </c>
      <c r="J136" s="117" t="s">
        <v>1197</v>
      </c>
      <c r="K136" s="117" t="s">
        <v>1077</v>
      </c>
      <c r="L136" s="117" t="s">
        <v>1150</v>
      </c>
      <c r="M136" s="111"/>
      <c r="N136" s="120">
        <v>41337</v>
      </c>
      <c r="O136" s="140">
        <v>4969.76</v>
      </c>
      <c r="P136" s="227">
        <f t="shared" si="2"/>
        <v>2540.9979394937191</v>
      </c>
      <c r="Q136" s="107">
        <v>124.24</v>
      </c>
      <c r="R136" s="107">
        <v>0</v>
      </c>
      <c r="S136" s="231"/>
      <c r="T136" s="236"/>
      <c r="U136" s="236"/>
    </row>
    <row r="137" spans="1:21" ht="72" x14ac:dyDescent="0.3">
      <c r="A137" s="117">
        <v>135</v>
      </c>
      <c r="B137" s="131">
        <v>502</v>
      </c>
      <c r="C137" s="111">
        <v>2</v>
      </c>
      <c r="D137" s="111">
        <v>1</v>
      </c>
      <c r="E137" s="118" t="s">
        <v>1163</v>
      </c>
      <c r="F137" s="118" t="s">
        <v>191</v>
      </c>
      <c r="G137" s="119" t="s">
        <v>8</v>
      </c>
      <c r="H137" s="117" t="s">
        <v>921</v>
      </c>
      <c r="I137" s="117" t="s">
        <v>1073</v>
      </c>
      <c r="J137" s="117" t="s">
        <v>1083</v>
      </c>
      <c r="K137" s="117" t="s">
        <v>1063</v>
      </c>
      <c r="L137" s="117" t="s">
        <v>1149</v>
      </c>
      <c r="M137" s="111"/>
      <c r="N137" s="120">
        <v>41401</v>
      </c>
      <c r="O137" s="140">
        <v>3998</v>
      </c>
      <c r="P137" s="227">
        <f t="shared" si="2"/>
        <v>2044.1449410224816</v>
      </c>
      <c r="Q137" s="107">
        <v>99.95</v>
      </c>
      <c r="R137" s="107">
        <v>0</v>
      </c>
      <c r="S137" s="231">
        <f>P137*0.4</f>
        <v>817.65797640899268</v>
      </c>
      <c r="T137" s="236"/>
      <c r="U137" s="236"/>
    </row>
    <row r="138" spans="1:21" ht="57.6" x14ac:dyDescent="0.3">
      <c r="A138" s="117">
        <v>136</v>
      </c>
      <c r="B138" s="131">
        <v>503</v>
      </c>
      <c r="C138" s="111">
        <v>16</v>
      </c>
      <c r="D138" s="111">
        <v>4</v>
      </c>
      <c r="E138" s="118" t="s">
        <v>1353</v>
      </c>
      <c r="F138" s="118" t="s">
        <v>201</v>
      </c>
      <c r="G138" s="119" t="s">
        <v>1182</v>
      </c>
      <c r="H138" s="119" t="s">
        <v>938</v>
      </c>
      <c r="I138" s="117" t="s">
        <v>1060</v>
      </c>
      <c r="J138" s="117" t="s">
        <v>1176</v>
      </c>
      <c r="K138" s="117" t="s">
        <v>215</v>
      </c>
      <c r="L138" s="117" t="s">
        <v>1155</v>
      </c>
      <c r="M138" s="111"/>
      <c r="N138" s="120">
        <v>41337</v>
      </c>
      <c r="O138" s="140">
        <v>4615.76</v>
      </c>
      <c r="P138" s="227">
        <f t="shared" si="2"/>
        <v>2360.0006135502576</v>
      </c>
      <c r="Q138" s="107">
        <v>115.39</v>
      </c>
      <c r="R138" s="107">
        <v>0</v>
      </c>
      <c r="S138" s="231"/>
      <c r="T138" s="236"/>
      <c r="U138" s="236"/>
    </row>
    <row r="139" spans="1:21" ht="57.6" x14ac:dyDescent="0.3">
      <c r="A139" s="117">
        <v>137</v>
      </c>
      <c r="B139" s="131">
        <v>504</v>
      </c>
      <c r="C139" s="111">
        <v>16</v>
      </c>
      <c r="D139" s="111">
        <v>4</v>
      </c>
      <c r="E139" s="118" t="s">
        <v>1353</v>
      </c>
      <c r="F139" s="118" t="s">
        <v>201</v>
      </c>
      <c r="G139" s="119" t="s">
        <v>1182</v>
      </c>
      <c r="H139" s="119" t="s">
        <v>938</v>
      </c>
      <c r="I139" s="117" t="s">
        <v>1060</v>
      </c>
      <c r="J139" s="117" t="s">
        <v>1176</v>
      </c>
      <c r="K139" s="117" t="s">
        <v>1055</v>
      </c>
      <c r="L139" s="117" t="s">
        <v>1148</v>
      </c>
      <c r="M139" s="111"/>
      <c r="N139" s="120">
        <v>41337</v>
      </c>
      <c r="O139" s="140">
        <v>4615.76</v>
      </c>
      <c r="P139" s="227">
        <f t="shared" si="2"/>
        <v>2360.0006135502576</v>
      </c>
      <c r="Q139" s="107">
        <v>115.39</v>
      </c>
      <c r="R139" s="107">
        <v>0</v>
      </c>
      <c r="S139" s="231"/>
      <c r="T139" s="236"/>
      <c r="U139" s="236"/>
    </row>
    <row r="140" spans="1:21" ht="72" x14ac:dyDescent="0.3">
      <c r="A140" s="117">
        <v>138</v>
      </c>
      <c r="B140" s="131">
        <v>505</v>
      </c>
      <c r="C140" s="111">
        <v>1</v>
      </c>
      <c r="D140" s="111">
        <v>1</v>
      </c>
      <c r="E140" s="118" t="s">
        <v>1163</v>
      </c>
      <c r="F140" s="118" t="s">
        <v>190</v>
      </c>
      <c r="G140" s="119" t="s">
        <v>23</v>
      </c>
      <c r="H140" s="119" t="s">
        <v>935</v>
      </c>
      <c r="I140" s="117"/>
      <c r="J140" s="117"/>
      <c r="K140" s="117" t="s">
        <v>1063</v>
      </c>
      <c r="L140" s="117" t="s">
        <v>1149</v>
      </c>
      <c r="M140" s="111"/>
      <c r="N140" s="120">
        <v>41317</v>
      </c>
      <c r="O140" s="140">
        <v>1994.97</v>
      </c>
      <c r="P140" s="227">
        <f t="shared" si="2"/>
        <v>1020.01196423002</v>
      </c>
      <c r="Q140" s="107">
        <v>49.87</v>
      </c>
      <c r="R140" s="107">
        <v>0</v>
      </c>
      <c r="S140" s="231">
        <v>205</v>
      </c>
      <c r="T140" s="236"/>
      <c r="U140" s="236"/>
    </row>
    <row r="141" spans="1:21" ht="72" x14ac:dyDescent="0.3">
      <c r="A141" s="117">
        <v>139</v>
      </c>
      <c r="B141" s="131">
        <v>506</v>
      </c>
      <c r="C141" s="111">
        <v>10</v>
      </c>
      <c r="D141" s="111">
        <v>2</v>
      </c>
      <c r="E141" s="118" t="s">
        <v>1151</v>
      </c>
      <c r="F141" s="118" t="s">
        <v>43</v>
      </c>
      <c r="G141" s="119" t="s">
        <v>93</v>
      </c>
      <c r="H141" s="119" t="s">
        <v>940</v>
      </c>
      <c r="I141" s="117" t="s">
        <v>1064</v>
      </c>
      <c r="J141" s="117" t="s">
        <v>1085</v>
      </c>
      <c r="K141" s="117" t="s">
        <v>1059</v>
      </c>
      <c r="L141" s="117" t="s">
        <v>1150</v>
      </c>
      <c r="M141" s="111"/>
      <c r="N141" s="120">
        <v>41337</v>
      </c>
      <c r="O141" s="140">
        <v>20211</v>
      </c>
      <c r="P141" s="227">
        <f t="shared" si="2"/>
        <v>10333.720210856773</v>
      </c>
      <c r="Q141" s="107">
        <v>505.28</v>
      </c>
      <c r="R141" s="107">
        <v>0</v>
      </c>
      <c r="S141" s="231"/>
      <c r="T141" s="236"/>
      <c r="U141" s="236"/>
    </row>
    <row r="142" spans="1:21" ht="72" x14ac:dyDescent="0.3">
      <c r="A142" s="117">
        <v>140</v>
      </c>
      <c r="B142" s="131">
        <v>507</v>
      </c>
      <c r="C142" s="111">
        <v>6</v>
      </c>
      <c r="D142" s="111">
        <v>2</v>
      </c>
      <c r="E142" s="118" t="s">
        <v>1151</v>
      </c>
      <c r="F142" s="118" t="s">
        <v>115</v>
      </c>
      <c r="G142" s="119" t="s">
        <v>1221</v>
      </c>
      <c r="H142" s="119" t="s">
        <v>928</v>
      </c>
      <c r="I142" s="117"/>
      <c r="J142" s="117"/>
      <c r="K142" s="117" t="s">
        <v>1059</v>
      </c>
      <c r="L142" s="117" t="s">
        <v>1150</v>
      </c>
      <c r="M142" s="111"/>
      <c r="N142" s="120">
        <v>41338</v>
      </c>
      <c r="O142" s="140">
        <v>5214.24</v>
      </c>
      <c r="P142" s="227">
        <f t="shared" si="2"/>
        <v>2665.9985786085704</v>
      </c>
      <c r="Q142" s="107">
        <v>130.36000000000001</v>
      </c>
      <c r="R142" s="107">
        <v>0</v>
      </c>
      <c r="S142" s="231"/>
      <c r="T142" s="236"/>
      <c r="U142" s="236"/>
    </row>
    <row r="143" spans="1:21" ht="72" x14ac:dyDescent="0.3">
      <c r="A143" s="117">
        <v>141</v>
      </c>
      <c r="B143" s="131">
        <v>508</v>
      </c>
      <c r="C143" s="111">
        <v>8</v>
      </c>
      <c r="D143" s="111">
        <v>2</v>
      </c>
      <c r="E143" s="118" t="s">
        <v>1151</v>
      </c>
      <c r="F143" s="118" t="s">
        <v>194</v>
      </c>
      <c r="G143" s="119" t="s">
        <v>24</v>
      </c>
      <c r="H143" s="119" t="s">
        <v>941</v>
      </c>
      <c r="I143" s="117" t="s">
        <v>1087</v>
      </c>
      <c r="J143" s="117" t="s">
        <v>1229</v>
      </c>
      <c r="K143" s="117" t="s">
        <v>1063</v>
      </c>
      <c r="L143" s="117" t="s">
        <v>1149</v>
      </c>
      <c r="M143" s="111"/>
      <c r="N143" s="120">
        <v>41338</v>
      </c>
      <c r="O143" s="140">
        <v>10000.16</v>
      </c>
      <c r="P143" s="227">
        <f t="shared" si="2"/>
        <v>5113.0006186631763</v>
      </c>
      <c r="Q143" s="107">
        <v>250</v>
      </c>
      <c r="R143" s="107">
        <v>0</v>
      </c>
      <c r="S143" s="231">
        <f>P143*0.4</f>
        <v>2045.2002474652706</v>
      </c>
      <c r="T143" s="236"/>
      <c r="U143" s="236"/>
    </row>
    <row r="144" spans="1:21" ht="72" x14ac:dyDescent="0.3">
      <c r="A144" s="117">
        <v>142</v>
      </c>
      <c r="B144" s="131">
        <v>509</v>
      </c>
      <c r="C144" s="111">
        <v>1</v>
      </c>
      <c r="D144" s="111">
        <v>1</v>
      </c>
      <c r="E144" s="118" t="s">
        <v>1163</v>
      </c>
      <c r="F144" s="118" t="s">
        <v>190</v>
      </c>
      <c r="G144" s="119" t="s">
        <v>15</v>
      </c>
      <c r="H144" s="119" t="s">
        <v>915</v>
      </c>
      <c r="I144" s="117" t="s">
        <v>6</v>
      </c>
      <c r="J144" s="117" t="s">
        <v>1050</v>
      </c>
      <c r="K144" s="117" t="s">
        <v>1059</v>
      </c>
      <c r="L144" s="117" t="s">
        <v>1150</v>
      </c>
      <c r="M144" s="111"/>
      <c r="N144" s="120">
        <v>41338</v>
      </c>
      <c r="O144" s="140">
        <v>9974.73</v>
      </c>
      <c r="P144" s="227">
        <f t="shared" si="2"/>
        <v>5099.9984661243561</v>
      </c>
      <c r="Q144" s="107">
        <v>249.37</v>
      </c>
      <c r="R144" s="107">
        <v>0</v>
      </c>
      <c r="S144" s="231"/>
      <c r="T144" s="236"/>
      <c r="U144" s="236"/>
    </row>
    <row r="145" spans="1:21" ht="72" x14ac:dyDescent="0.3">
      <c r="A145" s="117">
        <v>143</v>
      </c>
      <c r="B145" s="131">
        <v>510</v>
      </c>
      <c r="C145" s="111">
        <v>8</v>
      </c>
      <c r="D145" s="111">
        <v>2</v>
      </c>
      <c r="E145" s="118" t="s">
        <v>1151</v>
      </c>
      <c r="F145" s="118" t="s">
        <v>194</v>
      </c>
      <c r="G145" s="119" t="s">
        <v>24</v>
      </c>
      <c r="H145" s="119" t="s">
        <v>941</v>
      </c>
      <c r="I145" s="117" t="s">
        <v>1087</v>
      </c>
      <c r="J145" s="117" t="s">
        <v>1229</v>
      </c>
      <c r="K145" s="117" t="s">
        <v>1059</v>
      </c>
      <c r="L145" s="117" t="s">
        <v>1150</v>
      </c>
      <c r="M145" s="111"/>
      <c r="N145" s="120">
        <v>41338</v>
      </c>
      <c r="O145" s="140">
        <v>10000.16</v>
      </c>
      <c r="P145" s="227">
        <f t="shared" si="2"/>
        <v>5113.0006186631763</v>
      </c>
      <c r="Q145" s="107">
        <v>250</v>
      </c>
      <c r="R145" s="107">
        <v>0</v>
      </c>
      <c r="S145" s="231"/>
      <c r="T145" s="236"/>
      <c r="U145" s="236"/>
    </row>
    <row r="146" spans="1:21" ht="72" x14ac:dyDescent="0.3">
      <c r="A146" s="117">
        <v>144</v>
      </c>
      <c r="B146" s="131">
        <v>511</v>
      </c>
      <c r="C146" s="111">
        <v>1</v>
      </c>
      <c r="D146" s="111">
        <v>1</v>
      </c>
      <c r="E146" s="118" t="s">
        <v>1163</v>
      </c>
      <c r="F146" s="118" t="s">
        <v>190</v>
      </c>
      <c r="G146" s="119" t="s">
        <v>15</v>
      </c>
      <c r="H146" s="119" t="s">
        <v>915</v>
      </c>
      <c r="I146" s="117" t="s">
        <v>6</v>
      </c>
      <c r="J146" s="117" t="s">
        <v>1050</v>
      </c>
      <c r="K146" s="117" t="s">
        <v>1067</v>
      </c>
      <c r="L146" s="117" t="s">
        <v>1150</v>
      </c>
      <c r="M146" s="111"/>
      <c r="N146" s="120">
        <v>41338</v>
      </c>
      <c r="O146" s="140">
        <v>9974.73</v>
      </c>
      <c r="P146" s="227">
        <f t="shared" si="2"/>
        <v>5099.9984661243561</v>
      </c>
      <c r="Q146" s="107">
        <v>249.37</v>
      </c>
      <c r="R146" s="107">
        <v>0</v>
      </c>
      <c r="S146" s="231"/>
      <c r="T146" s="236"/>
      <c r="U146" s="236"/>
    </row>
    <row r="147" spans="1:21" ht="72" x14ac:dyDescent="0.3">
      <c r="A147" s="117">
        <v>145</v>
      </c>
      <c r="B147" s="131">
        <v>512</v>
      </c>
      <c r="C147" s="111">
        <v>1</v>
      </c>
      <c r="D147" s="111">
        <v>1</v>
      </c>
      <c r="E147" s="118" t="s">
        <v>1163</v>
      </c>
      <c r="F147" s="118" t="s">
        <v>190</v>
      </c>
      <c r="G147" s="119" t="s">
        <v>15</v>
      </c>
      <c r="H147" s="119" t="s">
        <v>915</v>
      </c>
      <c r="I147" s="117" t="s">
        <v>6</v>
      </c>
      <c r="J147" s="117" t="s">
        <v>1050</v>
      </c>
      <c r="K147" s="117" t="s">
        <v>1059</v>
      </c>
      <c r="L147" s="117" t="s">
        <v>1150</v>
      </c>
      <c r="M147" s="111"/>
      <c r="N147" s="120">
        <v>41338</v>
      </c>
      <c r="O147" s="140">
        <v>9974.73</v>
      </c>
      <c r="P147" s="227">
        <f t="shared" si="2"/>
        <v>5099.9984661243561</v>
      </c>
      <c r="Q147" s="107">
        <v>249.37</v>
      </c>
      <c r="R147" s="107">
        <v>0</v>
      </c>
      <c r="S147" s="231"/>
      <c r="T147" s="236"/>
      <c r="U147" s="236"/>
    </row>
    <row r="148" spans="1:21" ht="57.6" x14ac:dyDescent="0.3">
      <c r="A148" s="117">
        <v>146</v>
      </c>
      <c r="B148" s="131">
        <v>513</v>
      </c>
      <c r="C148" s="111">
        <v>18</v>
      </c>
      <c r="D148" s="111">
        <v>4</v>
      </c>
      <c r="E148" s="118" t="s">
        <v>1353</v>
      </c>
      <c r="F148" s="118" t="s">
        <v>1157</v>
      </c>
      <c r="G148" s="119" t="s">
        <v>1166</v>
      </c>
      <c r="H148" s="119" t="s">
        <v>942</v>
      </c>
      <c r="I148" s="117" t="s">
        <v>1167</v>
      </c>
      <c r="J148" s="117"/>
      <c r="K148" s="117" t="s">
        <v>1059</v>
      </c>
      <c r="L148" s="117" t="s">
        <v>1150</v>
      </c>
      <c r="M148" s="111"/>
      <c r="N148" s="120">
        <v>41337</v>
      </c>
      <c r="O148" s="140">
        <v>2500</v>
      </c>
      <c r="P148" s="227">
        <f t="shared" si="2"/>
        <v>1278.2297029905462</v>
      </c>
      <c r="Q148" s="107">
        <v>62.5</v>
      </c>
      <c r="R148" s="107">
        <v>0</v>
      </c>
      <c r="S148" s="231"/>
      <c r="T148" s="236"/>
      <c r="U148" s="236"/>
    </row>
    <row r="149" spans="1:21" ht="57.6" x14ac:dyDescent="0.3">
      <c r="A149" s="117">
        <v>147</v>
      </c>
      <c r="B149" s="131">
        <v>514</v>
      </c>
      <c r="C149" s="111">
        <v>18</v>
      </c>
      <c r="D149" s="111">
        <v>4</v>
      </c>
      <c r="E149" s="118" t="s">
        <v>1353</v>
      </c>
      <c r="F149" s="118" t="s">
        <v>1157</v>
      </c>
      <c r="G149" s="119" t="s">
        <v>1166</v>
      </c>
      <c r="H149" s="119" t="s">
        <v>942</v>
      </c>
      <c r="I149" s="117" t="s">
        <v>1167</v>
      </c>
      <c r="J149" s="117"/>
      <c r="K149" s="117" t="s">
        <v>1057</v>
      </c>
      <c r="L149" s="117" t="s">
        <v>1154</v>
      </c>
      <c r="M149" s="111"/>
      <c r="N149" s="120">
        <v>41337</v>
      </c>
      <c r="O149" s="140">
        <v>2500</v>
      </c>
      <c r="P149" s="227">
        <f t="shared" si="2"/>
        <v>1278.2297029905462</v>
      </c>
      <c r="Q149" s="107">
        <v>62.5</v>
      </c>
      <c r="R149" s="107">
        <v>0</v>
      </c>
      <c r="S149" s="231"/>
      <c r="T149" s="236"/>
      <c r="U149" s="236"/>
    </row>
    <row r="150" spans="1:21" ht="57.6" x14ac:dyDescent="0.3">
      <c r="A150" s="117">
        <v>148</v>
      </c>
      <c r="B150" s="131">
        <v>515</v>
      </c>
      <c r="C150" s="111">
        <v>18</v>
      </c>
      <c r="D150" s="111">
        <v>4</v>
      </c>
      <c r="E150" s="118" t="s">
        <v>1353</v>
      </c>
      <c r="F150" s="118" t="s">
        <v>1157</v>
      </c>
      <c r="G150" s="119" t="s">
        <v>1166</v>
      </c>
      <c r="H150" s="119" t="s">
        <v>942</v>
      </c>
      <c r="I150" s="117" t="s">
        <v>1167</v>
      </c>
      <c r="J150" s="117"/>
      <c r="K150" s="117" t="s">
        <v>1059</v>
      </c>
      <c r="L150" s="117" t="s">
        <v>1150</v>
      </c>
      <c r="M150" s="111"/>
      <c r="N150" s="120"/>
      <c r="O150" s="140">
        <v>2500</v>
      </c>
      <c r="P150" s="227">
        <f t="shared" si="2"/>
        <v>1278.2297029905462</v>
      </c>
      <c r="Q150" s="107">
        <v>62.5</v>
      </c>
      <c r="R150" s="107">
        <v>0</v>
      </c>
      <c r="S150" s="231"/>
      <c r="T150" s="236"/>
      <c r="U150" s="236"/>
    </row>
    <row r="151" spans="1:21" ht="57.6" x14ac:dyDescent="0.3">
      <c r="A151" s="117">
        <v>149</v>
      </c>
      <c r="B151" s="131">
        <v>516</v>
      </c>
      <c r="C151" s="111">
        <v>18</v>
      </c>
      <c r="D151" s="111">
        <v>4</v>
      </c>
      <c r="E151" s="118" t="s">
        <v>1353</v>
      </c>
      <c r="F151" s="118" t="s">
        <v>1157</v>
      </c>
      <c r="G151" s="119" t="s">
        <v>1166</v>
      </c>
      <c r="H151" s="119" t="s">
        <v>942</v>
      </c>
      <c r="I151" s="117" t="s">
        <v>1167</v>
      </c>
      <c r="J151" s="117"/>
      <c r="K151" s="117" t="s">
        <v>1059</v>
      </c>
      <c r="L151" s="117" t="s">
        <v>1150</v>
      </c>
      <c r="M151" s="111"/>
      <c r="N151" s="120">
        <v>41337</v>
      </c>
      <c r="O151" s="140">
        <v>2500</v>
      </c>
      <c r="P151" s="227">
        <f t="shared" si="2"/>
        <v>1278.2297029905462</v>
      </c>
      <c r="Q151" s="107">
        <v>62.5</v>
      </c>
      <c r="R151" s="107">
        <v>0</v>
      </c>
      <c r="S151" s="231"/>
      <c r="T151" s="236"/>
      <c r="U151" s="236"/>
    </row>
    <row r="152" spans="1:21" ht="57.6" x14ac:dyDescent="0.3">
      <c r="A152" s="117">
        <v>150</v>
      </c>
      <c r="B152" s="131">
        <v>517</v>
      </c>
      <c r="C152" s="111">
        <v>18</v>
      </c>
      <c r="D152" s="111">
        <v>4</v>
      </c>
      <c r="E152" s="118" t="s">
        <v>1353</v>
      </c>
      <c r="F152" s="118" t="s">
        <v>1157</v>
      </c>
      <c r="G152" s="119" t="s">
        <v>1166</v>
      </c>
      <c r="H152" s="119" t="s">
        <v>942</v>
      </c>
      <c r="I152" s="117" t="s">
        <v>1167</v>
      </c>
      <c r="J152" s="117"/>
      <c r="K152" s="117" t="s">
        <v>1056</v>
      </c>
      <c r="L152" s="117" t="s">
        <v>1153</v>
      </c>
      <c r="M152" s="111"/>
      <c r="N152" s="120">
        <v>41337</v>
      </c>
      <c r="O152" s="140">
        <v>2500</v>
      </c>
      <c r="P152" s="227">
        <f t="shared" si="2"/>
        <v>1278.2297029905462</v>
      </c>
      <c r="Q152" s="107">
        <v>62.5</v>
      </c>
      <c r="R152" s="107">
        <v>0</v>
      </c>
      <c r="S152" s="231"/>
      <c r="T152" s="236"/>
      <c r="U152" s="236"/>
    </row>
    <row r="153" spans="1:21" ht="57.6" x14ac:dyDescent="0.3">
      <c r="A153" s="117">
        <v>151</v>
      </c>
      <c r="B153" s="131">
        <v>519</v>
      </c>
      <c r="C153" s="111">
        <v>18</v>
      </c>
      <c r="D153" s="111">
        <v>4</v>
      </c>
      <c r="E153" s="118" t="s">
        <v>1353</v>
      </c>
      <c r="F153" s="118" t="s">
        <v>1157</v>
      </c>
      <c r="G153" s="119" t="s">
        <v>1165</v>
      </c>
      <c r="H153" s="119" t="s">
        <v>943</v>
      </c>
      <c r="I153" s="117" t="s">
        <v>1168</v>
      </c>
      <c r="J153" s="117"/>
      <c r="K153" s="117" t="s">
        <v>1059</v>
      </c>
      <c r="L153" s="117" t="s">
        <v>1150</v>
      </c>
      <c r="M153" s="111"/>
      <c r="N153" s="120">
        <v>41337</v>
      </c>
      <c r="O153" s="140">
        <v>3520.49</v>
      </c>
      <c r="P153" s="227">
        <f t="shared" si="2"/>
        <v>1799.9979548324752</v>
      </c>
      <c r="Q153" s="107">
        <v>88.01</v>
      </c>
      <c r="R153" s="107">
        <v>0</v>
      </c>
      <c r="S153" s="231"/>
      <c r="T153" s="236"/>
      <c r="U153" s="236"/>
    </row>
    <row r="154" spans="1:21" ht="158.4" x14ac:dyDescent="0.3">
      <c r="A154" s="117">
        <v>152</v>
      </c>
      <c r="B154" s="131">
        <v>520</v>
      </c>
      <c r="C154" s="111">
        <v>55</v>
      </c>
      <c r="D154" s="111">
        <v>6</v>
      </c>
      <c r="E154" s="118" t="s">
        <v>1158</v>
      </c>
      <c r="F154" s="118" t="s">
        <v>1156</v>
      </c>
      <c r="G154" s="119" t="s">
        <v>582</v>
      </c>
      <c r="H154" s="119" t="s">
        <v>944</v>
      </c>
      <c r="I154" s="117"/>
      <c r="J154" s="117"/>
      <c r="K154" s="117" t="s">
        <v>1089</v>
      </c>
      <c r="L154" s="117" t="s">
        <v>1149</v>
      </c>
      <c r="M154" s="111"/>
      <c r="N154" s="120">
        <v>41338</v>
      </c>
      <c r="O154" s="140">
        <v>155003.44</v>
      </c>
      <c r="P154" s="227">
        <f t="shared" si="2"/>
        <v>79252.000429485182</v>
      </c>
      <c r="Q154" s="107">
        <v>3875.09</v>
      </c>
      <c r="R154" s="107">
        <v>0</v>
      </c>
      <c r="S154" s="235">
        <v>39626</v>
      </c>
      <c r="T154" s="236"/>
      <c r="U154" s="236"/>
    </row>
    <row r="155" spans="1:21" ht="57.6" x14ac:dyDescent="0.3">
      <c r="A155" s="117">
        <v>153</v>
      </c>
      <c r="B155" s="131">
        <v>521</v>
      </c>
      <c r="C155" s="111">
        <v>18</v>
      </c>
      <c r="D155" s="111">
        <v>4</v>
      </c>
      <c r="E155" s="118" t="s">
        <v>1353</v>
      </c>
      <c r="F155" s="118" t="s">
        <v>1157</v>
      </c>
      <c r="G155" s="119" t="s">
        <v>1166</v>
      </c>
      <c r="H155" s="119" t="s">
        <v>942</v>
      </c>
      <c r="I155" s="117" t="s">
        <v>1167</v>
      </c>
      <c r="J155" s="117"/>
      <c r="K155" s="117" t="s">
        <v>1059</v>
      </c>
      <c r="L155" s="117" t="s">
        <v>1150</v>
      </c>
      <c r="M155" s="111"/>
      <c r="N155" s="120">
        <v>41337</v>
      </c>
      <c r="O155" s="140">
        <v>2500</v>
      </c>
      <c r="P155" s="227">
        <f t="shared" si="2"/>
        <v>1278.2297029905462</v>
      </c>
      <c r="Q155" s="107">
        <v>62.5</v>
      </c>
      <c r="R155" s="107">
        <v>0</v>
      </c>
      <c r="S155" s="231"/>
      <c r="T155" s="236"/>
      <c r="U155" s="236"/>
    </row>
    <row r="156" spans="1:21" ht="57.6" x14ac:dyDescent="0.3">
      <c r="A156" s="117">
        <v>154</v>
      </c>
      <c r="B156" s="131">
        <v>522</v>
      </c>
      <c r="C156" s="111">
        <v>16</v>
      </c>
      <c r="D156" s="111">
        <v>4</v>
      </c>
      <c r="E156" s="118" t="s">
        <v>1353</v>
      </c>
      <c r="F156" s="118" t="s">
        <v>201</v>
      </c>
      <c r="G156" s="119" t="s">
        <v>1177</v>
      </c>
      <c r="H156" s="119" t="s">
        <v>945</v>
      </c>
      <c r="I156" s="117" t="s">
        <v>1060</v>
      </c>
      <c r="J156" s="117" t="s">
        <v>1176</v>
      </c>
      <c r="K156" s="117" t="s">
        <v>1066</v>
      </c>
      <c r="L156" s="117" t="s">
        <v>1149</v>
      </c>
      <c r="M156" s="111"/>
      <c r="N156" s="120">
        <v>41365</v>
      </c>
      <c r="O156" s="140">
        <v>1538</v>
      </c>
      <c r="P156" s="227">
        <f t="shared" si="2"/>
        <v>786.36691327978406</v>
      </c>
      <c r="Q156" s="107">
        <v>38.450000000000003</v>
      </c>
      <c r="R156" s="107">
        <v>0</v>
      </c>
      <c r="S156" s="231">
        <f>P156*0.4</f>
        <v>314.54676531191365</v>
      </c>
      <c r="T156" s="236"/>
      <c r="U156" s="236"/>
    </row>
    <row r="157" spans="1:21" ht="57.6" x14ac:dyDescent="0.3">
      <c r="A157" s="117">
        <v>155</v>
      </c>
      <c r="B157" s="131">
        <v>523</v>
      </c>
      <c r="C157" s="111">
        <v>18</v>
      </c>
      <c r="D157" s="111">
        <v>4</v>
      </c>
      <c r="E157" s="118" t="s">
        <v>1353</v>
      </c>
      <c r="F157" s="118" t="s">
        <v>1157</v>
      </c>
      <c r="G157" s="119" t="s">
        <v>1165</v>
      </c>
      <c r="H157" s="119" t="s">
        <v>942</v>
      </c>
      <c r="I157" s="117" t="s">
        <v>1168</v>
      </c>
      <c r="J157" s="117"/>
      <c r="K157" s="117" t="s">
        <v>1066</v>
      </c>
      <c r="L157" s="117" t="s">
        <v>1149</v>
      </c>
      <c r="M157" s="111"/>
      <c r="N157" s="120">
        <v>41337</v>
      </c>
      <c r="O157" s="140">
        <v>3520.49</v>
      </c>
      <c r="P157" s="227">
        <f t="shared" si="2"/>
        <v>1799.9979548324752</v>
      </c>
      <c r="Q157" s="107">
        <v>88.01</v>
      </c>
      <c r="R157" s="107">
        <v>0</v>
      </c>
      <c r="S157" s="235">
        <v>360</v>
      </c>
      <c r="T157" s="236"/>
      <c r="U157" s="236"/>
    </row>
    <row r="158" spans="1:21" ht="57.6" x14ac:dyDescent="0.3">
      <c r="A158" s="117">
        <v>156</v>
      </c>
      <c r="B158" s="131">
        <v>524</v>
      </c>
      <c r="C158" s="111">
        <v>16</v>
      </c>
      <c r="D158" s="111">
        <v>4</v>
      </c>
      <c r="E158" s="118" t="s">
        <v>1353</v>
      </c>
      <c r="F158" s="118" t="s">
        <v>201</v>
      </c>
      <c r="G158" s="119" t="s">
        <v>1177</v>
      </c>
      <c r="H158" s="119" t="s">
        <v>945</v>
      </c>
      <c r="I158" s="117" t="s">
        <v>1060</v>
      </c>
      <c r="J158" s="117" t="s">
        <v>1176</v>
      </c>
      <c r="K158" s="117" t="s">
        <v>1066</v>
      </c>
      <c r="L158" s="117" t="s">
        <v>1149</v>
      </c>
      <c r="M158" s="111"/>
      <c r="N158" s="120">
        <v>41365</v>
      </c>
      <c r="O158" s="140">
        <v>1538</v>
      </c>
      <c r="P158" s="227">
        <f t="shared" si="2"/>
        <v>786.36691327978406</v>
      </c>
      <c r="Q158" s="107">
        <v>38.450000000000003</v>
      </c>
      <c r="R158" s="107">
        <v>0</v>
      </c>
      <c r="S158" s="231">
        <f t="shared" ref="S158:S165" si="3">P158*0.4</f>
        <v>314.54676531191365</v>
      </c>
      <c r="T158" s="236"/>
      <c r="U158" s="236"/>
    </row>
    <row r="159" spans="1:21" ht="57.6" x14ac:dyDescent="0.3">
      <c r="A159" s="117">
        <v>157</v>
      </c>
      <c r="B159" s="131">
        <v>525</v>
      </c>
      <c r="C159" s="111">
        <v>16</v>
      </c>
      <c r="D159" s="111">
        <v>4</v>
      </c>
      <c r="E159" s="118" t="s">
        <v>1353</v>
      </c>
      <c r="F159" s="118" t="s">
        <v>201</v>
      </c>
      <c r="G159" s="119" t="s">
        <v>1177</v>
      </c>
      <c r="H159" s="119" t="s">
        <v>945</v>
      </c>
      <c r="I159" s="117" t="s">
        <v>1060</v>
      </c>
      <c r="J159" s="117" t="s">
        <v>1176</v>
      </c>
      <c r="K159" s="117" t="s">
        <v>1066</v>
      </c>
      <c r="L159" s="117" t="s">
        <v>1149</v>
      </c>
      <c r="M159" s="111"/>
      <c r="N159" s="120">
        <v>41365</v>
      </c>
      <c r="O159" s="140">
        <v>1538</v>
      </c>
      <c r="P159" s="227">
        <f t="shared" si="2"/>
        <v>786.36691327978406</v>
      </c>
      <c r="Q159" s="107">
        <v>38.450000000000003</v>
      </c>
      <c r="R159" s="107">
        <v>0</v>
      </c>
      <c r="S159" s="231">
        <f t="shared" si="3"/>
        <v>314.54676531191365</v>
      </c>
      <c r="T159" s="236"/>
      <c r="U159" s="236"/>
    </row>
    <row r="160" spans="1:21" ht="57.6" x14ac:dyDescent="0.3">
      <c r="A160" s="117">
        <v>158</v>
      </c>
      <c r="B160" s="131">
        <v>526</v>
      </c>
      <c r="C160" s="111">
        <v>16</v>
      </c>
      <c r="D160" s="111">
        <v>4</v>
      </c>
      <c r="E160" s="118" t="s">
        <v>1353</v>
      </c>
      <c r="F160" s="118" t="s">
        <v>201</v>
      </c>
      <c r="G160" s="119" t="s">
        <v>1177</v>
      </c>
      <c r="H160" s="119" t="s">
        <v>945</v>
      </c>
      <c r="I160" s="117" t="s">
        <v>1060</v>
      </c>
      <c r="J160" s="117" t="s">
        <v>1176</v>
      </c>
      <c r="K160" s="117" t="s">
        <v>1063</v>
      </c>
      <c r="L160" s="117" t="s">
        <v>1149</v>
      </c>
      <c r="M160" s="111"/>
      <c r="N160" s="120">
        <v>41365</v>
      </c>
      <c r="O160" s="140">
        <v>1538</v>
      </c>
      <c r="P160" s="227">
        <f t="shared" si="2"/>
        <v>786.36691327978406</v>
      </c>
      <c r="Q160" s="107">
        <v>38.450000000000003</v>
      </c>
      <c r="R160" s="107">
        <v>0</v>
      </c>
      <c r="S160" s="231">
        <f t="shared" si="3"/>
        <v>314.54676531191365</v>
      </c>
      <c r="T160" s="236"/>
      <c r="U160" s="236"/>
    </row>
    <row r="161" spans="1:21" ht="57.6" x14ac:dyDescent="0.3">
      <c r="A161" s="117">
        <v>159</v>
      </c>
      <c r="B161" s="131">
        <v>527</v>
      </c>
      <c r="C161" s="111">
        <v>16</v>
      </c>
      <c r="D161" s="111">
        <v>4</v>
      </c>
      <c r="E161" s="118" t="s">
        <v>1353</v>
      </c>
      <c r="F161" s="118" t="s">
        <v>201</v>
      </c>
      <c r="G161" s="119" t="s">
        <v>1177</v>
      </c>
      <c r="H161" s="119" t="s">
        <v>945</v>
      </c>
      <c r="I161" s="117" t="s">
        <v>1060</v>
      </c>
      <c r="J161" s="117" t="s">
        <v>1176</v>
      </c>
      <c r="K161" s="117" t="s">
        <v>1066</v>
      </c>
      <c r="L161" s="117" t="s">
        <v>1149</v>
      </c>
      <c r="M161" s="111"/>
      <c r="N161" s="120">
        <v>41365</v>
      </c>
      <c r="O161" s="140">
        <v>1538</v>
      </c>
      <c r="P161" s="227">
        <f t="shared" si="2"/>
        <v>786.36691327978406</v>
      </c>
      <c r="Q161" s="107">
        <v>38.450000000000003</v>
      </c>
      <c r="R161" s="107">
        <v>0</v>
      </c>
      <c r="S161" s="231">
        <f t="shared" si="3"/>
        <v>314.54676531191365</v>
      </c>
      <c r="T161" s="236"/>
      <c r="U161" s="236"/>
    </row>
    <row r="162" spans="1:21" ht="57.6" x14ac:dyDescent="0.3">
      <c r="A162" s="117">
        <v>160</v>
      </c>
      <c r="B162" s="131">
        <v>528</v>
      </c>
      <c r="C162" s="111">
        <v>16</v>
      </c>
      <c r="D162" s="111">
        <v>4</v>
      </c>
      <c r="E162" s="118" t="s">
        <v>1353</v>
      </c>
      <c r="F162" s="118" t="s">
        <v>201</v>
      </c>
      <c r="G162" s="119" t="s">
        <v>1177</v>
      </c>
      <c r="H162" s="119" t="s">
        <v>945</v>
      </c>
      <c r="I162" s="117" t="s">
        <v>1060</v>
      </c>
      <c r="J162" s="117" t="s">
        <v>1176</v>
      </c>
      <c r="K162" s="117" t="s">
        <v>1066</v>
      </c>
      <c r="L162" s="117" t="s">
        <v>1149</v>
      </c>
      <c r="M162" s="111"/>
      <c r="N162" s="120">
        <v>41365</v>
      </c>
      <c r="O162" s="140">
        <v>1538</v>
      </c>
      <c r="P162" s="227">
        <f t="shared" si="2"/>
        <v>786.36691327978406</v>
      </c>
      <c r="Q162" s="107">
        <v>38.450000000000003</v>
      </c>
      <c r="R162" s="107">
        <v>0</v>
      </c>
      <c r="S162" s="231">
        <f t="shared" si="3"/>
        <v>314.54676531191365</v>
      </c>
      <c r="T162" s="236"/>
      <c r="U162" s="236"/>
    </row>
    <row r="163" spans="1:21" ht="57.6" x14ac:dyDescent="0.3">
      <c r="A163" s="117">
        <v>161</v>
      </c>
      <c r="B163" s="131">
        <v>529</v>
      </c>
      <c r="C163" s="111">
        <v>16</v>
      </c>
      <c r="D163" s="111">
        <v>4</v>
      </c>
      <c r="E163" s="118" t="s">
        <v>1353</v>
      </c>
      <c r="F163" s="118" t="s">
        <v>201</v>
      </c>
      <c r="G163" s="119" t="s">
        <v>1177</v>
      </c>
      <c r="H163" s="119" t="s">
        <v>945</v>
      </c>
      <c r="I163" s="117" t="s">
        <v>1060</v>
      </c>
      <c r="J163" s="117" t="s">
        <v>1176</v>
      </c>
      <c r="K163" s="117" t="s">
        <v>1066</v>
      </c>
      <c r="L163" s="117" t="s">
        <v>1149</v>
      </c>
      <c r="M163" s="111"/>
      <c r="N163" s="120">
        <v>41365</v>
      </c>
      <c r="O163" s="140">
        <v>1538</v>
      </c>
      <c r="P163" s="227">
        <f t="shared" si="2"/>
        <v>786.36691327978406</v>
      </c>
      <c r="Q163" s="107">
        <v>38.450000000000003</v>
      </c>
      <c r="R163" s="107">
        <v>0</v>
      </c>
      <c r="S163" s="231">
        <f t="shared" si="3"/>
        <v>314.54676531191365</v>
      </c>
      <c r="T163" s="236"/>
      <c r="U163" s="236"/>
    </row>
    <row r="164" spans="1:21" ht="57.6" x14ac:dyDescent="0.3">
      <c r="A164" s="117">
        <v>162</v>
      </c>
      <c r="B164" s="131">
        <v>530</v>
      </c>
      <c r="C164" s="111">
        <v>16</v>
      </c>
      <c r="D164" s="111">
        <v>4</v>
      </c>
      <c r="E164" s="118" t="s">
        <v>1353</v>
      </c>
      <c r="F164" s="118" t="s">
        <v>201</v>
      </c>
      <c r="G164" s="119" t="s">
        <v>1177</v>
      </c>
      <c r="H164" s="119" t="s">
        <v>945</v>
      </c>
      <c r="I164" s="117" t="s">
        <v>1060</v>
      </c>
      <c r="J164" s="117" t="s">
        <v>1176</v>
      </c>
      <c r="K164" s="117" t="s">
        <v>1063</v>
      </c>
      <c r="L164" s="117" t="s">
        <v>1149</v>
      </c>
      <c r="M164" s="111"/>
      <c r="N164" s="120">
        <v>41365</v>
      </c>
      <c r="O164" s="140">
        <v>1538</v>
      </c>
      <c r="P164" s="227">
        <f t="shared" si="2"/>
        <v>786.36691327978406</v>
      </c>
      <c r="Q164" s="107">
        <v>38.450000000000003</v>
      </c>
      <c r="R164" s="107">
        <v>0</v>
      </c>
      <c r="S164" s="231">
        <f t="shared" si="3"/>
        <v>314.54676531191365</v>
      </c>
      <c r="T164" s="236"/>
      <c r="U164" s="236"/>
    </row>
    <row r="165" spans="1:21" ht="57.6" x14ac:dyDescent="0.3">
      <c r="A165" s="117">
        <v>163</v>
      </c>
      <c r="B165" s="131">
        <v>531</v>
      </c>
      <c r="C165" s="111">
        <v>16</v>
      </c>
      <c r="D165" s="111">
        <v>4</v>
      </c>
      <c r="E165" s="118" t="s">
        <v>1353</v>
      </c>
      <c r="F165" s="118" t="s">
        <v>201</v>
      </c>
      <c r="G165" s="119" t="s">
        <v>1177</v>
      </c>
      <c r="H165" s="119" t="s">
        <v>945</v>
      </c>
      <c r="I165" s="117" t="s">
        <v>1060</v>
      </c>
      <c r="J165" s="117" t="s">
        <v>1176</v>
      </c>
      <c r="K165" s="117" t="s">
        <v>1063</v>
      </c>
      <c r="L165" s="117" t="s">
        <v>1149</v>
      </c>
      <c r="M165" s="111"/>
      <c r="N165" s="120">
        <v>41365</v>
      </c>
      <c r="O165" s="140">
        <v>1538</v>
      </c>
      <c r="P165" s="227">
        <f t="shared" si="2"/>
        <v>786.36691327978406</v>
      </c>
      <c r="Q165" s="107">
        <v>38.450000000000003</v>
      </c>
      <c r="R165" s="107">
        <v>0</v>
      </c>
      <c r="S165" s="231">
        <f t="shared" si="3"/>
        <v>314.54676531191365</v>
      </c>
      <c r="T165" s="236"/>
      <c r="U165" s="236"/>
    </row>
    <row r="166" spans="1:21" ht="72" x14ac:dyDescent="0.3">
      <c r="A166" s="117">
        <v>164</v>
      </c>
      <c r="B166" s="131">
        <v>532</v>
      </c>
      <c r="C166" s="111">
        <v>21</v>
      </c>
      <c r="D166" s="111">
        <v>2</v>
      </c>
      <c r="E166" s="118" t="s">
        <v>1151</v>
      </c>
      <c r="F166" s="118" t="s">
        <v>203</v>
      </c>
      <c r="G166" s="119" t="s">
        <v>26</v>
      </c>
      <c r="H166" s="119" t="s">
        <v>946</v>
      </c>
      <c r="I166" s="117" t="s">
        <v>1090</v>
      </c>
      <c r="J166" s="117"/>
      <c r="K166" s="117" t="s">
        <v>1055</v>
      </c>
      <c r="L166" s="117" t="s">
        <v>1148</v>
      </c>
      <c r="M166" s="111"/>
      <c r="N166" s="120">
        <v>41365</v>
      </c>
      <c r="O166" s="140">
        <v>78233.2</v>
      </c>
      <c r="P166" s="227">
        <f t="shared" si="2"/>
        <v>40000</v>
      </c>
      <c r="Q166" s="107">
        <v>1955.83</v>
      </c>
      <c r="R166" s="107">
        <v>0</v>
      </c>
      <c r="S166" s="231"/>
      <c r="T166" s="236"/>
      <c r="U166" s="236"/>
    </row>
    <row r="167" spans="1:21" ht="72" x14ac:dyDescent="0.3">
      <c r="A167" s="117">
        <v>165</v>
      </c>
      <c r="B167" s="131">
        <v>533</v>
      </c>
      <c r="C167" s="111">
        <v>1</v>
      </c>
      <c r="D167" s="111">
        <v>1</v>
      </c>
      <c r="E167" s="118" t="s">
        <v>1163</v>
      </c>
      <c r="F167" s="118" t="s">
        <v>190</v>
      </c>
      <c r="G167" s="119" t="s">
        <v>15</v>
      </c>
      <c r="H167" s="119" t="s">
        <v>915</v>
      </c>
      <c r="I167" s="117"/>
      <c r="J167" s="117" t="s">
        <v>1091</v>
      </c>
      <c r="K167" s="117" t="s">
        <v>1063</v>
      </c>
      <c r="L167" s="117" t="s">
        <v>1149</v>
      </c>
      <c r="M167" s="111"/>
      <c r="N167" s="120">
        <v>41394</v>
      </c>
      <c r="O167" s="140">
        <v>5965.28</v>
      </c>
      <c r="P167" s="227">
        <f t="shared" si="2"/>
        <v>3049.9992330621781</v>
      </c>
      <c r="Q167" s="107">
        <v>149.13</v>
      </c>
      <c r="R167" s="107">
        <v>0</v>
      </c>
      <c r="S167" s="231">
        <f>P167*0.4</f>
        <v>1219.9996932248712</v>
      </c>
      <c r="T167" s="236"/>
      <c r="U167" s="236"/>
    </row>
    <row r="168" spans="1:21" ht="72" x14ac:dyDescent="0.3">
      <c r="A168" s="117">
        <v>166</v>
      </c>
      <c r="B168" s="131">
        <v>534</v>
      </c>
      <c r="C168" s="111">
        <v>1</v>
      </c>
      <c r="D168" s="111">
        <v>1</v>
      </c>
      <c r="E168" s="118" t="s">
        <v>1163</v>
      </c>
      <c r="F168" s="118" t="s">
        <v>190</v>
      </c>
      <c r="G168" s="119" t="s">
        <v>15</v>
      </c>
      <c r="H168" s="119" t="s">
        <v>915</v>
      </c>
      <c r="I168" s="117" t="s">
        <v>6</v>
      </c>
      <c r="J168" s="117" t="s">
        <v>1050</v>
      </c>
      <c r="K168" s="117" t="s">
        <v>1063</v>
      </c>
      <c r="L168" s="117" t="s">
        <v>1149</v>
      </c>
      <c r="M168" s="111"/>
      <c r="N168" s="120">
        <v>41394</v>
      </c>
      <c r="O168" s="140">
        <v>4987.37</v>
      </c>
      <c r="P168" s="227">
        <f t="shared" si="2"/>
        <v>2550.0017895215842</v>
      </c>
      <c r="Q168" s="107">
        <v>124.68</v>
      </c>
      <c r="R168" s="107">
        <v>0</v>
      </c>
      <c r="S168" s="231">
        <f>P168*0.4</f>
        <v>1020.0007158086337</v>
      </c>
      <c r="T168" s="236"/>
      <c r="U168" s="236"/>
    </row>
    <row r="169" spans="1:21" ht="86.4" x14ac:dyDescent="0.3">
      <c r="A169" s="117">
        <v>167</v>
      </c>
      <c r="B169" s="131">
        <v>535</v>
      </c>
      <c r="C169" s="111">
        <v>1</v>
      </c>
      <c r="D169" s="111">
        <v>1</v>
      </c>
      <c r="E169" s="118" t="s">
        <v>1163</v>
      </c>
      <c r="F169" s="118" t="s">
        <v>190</v>
      </c>
      <c r="G169" s="119" t="s">
        <v>15</v>
      </c>
      <c r="H169" s="119" t="s">
        <v>915</v>
      </c>
      <c r="I169" s="117" t="s">
        <v>1092</v>
      </c>
      <c r="J169" s="117" t="s">
        <v>1093</v>
      </c>
      <c r="K169" s="117" t="s">
        <v>1059</v>
      </c>
      <c r="L169" s="117" t="s">
        <v>1150</v>
      </c>
      <c r="M169" s="111"/>
      <c r="N169" s="120">
        <v>41394</v>
      </c>
      <c r="O169" s="140">
        <v>6454.24</v>
      </c>
      <c r="P169" s="227">
        <f t="shared" si="2"/>
        <v>3300.0005112918811</v>
      </c>
      <c r="Q169" s="107">
        <v>161.36000000000001</v>
      </c>
      <c r="R169" s="107">
        <v>0</v>
      </c>
      <c r="S169" s="231"/>
      <c r="T169" s="236"/>
      <c r="U169" s="236"/>
    </row>
    <row r="170" spans="1:21" ht="72" x14ac:dyDescent="0.3">
      <c r="A170" s="117">
        <v>168</v>
      </c>
      <c r="B170" s="131">
        <v>536</v>
      </c>
      <c r="C170" s="111">
        <v>1</v>
      </c>
      <c r="D170" s="111">
        <v>1</v>
      </c>
      <c r="E170" s="118" t="s">
        <v>1163</v>
      </c>
      <c r="F170" s="118" t="s">
        <v>190</v>
      </c>
      <c r="G170" s="119" t="s">
        <v>15</v>
      </c>
      <c r="H170" s="119" t="s">
        <v>915</v>
      </c>
      <c r="I170" s="117" t="s">
        <v>6</v>
      </c>
      <c r="J170" s="117" t="s">
        <v>1050</v>
      </c>
      <c r="K170" s="117" t="s">
        <v>1063</v>
      </c>
      <c r="L170" s="117" t="s">
        <v>1149</v>
      </c>
      <c r="M170" s="111"/>
      <c r="N170" s="120">
        <v>41394</v>
      </c>
      <c r="O170" s="140">
        <v>6454.24</v>
      </c>
      <c r="P170" s="227">
        <f t="shared" si="2"/>
        <v>3300.0005112918811</v>
      </c>
      <c r="Q170" s="107">
        <v>161.36000000000001</v>
      </c>
      <c r="R170" s="107">
        <v>0</v>
      </c>
      <c r="S170" s="231">
        <f>P170*0.4</f>
        <v>1320.0002045167525</v>
      </c>
      <c r="T170" s="236"/>
      <c r="U170" s="236"/>
    </row>
    <row r="171" spans="1:21" ht="72" x14ac:dyDescent="0.3">
      <c r="A171" s="117">
        <v>169</v>
      </c>
      <c r="B171" s="131">
        <v>537</v>
      </c>
      <c r="C171" s="111">
        <v>1</v>
      </c>
      <c r="D171" s="111">
        <v>1</v>
      </c>
      <c r="E171" s="118" t="s">
        <v>1163</v>
      </c>
      <c r="F171" s="118" t="s">
        <v>190</v>
      </c>
      <c r="G171" s="119" t="s">
        <v>15</v>
      </c>
      <c r="H171" s="119" t="s">
        <v>915</v>
      </c>
      <c r="I171" s="117"/>
      <c r="J171" s="117" t="s">
        <v>1091</v>
      </c>
      <c r="K171" s="117" t="s">
        <v>1059</v>
      </c>
      <c r="L171" s="117" t="s">
        <v>1150</v>
      </c>
      <c r="M171" s="111"/>
      <c r="N171" s="120">
        <v>41394</v>
      </c>
      <c r="O171" s="140">
        <v>5965.28</v>
      </c>
      <c r="P171" s="227">
        <f t="shared" si="2"/>
        <v>3049.9992330621781</v>
      </c>
      <c r="Q171" s="107">
        <v>149.13</v>
      </c>
      <c r="R171" s="107">
        <v>0</v>
      </c>
      <c r="S171" s="231"/>
      <c r="T171" s="236"/>
      <c r="U171" s="236"/>
    </row>
    <row r="172" spans="1:21" ht="72" x14ac:dyDescent="0.3">
      <c r="A172" s="117">
        <v>170</v>
      </c>
      <c r="B172" s="131">
        <v>538</v>
      </c>
      <c r="C172" s="111">
        <v>20</v>
      </c>
      <c r="D172" s="111">
        <v>1</v>
      </c>
      <c r="E172" s="118" t="s">
        <v>1163</v>
      </c>
      <c r="F172" s="118" t="s">
        <v>44</v>
      </c>
      <c r="G172" s="119" t="s">
        <v>386</v>
      </c>
      <c r="H172" s="119" t="s">
        <v>947</v>
      </c>
      <c r="I172" s="117" t="s">
        <v>1288</v>
      </c>
      <c r="J172" s="117"/>
      <c r="K172" s="117" t="s">
        <v>1055</v>
      </c>
      <c r="L172" s="117" t="s">
        <v>1148</v>
      </c>
      <c r="M172" s="111"/>
      <c r="N172" s="120">
        <v>41372</v>
      </c>
      <c r="O172" s="140">
        <v>35639.14</v>
      </c>
      <c r="P172" s="227">
        <f t="shared" si="2"/>
        <v>18222.002934815398</v>
      </c>
      <c r="Q172" s="107">
        <v>890.98</v>
      </c>
      <c r="R172" s="107">
        <v>0</v>
      </c>
      <c r="S172" s="231"/>
      <c r="T172" s="236" t="s">
        <v>1529</v>
      </c>
      <c r="U172" s="236"/>
    </row>
    <row r="173" spans="1:21" ht="72" x14ac:dyDescent="0.3">
      <c r="A173" s="117">
        <v>171</v>
      </c>
      <c r="B173" s="131">
        <v>539</v>
      </c>
      <c r="C173" s="111">
        <v>29</v>
      </c>
      <c r="D173" s="111">
        <v>3</v>
      </c>
      <c r="E173" s="118" t="s">
        <v>1058</v>
      </c>
      <c r="F173" s="118" t="s">
        <v>206</v>
      </c>
      <c r="G173" s="119" t="s">
        <v>27</v>
      </c>
      <c r="H173" s="117" t="s">
        <v>948</v>
      </c>
      <c r="I173" s="117"/>
      <c r="J173" s="117"/>
      <c r="K173" s="117" t="s">
        <v>1059</v>
      </c>
      <c r="L173" s="117" t="s">
        <v>1150</v>
      </c>
      <c r="M173" s="111"/>
      <c r="N173" s="120">
        <v>41411</v>
      </c>
      <c r="O173" s="140">
        <v>26990</v>
      </c>
      <c r="P173" s="227">
        <f t="shared" si="2"/>
        <v>13799.767873485936</v>
      </c>
      <c r="Q173" s="107">
        <v>674.75</v>
      </c>
      <c r="R173" s="107">
        <v>0</v>
      </c>
      <c r="S173" s="231"/>
      <c r="T173" s="236"/>
      <c r="U173" s="236"/>
    </row>
    <row r="174" spans="1:21" ht="72" x14ac:dyDescent="0.3">
      <c r="A174" s="117">
        <v>172</v>
      </c>
      <c r="B174" s="131">
        <v>540</v>
      </c>
      <c r="C174" s="111">
        <v>29</v>
      </c>
      <c r="D174" s="111">
        <v>3</v>
      </c>
      <c r="E174" s="118" t="s">
        <v>1058</v>
      </c>
      <c r="F174" s="118" t="s">
        <v>206</v>
      </c>
      <c r="G174" s="119" t="s">
        <v>27</v>
      </c>
      <c r="H174" s="119" t="s">
        <v>948</v>
      </c>
      <c r="I174" s="117"/>
      <c r="J174" s="117"/>
      <c r="K174" s="117" t="s">
        <v>1059</v>
      </c>
      <c r="L174" s="117" t="s">
        <v>1150</v>
      </c>
      <c r="M174" s="111"/>
      <c r="N174" s="120">
        <v>41411</v>
      </c>
      <c r="O174" s="140">
        <v>26990</v>
      </c>
      <c r="P174" s="227">
        <f t="shared" si="2"/>
        <v>13799.767873485936</v>
      </c>
      <c r="Q174" s="107">
        <v>674.75</v>
      </c>
      <c r="R174" s="107">
        <v>0</v>
      </c>
      <c r="S174" s="231"/>
      <c r="T174" s="236"/>
      <c r="U174" s="236"/>
    </row>
    <row r="175" spans="1:21" ht="72" x14ac:dyDescent="0.3">
      <c r="A175" s="117">
        <v>173</v>
      </c>
      <c r="B175" s="131">
        <v>542</v>
      </c>
      <c r="C175" s="111">
        <v>14</v>
      </c>
      <c r="D175" s="111">
        <v>2</v>
      </c>
      <c r="E175" s="118" t="s">
        <v>1151</v>
      </c>
      <c r="F175" s="118" t="s">
        <v>199</v>
      </c>
      <c r="G175" s="119" t="s">
        <v>28</v>
      </c>
      <c r="H175" s="117" t="s">
        <v>949</v>
      </c>
      <c r="I175" s="117"/>
      <c r="J175" s="117"/>
      <c r="K175" s="117" t="s">
        <v>1066</v>
      </c>
      <c r="L175" s="117" t="s">
        <v>1149</v>
      </c>
      <c r="M175" s="111"/>
      <c r="N175" s="120">
        <v>41411</v>
      </c>
      <c r="O175" s="140">
        <v>55741</v>
      </c>
      <c r="P175" s="227">
        <f t="shared" si="2"/>
        <v>28499.920749758414</v>
      </c>
      <c r="Q175" s="107">
        <v>1393.53</v>
      </c>
      <c r="R175" s="107">
        <v>0</v>
      </c>
      <c r="S175" s="231">
        <f>P175*0.3</f>
        <v>8549.9762249275245</v>
      </c>
      <c r="T175" s="236"/>
      <c r="U175" s="236"/>
    </row>
    <row r="176" spans="1:21" ht="72" x14ac:dyDescent="0.3">
      <c r="A176" s="117">
        <v>174</v>
      </c>
      <c r="B176" s="131">
        <v>543</v>
      </c>
      <c r="C176" s="111">
        <v>54</v>
      </c>
      <c r="D176" s="111">
        <v>3</v>
      </c>
      <c r="E176" s="118" t="s">
        <v>1058</v>
      </c>
      <c r="F176" s="118" t="s">
        <v>621</v>
      </c>
      <c r="G176" s="119" t="s">
        <v>29</v>
      </c>
      <c r="H176" s="117" t="s">
        <v>950</v>
      </c>
      <c r="I176" s="117"/>
      <c r="J176" s="117"/>
      <c r="K176" s="117" t="s">
        <v>1059</v>
      </c>
      <c r="L176" s="117" t="s">
        <v>1150</v>
      </c>
      <c r="M176" s="111"/>
      <c r="N176" s="120">
        <v>41411</v>
      </c>
      <c r="O176" s="140">
        <v>10855</v>
      </c>
      <c r="P176" s="227">
        <f t="shared" si="2"/>
        <v>5550.0733703849519</v>
      </c>
      <c r="Q176" s="107">
        <v>271.38</v>
      </c>
      <c r="R176" s="107">
        <v>0</v>
      </c>
      <c r="S176" s="231"/>
      <c r="T176" s="236"/>
      <c r="U176" s="236"/>
    </row>
    <row r="177" spans="1:21" ht="72" x14ac:dyDescent="0.3">
      <c r="A177" s="117">
        <v>175</v>
      </c>
      <c r="B177" s="131">
        <v>544</v>
      </c>
      <c r="C177" s="111">
        <v>8</v>
      </c>
      <c r="D177" s="111">
        <v>2</v>
      </c>
      <c r="E177" s="118" t="s">
        <v>1151</v>
      </c>
      <c r="F177" s="118" t="s">
        <v>194</v>
      </c>
      <c r="G177" s="119" t="s">
        <v>30</v>
      </c>
      <c r="H177" s="119" t="s">
        <v>951</v>
      </c>
      <c r="I177" s="117" t="s">
        <v>1094</v>
      </c>
      <c r="J177" s="117" t="s">
        <v>1230</v>
      </c>
      <c r="K177" s="117" t="s">
        <v>1059</v>
      </c>
      <c r="L177" s="117" t="s">
        <v>1150</v>
      </c>
      <c r="M177" s="111"/>
      <c r="N177" s="120">
        <v>41410</v>
      </c>
      <c r="O177" s="140">
        <v>10464</v>
      </c>
      <c r="P177" s="227">
        <f t="shared" si="2"/>
        <v>5350.1582448372301</v>
      </c>
      <c r="Q177" s="107">
        <v>261.60000000000002</v>
      </c>
      <c r="R177" s="107">
        <v>0</v>
      </c>
      <c r="S177" s="231"/>
      <c r="T177" s="236"/>
      <c r="U177" s="236"/>
    </row>
    <row r="178" spans="1:21" ht="72" x14ac:dyDescent="0.3">
      <c r="A178" s="117">
        <v>176</v>
      </c>
      <c r="B178" s="131">
        <v>545</v>
      </c>
      <c r="C178" s="111">
        <v>1</v>
      </c>
      <c r="D178" s="111">
        <v>1</v>
      </c>
      <c r="E178" s="118" t="s">
        <v>1163</v>
      </c>
      <c r="F178" s="118" t="s">
        <v>190</v>
      </c>
      <c r="G178" s="119" t="s">
        <v>31</v>
      </c>
      <c r="H178" s="119" t="s">
        <v>952</v>
      </c>
      <c r="I178" s="117"/>
      <c r="J178" s="117" t="s">
        <v>1049</v>
      </c>
      <c r="K178" s="117" t="s">
        <v>1066</v>
      </c>
      <c r="L178" s="117" t="s">
        <v>1149</v>
      </c>
      <c r="M178" s="111"/>
      <c r="N178" s="120">
        <v>41410</v>
      </c>
      <c r="O178" s="140">
        <v>6393</v>
      </c>
      <c r="P178" s="227">
        <f t="shared" si="2"/>
        <v>3268.6889964874249</v>
      </c>
      <c r="Q178" s="107">
        <v>159.83000000000001</v>
      </c>
      <c r="R178" s="107">
        <v>0</v>
      </c>
      <c r="S178" s="231">
        <f t="shared" ref="S178:S187" si="4">P178*0.4</f>
        <v>1307.4755985949701</v>
      </c>
      <c r="T178" s="236"/>
      <c r="U178" s="236"/>
    </row>
    <row r="179" spans="1:21" ht="72" x14ac:dyDescent="0.3">
      <c r="A179" s="117">
        <v>177</v>
      </c>
      <c r="B179" s="131">
        <v>546</v>
      </c>
      <c r="C179" s="111">
        <v>1</v>
      </c>
      <c r="D179" s="111">
        <v>1</v>
      </c>
      <c r="E179" s="118" t="s">
        <v>1163</v>
      </c>
      <c r="F179" s="118" t="s">
        <v>190</v>
      </c>
      <c r="G179" s="119" t="s">
        <v>31</v>
      </c>
      <c r="H179" s="119" t="s">
        <v>952</v>
      </c>
      <c r="I179" s="117"/>
      <c r="J179" s="117" t="s">
        <v>1049</v>
      </c>
      <c r="K179" s="117" t="s">
        <v>1063</v>
      </c>
      <c r="L179" s="117" t="s">
        <v>1149</v>
      </c>
      <c r="M179" s="111"/>
      <c r="N179" s="120">
        <v>41410</v>
      </c>
      <c r="O179" s="140">
        <v>6393</v>
      </c>
      <c r="P179" s="227">
        <f t="shared" si="2"/>
        <v>3268.6889964874249</v>
      </c>
      <c r="Q179" s="107">
        <v>159.83000000000001</v>
      </c>
      <c r="R179" s="107">
        <v>0</v>
      </c>
      <c r="S179" s="231">
        <f t="shared" si="4"/>
        <v>1307.4755985949701</v>
      </c>
      <c r="T179" s="236"/>
      <c r="U179" s="236"/>
    </row>
    <row r="180" spans="1:21" ht="72" x14ac:dyDescent="0.3">
      <c r="A180" s="117">
        <v>178</v>
      </c>
      <c r="B180" s="131">
        <v>547</v>
      </c>
      <c r="C180" s="111">
        <v>1</v>
      </c>
      <c r="D180" s="111">
        <v>1</v>
      </c>
      <c r="E180" s="118" t="s">
        <v>1163</v>
      </c>
      <c r="F180" s="118" t="s">
        <v>190</v>
      </c>
      <c r="G180" s="119" t="s">
        <v>31</v>
      </c>
      <c r="H180" s="119" t="s">
        <v>952</v>
      </c>
      <c r="I180" s="117"/>
      <c r="J180" s="117" t="s">
        <v>1049</v>
      </c>
      <c r="K180" s="117" t="s">
        <v>1063</v>
      </c>
      <c r="L180" s="117" t="s">
        <v>1149</v>
      </c>
      <c r="M180" s="111"/>
      <c r="N180" s="120">
        <v>41410</v>
      </c>
      <c r="O180" s="140">
        <v>6393</v>
      </c>
      <c r="P180" s="227">
        <f t="shared" si="2"/>
        <v>3268.6889964874249</v>
      </c>
      <c r="Q180" s="107">
        <v>159.83000000000001</v>
      </c>
      <c r="R180" s="107">
        <v>0</v>
      </c>
      <c r="S180" s="231">
        <f t="shared" si="4"/>
        <v>1307.4755985949701</v>
      </c>
      <c r="T180" s="236"/>
      <c r="U180" s="236"/>
    </row>
    <row r="181" spans="1:21" ht="72" x14ac:dyDescent="0.3">
      <c r="A181" s="117">
        <v>179</v>
      </c>
      <c r="B181" s="131">
        <v>548</v>
      </c>
      <c r="C181" s="111">
        <v>1</v>
      </c>
      <c r="D181" s="111">
        <v>1</v>
      </c>
      <c r="E181" s="118" t="s">
        <v>1163</v>
      </c>
      <c r="F181" s="118" t="s">
        <v>190</v>
      </c>
      <c r="G181" s="119" t="s">
        <v>31</v>
      </c>
      <c r="H181" s="119" t="s">
        <v>952</v>
      </c>
      <c r="I181" s="117"/>
      <c r="J181" s="117" t="s">
        <v>1049</v>
      </c>
      <c r="K181" s="117" t="s">
        <v>1063</v>
      </c>
      <c r="L181" s="117" t="s">
        <v>1149</v>
      </c>
      <c r="M181" s="111"/>
      <c r="N181" s="120">
        <v>41410</v>
      </c>
      <c r="O181" s="140">
        <v>6393</v>
      </c>
      <c r="P181" s="227">
        <f t="shared" si="2"/>
        <v>3268.6889964874249</v>
      </c>
      <c r="Q181" s="107">
        <v>159.83000000000001</v>
      </c>
      <c r="R181" s="107">
        <v>0</v>
      </c>
      <c r="S181" s="231">
        <f t="shared" si="4"/>
        <v>1307.4755985949701</v>
      </c>
      <c r="T181" s="236"/>
      <c r="U181" s="236"/>
    </row>
    <row r="182" spans="1:21" ht="72" x14ac:dyDescent="0.3">
      <c r="A182" s="117">
        <v>180</v>
      </c>
      <c r="B182" s="131">
        <v>549</v>
      </c>
      <c r="C182" s="111">
        <v>1</v>
      </c>
      <c r="D182" s="111">
        <v>1</v>
      </c>
      <c r="E182" s="118" t="s">
        <v>1163</v>
      </c>
      <c r="F182" s="118" t="s">
        <v>190</v>
      </c>
      <c r="G182" s="119" t="s">
        <v>31</v>
      </c>
      <c r="H182" s="119" t="s">
        <v>952</v>
      </c>
      <c r="I182" s="117"/>
      <c r="J182" s="117" t="s">
        <v>1049</v>
      </c>
      <c r="K182" s="117" t="s">
        <v>1063</v>
      </c>
      <c r="L182" s="117" t="s">
        <v>1149</v>
      </c>
      <c r="M182" s="111"/>
      <c r="N182" s="120">
        <v>41410</v>
      </c>
      <c r="O182" s="140">
        <v>6393</v>
      </c>
      <c r="P182" s="227">
        <f t="shared" si="2"/>
        <v>3268.6889964874249</v>
      </c>
      <c r="Q182" s="107">
        <v>159.83000000000001</v>
      </c>
      <c r="R182" s="107">
        <v>0</v>
      </c>
      <c r="S182" s="231">
        <f t="shared" si="4"/>
        <v>1307.4755985949701</v>
      </c>
      <c r="T182" s="236"/>
      <c r="U182" s="236"/>
    </row>
    <row r="183" spans="1:21" ht="72" x14ac:dyDescent="0.3">
      <c r="A183" s="117">
        <v>181</v>
      </c>
      <c r="B183" s="131">
        <v>550</v>
      </c>
      <c r="C183" s="111">
        <v>1</v>
      </c>
      <c r="D183" s="111">
        <v>1</v>
      </c>
      <c r="E183" s="118" t="s">
        <v>1163</v>
      </c>
      <c r="F183" s="118" t="s">
        <v>190</v>
      </c>
      <c r="G183" s="119" t="s">
        <v>31</v>
      </c>
      <c r="H183" s="119" t="s">
        <v>952</v>
      </c>
      <c r="I183" s="117"/>
      <c r="J183" s="117" t="s">
        <v>1049</v>
      </c>
      <c r="K183" s="117" t="s">
        <v>1066</v>
      </c>
      <c r="L183" s="117" t="s">
        <v>1149</v>
      </c>
      <c r="M183" s="111"/>
      <c r="N183" s="120">
        <v>41410</v>
      </c>
      <c r="O183" s="140">
        <v>6393</v>
      </c>
      <c r="P183" s="227">
        <f t="shared" si="2"/>
        <v>3268.6889964874249</v>
      </c>
      <c r="Q183" s="107">
        <v>159.83000000000001</v>
      </c>
      <c r="R183" s="107">
        <v>0</v>
      </c>
      <c r="S183" s="231">
        <f t="shared" si="4"/>
        <v>1307.4755985949701</v>
      </c>
      <c r="T183" s="236"/>
      <c r="U183" s="236"/>
    </row>
    <row r="184" spans="1:21" ht="72" x14ac:dyDescent="0.3">
      <c r="A184" s="117">
        <v>182</v>
      </c>
      <c r="B184" s="131">
        <v>551</v>
      </c>
      <c r="C184" s="111">
        <v>1</v>
      </c>
      <c r="D184" s="111">
        <v>1</v>
      </c>
      <c r="E184" s="118" t="s">
        <v>1163</v>
      </c>
      <c r="F184" s="118" t="s">
        <v>190</v>
      </c>
      <c r="G184" s="119" t="s">
        <v>31</v>
      </c>
      <c r="H184" s="119" t="s">
        <v>952</v>
      </c>
      <c r="I184" s="117"/>
      <c r="J184" s="117" t="s">
        <v>1049</v>
      </c>
      <c r="K184" s="117" t="s">
        <v>1063</v>
      </c>
      <c r="L184" s="117" t="s">
        <v>1149</v>
      </c>
      <c r="M184" s="111"/>
      <c r="N184" s="120">
        <v>41410</v>
      </c>
      <c r="O184" s="140">
        <v>6393</v>
      </c>
      <c r="P184" s="227">
        <f t="shared" si="2"/>
        <v>3268.6889964874249</v>
      </c>
      <c r="Q184" s="107">
        <v>159.83000000000001</v>
      </c>
      <c r="R184" s="107">
        <v>0</v>
      </c>
      <c r="S184" s="231">
        <f t="shared" si="4"/>
        <v>1307.4755985949701</v>
      </c>
      <c r="T184" s="236"/>
      <c r="U184" s="236"/>
    </row>
    <row r="185" spans="1:21" ht="72" x14ac:dyDescent="0.3">
      <c r="A185" s="117">
        <v>183</v>
      </c>
      <c r="B185" s="131">
        <v>552</v>
      </c>
      <c r="C185" s="111">
        <v>1</v>
      </c>
      <c r="D185" s="111">
        <v>1</v>
      </c>
      <c r="E185" s="118" t="s">
        <v>1163</v>
      </c>
      <c r="F185" s="118" t="s">
        <v>190</v>
      </c>
      <c r="G185" s="119" t="s">
        <v>31</v>
      </c>
      <c r="H185" s="119" t="s">
        <v>952</v>
      </c>
      <c r="I185" s="117"/>
      <c r="J185" s="117" t="s">
        <v>1049</v>
      </c>
      <c r="K185" s="117" t="s">
        <v>1063</v>
      </c>
      <c r="L185" s="117" t="s">
        <v>1149</v>
      </c>
      <c r="M185" s="111"/>
      <c r="N185" s="120">
        <v>41410</v>
      </c>
      <c r="O185" s="140">
        <v>6393</v>
      </c>
      <c r="P185" s="227">
        <f t="shared" si="2"/>
        <v>3268.6889964874249</v>
      </c>
      <c r="Q185" s="107">
        <v>159.83000000000001</v>
      </c>
      <c r="R185" s="107">
        <v>0</v>
      </c>
      <c r="S185" s="231">
        <f t="shared" si="4"/>
        <v>1307.4755985949701</v>
      </c>
      <c r="T185" s="236"/>
      <c r="U185" s="236"/>
    </row>
    <row r="186" spans="1:21" ht="72" x14ac:dyDescent="0.3">
      <c r="A186" s="117">
        <v>184</v>
      </c>
      <c r="B186" s="131">
        <v>553</v>
      </c>
      <c r="C186" s="111">
        <v>1</v>
      </c>
      <c r="D186" s="111">
        <v>1</v>
      </c>
      <c r="E186" s="118" t="s">
        <v>1163</v>
      </c>
      <c r="F186" s="118" t="s">
        <v>190</v>
      </c>
      <c r="G186" s="119" t="s">
        <v>31</v>
      </c>
      <c r="H186" s="119" t="s">
        <v>952</v>
      </c>
      <c r="I186" s="117"/>
      <c r="J186" s="117" t="s">
        <v>1049</v>
      </c>
      <c r="K186" s="117" t="s">
        <v>1063</v>
      </c>
      <c r="L186" s="117" t="s">
        <v>1149</v>
      </c>
      <c r="M186" s="111"/>
      <c r="N186" s="120">
        <v>41410</v>
      </c>
      <c r="O186" s="140">
        <v>6393</v>
      </c>
      <c r="P186" s="227">
        <f t="shared" si="2"/>
        <v>3268.6889964874249</v>
      </c>
      <c r="Q186" s="107">
        <v>159.83000000000001</v>
      </c>
      <c r="R186" s="107">
        <v>0</v>
      </c>
      <c r="S186" s="231">
        <f t="shared" si="4"/>
        <v>1307.4755985949701</v>
      </c>
      <c r="T186" s="236"/>
      <c r="U186" s="236"/>
    </row>
    <row r="187" spans="1:21" ht="72" x14ac:dyDescent="0.3">
      <c r="A187" s="117">
        <v>185</v>
      </c>
      <c r="B187" s="131">
        <v>554</v>
      </c>
      <c r="C187" s="111">
        <v>1</v>
      </c>
      <c r="D187" s="111">
        <v>1</v>
      </c>
      <c r="E187" s="118" t="s">
        <v>1163</v>
      </c>
      <c r="F187" s="118" t="s">
        <v>190</v>
      </c>
      <c r="G187" s="119" t="s">
        <v>31</v>
      </c>
      <c r="H187" s="119" t="s">
        <v>952</v>
      </c>
      <c r="I187" s="117"/>
      <c r="J187" s="117" t="s">
        <v>1049</v>
      </c>
      <c r="K187" s="117" t="s">
        <v>1063</v>
      </c>
      <c r="L187" s="117" t="s">
        <v>1149</v>
      </c>
      <c r="M187" s="111"/>
      <c r="N187" s="120">
        <v>41410</v>
      </c>
      <c r="O187" s="140">
        <v>6393</v>
      </c>
      <c r="P187" s="227">
        <f t="shared" si="2"/>
        <v>3268.6889964874249</v>
      </c>
      <c r="Q187" s="107">
        <v>159.83000000000001</v>
      </c>
      <c r="R187" s="107">
        <v>0</v>
      </c>
      <c r="S187" s="231">
        <f t="shared" si="4"/>
        <v>1307.4755985949701</v>
      </c>
      <c r="T187" s="236"/>
      <c r="U187" s="236"/>
    </row>
    <row r="188" spans="1:21" ht="72" x14ac:dyDescent="0.3">
      <c r="A188" s="117">
        <v>186</v>
      </c>
      <c r="B188" s="131">
        <v>584</v>
      </c>
      <c r="C188" s="111">
        <v>1</v>
      </c>
      <c r="D188" s="111">
        <v>1</v>
      </c>
      <c r="E188" s="118" t="s">
        <v>1163</v>
      </c>
      <c r="F188" s="118" t="s">
        <v>190</v>
      </c>
      <c r="G188" s="119" t="s">
        <v>32</v>
      </c>
      <c r="H188" s="119" t="s">
        <v>953</v>
      </c>
      <c r="I188" s="117"/>
      <c r="J188" s="117"/>
      <c r="K188" s="117" t="s">
        <v>1056</v>
      </c>
      <c r="L188" s="117" t="s">
        <v>1153</v>
      </c>
      <c r="M188" s="111"/>
      <c r="N188" s="120">
        <v>38471</v>
      </c>
      <c r="O188" s="140">
        <v>890</v>
      </c>
      <c r="P188" s="227">
        <f t="shared" si="2"/>
        <v>455.04977426463444</v>
      </c>
      <c r="Q188" s="107">
        <v>14.83</v>
      </c>
      <c r="R188" s="107">
        <v>0</v>
      </c>
      <c r="S188" s="231"/>
      <c r="T188" s="236"/>
      <c r="U188" s="236"/>
    </row>
    <row r="189" spans="1:21" ht="72" x14ac:dyDescent="0.3">
      <c r="A189" s="117">
        <v>187</v>
      </c>
      <c r="B189" s="131">
        <v>594</v>
      </c>
      <c r="C189" s="111">
        <v>1</v>
      </c>
      <c r="D189" s="111">
        <v>1</v>
      </c>
      <c r="E189" s="118" t="s">
        <v>1163</v>
      </c>
      <c r="F189" s="118" t="s">
        <v>190</v>
      </c>
      <c r="G189" s="119" t="s">
        <v>33</v>
      </c>
      <c r="H189" s="119" t="s">
        <v>954</v>
      </c>
      <c r="I189" s="117"/>
      <c r="J189" s="117"/>
      <c r="K189" s="117" t="s">
        <v>1059</v>
      </c>
      <c r="L189" s="117" t="s">
        <v>1150</v>
      </c>
      <c r="M189" s="111"/>
      <c r="N189" s="120">
        <v>38315</v>
      </c>
      <c r="O189" s="140">
        <v>3500</v>
      </c>
      <c r="P189" s="227">
        <f t="shared" si="2"/>
        <v>1789.5215841867648</v>
      </c>
      <c r="Q189" s="107">
        <v>58.33</v>
      </c>
      <c r="R189" s="107">
        <v>0</v>
      </c>
      <c r="S189" s="231"/>
      <c r="T189" s="236"/>
      <c r="U189" s="236"/>
    </row>
    <row r="190" spans="1:21" ht="72" x14ac:dyDescent="0.3">
      <c r="A190" s="117">
        <v>188</v>
      </c>
      <c r="B190" s="131">
        <v>599</v>
      </c>
      <c r="C190" s="111">
        <v>7</v>
      </c>
      <c r="D190" s="111">
        <v>3</v>
      </c>
      <c r="E190" s="118" t="s">
        <v>1058</v>
      </c>
      <c r="F190" s="118" t="s">
        <v>193</v>
      </c>
      <c r="G190" s="119" t="s">
        <v>578</v>
      </c>
      <c r="H190" s="119" t="s">
        <v>955</v>
      </c>
      <c r="I190" s="117" t="s">
        <v>1142</v>
      </c>
      <c r="J190" s="117" t="s">
        <v>1095</v>
      </c>
      <c r="K190" s="117" t="s">
        <v>1066</v>
      </c>
      <c r="L190" s="117" t="s">
        <v>1149</v>
      </c>
      <c r="M190" s="111"/>
      <c r="N190" s="120">
        <v>37956</v>
      </c>
      <c r="O190" s="141">
        <v>1400</v>
      </c>
      <c r="P190" s="228">
        <f t="shared" si="2"/>
        <v>715.8086336747059</v>
      </c>
      <c r="Q190" s="107">
        <v>0</v>
      </c>
      <c r="R190" s="107">
        <v>0</v>
      </c>
      <c r="S190" s="231">
        <v>205</v>
      </c>
      <c r="T190" s="236"/>
      <c r="U190" s="236"/>
    </row>
    <row r="191" spans="1:21" ht="72" x14ac:dyDescent="0.3">
      <c r="A191" s="117">
        <v>189</v>
      </c>
      <c r="B191" s="131">
        <v>616</v>
      </c>
      <c r="C191" s="111">
        <v>6</v>
      </c>
      <c r="D191" s="111">
        <v>2</v>
      </c>
      <c r="E191" s="118" t="s">
        <v>1151</v>
      </c>
      <c r="F191" s="118" t="s">
        <v>115</v>
      </c>
      <c r="G191" s="119" t="s">
        <v>1219</v>
      </c>
      <c r="H191" s="119" t="s">
        <v>956</v>
      </c>
      <c r="I191" s="117"/>
      <c r="J191" s="117"/>
      <c r="K191" s="117" t="s">
        <v>1056</v>
      </c>
      <c r="L191" s="117" t="s">
        <v>1153</v>
      </c>
      <c r="M191" s="111"/>
      <c r="N191" s="122">
        <v>25012006</v>
      </c>
      <c r="O191" s="140">
        <v>7100</v>
      </c>
      <c r="P191" s="227">
        <f t="shared" si="2"/>
        <v>3630.1723564931513</v>
      </c>
      <c r="Q191" s="107">
        <v>118.33</v>
      </c>
      <c r="R191" s="107">
        <v>0</v>
      </c>
      <c r="S191" s="231"/>
      <c r="T191" s="236"/>
      <c r="U191" s="236"/>
    </row>
    <row r="192" spans="1:21" ht="72" x14ac:dyDescent="0.3">
      <c r="A192" s="117">
        <v>190</v>
      </c>
      <c r="B192" s="131">
        <v>620</v>
      </c>
      <c r="C192" s="111">
        <v>1</v>
      </c>
      <c r="D192" s="111">
        <v>1</v>
      </c>
      <c r="E192" s="118" t="s">
        <v>1163</v>
      </c>
      <c r="F192" s="118" t="s">
        <v>190</v>
      </c>
      <c r="G192" s="119" t="s">
        <v>33</v>
      </c>
      <c r="H192" s="119" t="s">
        <v>796</v>
      </c>
      <c r="I192" s="117"/>
      <c r="J192" s="117"/>
      <c r="K192" s="117" t="s">
        <v>1067</v>
      </c>
      <c r="L192" s="117" t="s">
        <v>1150</v>
      </c>
      <c r="M192" s="111"/>
      <c r="N192" s="122">
        <v>11052006</v>
      </c>
      <c r="O192" s="140">
        <v>2145.64</v>
      </c>
      <c r="P192" s="227">
        <f t="shared" si="2"/>
        <v>1097.0483119698542</v>
      </c>
      <c r="Q192" s="107">
        <v>35.76</v>
      </c>
      <c r="R192" s="107">
        <v>0</v>
      </c>
      <c r="S192" s="231"/>
      <c r="T192" s="236"/>
      <c r="U192" s="236"/>
    </row>
    <row r="193" spans="1:21" ht="57.6" x14ac:dyDescent="0.3">
      <c r="A193" s="117">
        <v>191</v>
      </c>
      <c r="B193" s="131">
        <v>622</v>
      </c>
      <c r="C193" s="111">
        <v>16</v>
      </c>
      <c r="D193" s="111">
        <v>4</v>
      </c>
      <c r="E193" s="118" t="s">
        <v>1353</v>
      </c>
      <c r="F193" s="118" t="s">
        <v>201</v>
      </c>
      <c r="G193" s="119" t="s">
        <v>49</v>
      </c>
      <c r="H193" s="117" t="s">
        <v>957</v>
      </c>
      <c r="I193" s="117"/>
      <c r="J193" s="117" t="s">
        <v>1076</v>
      </c>
      <c r="K193" s="117" t="s">
        <v>1077</v>
      </c>
      <c r="L193" s="117" t="s">
        <v>1150</v>
      </c>
      <c r="M193" s="111"/>
      <c r="N193" s="122">
        <v>30092004</v>
      </c>
      <c r="O193" s="140">
        <v>5043.6899999999996</v>
      </c>
      <c r="P193" s="227">
        <f t="shared" si="2"/>
        <v>2578.7977482705551</v>
      </c>
      <c r="Q193" s="107">
        <v>84.06</v>
      </c>
      <c r="R193" s="107">
        <v>0</v>
      </c>
      <c r="S193" s="231"/>
      <c r="T193" s="236"/>
      <c r="U193" s="236"/>
    </row>
    <row r="194" spans="1:21" ht="72" x14ac:dyDescent="0.3">
      <c r="A194" s="117">
        <v>192</v>
      </c>
      <c r="B194" s="131">
        <v>624</v>
      </c>
      <c r="C194" s="111">
        <v>1</v>
      </c>
      <c r="D194" s="111">
        <v>1</v>
      </c>
      <c r="E194" s="118" t="s">
        <v>1163</v>
      </c>
      <c r="F194" s="118" t="s">
        <v>190</v>
      </c>
      <c r="G194" s="119" t="s">
        <v>41</v>
      </c>
      <c r="H194" s="119" t="s">
        <v>958</v>
      </c>
      <c r="I194" s="117"/>
      <c r="J194" s="117"/>
      <c r="K194" s="117" t="s">
        <v>1067</v>
      </c>
      <c r="L194" s="117" t="s">
        <v>1150</v>
      </c>
      <c r="M194" s="111"/>
      <c r="N194" s="122">
        <v>11052006</v>
      </c>
      <c r="O194" s="140">
        <v>4866.49</v>
      </c>
      <c r="P194" s="227">
        <f t="shared" si="2"/>
        <v>2488.1968269225854</v>
      </c>
      <c r="Q194" s="107">
        <v>81.11</v>
      </c>
      <c r="R194" s="107">
        <v>0</v>
      </c>
      <c r="S194" s="231"/>
      <c r="T194" s="236"/>
      <c r="U194" s="236"/>
    </row>
    <row r="195" spans="1:21" ht="72" x14ac:dyDescent="0.3">
      <c r="A195" s="117">
        <v>193</v>
      </c>
      <c r="B195" s="131">
        <v>627</v>
      </c>
      <c r="C195" s="111">
        <v>11</v>
      </c>
      <c r="D195" s="111">
        <v>3</v>
      </c>
      <c r="E195" s="118" t="s">
        <v>1058</v>
      </c>
      <c r="F195" s="118" t="s">
        <v>196</v>
      </c>
      <c r="G195" s="119" t="s">
        <v>34</v>
      </c>
      <c r="H195" s="117" t="s">
        <v>959</v>
      </c>
      <c r="I195" s="117"/>
      <c r="J195" s="117"/>
      <c r="K195" s="117" t="s">
        <v>1063</v>
      </c>
      <c r="L195" s="117" t="s">
        <v>1149</v>
      </c>
      <c r="M195" s="111"/>
      <c r="N195" s="122">
        <v>26072005</v>
      </c>
      <c r="O195" s="140">
        <v>25906.9</v>
      </c>
      <c r="P195" s="227">
        <f t="shared" si="2"/>
        <v>13245.987636962314</v>
      </c>
      <c r="Q195" s="107">
        <v>431.78</v>
      </c>
      <c r="R195" s="107">
        <v>0</v>
      </c>
      <c r="S195" s="231">
        <v>2955</v>
      </c>
      <c r="T195" s="236"/>
      <c r="U195" s="236"/>
    </row>
    <row r="196" spans="1:21" ht="72" x14ac:dyDescent="0.3">
      <c r="A196" s="117">
        <v>194</v>
      </c>
      <c r="B196" s="131">
        <v>628</v>
      </c>
      <c r="C196" s="111">
        <v>1</v>
      </c>
      <c r="D196" s="111">
        <v>1</v>
      </c>
      <c r="E196" s="118" t="s">
        <v>1163</v>
      </c>
      <c r="F196" s="118" t="s">
        <v>190</v>
      </c>
      <c r="G196" s="119" t="s">
        <v>41</v>
      </c>
      <c r="H196" s="119" t="s">
        <v>960</v>
      </c>
      <c r="I196" s="117"/>
      <c r="J196" s="117" t="s">
        <v>1049</v>
      </c>
      <c r="K196" s="117" t="s">
        <v>1059</v>
      </c>
      <c r="L196" s="117" t="s">
        <v>1150</v>
      </c>
      <c r="M196" s="111"/>
      <c r="N196" s="122">
        <v>11052005</v>
      </c>
      <c r="O196" s="140">
        <v>4866.49</v>
      </c>
      <c r="P196" s="227">
        <f t="shared" ref="P196:P259" si="5">O196/$P$1</f>
        <v>2488.1968269225854</v>
      </c>
      <c r="Q196" s="107">
        <v>81.11</v>
      </c>
      <c r="R196" s="107">
        <v>0</v>
      </c>
      <c r="S196" s="231"/>
      <c r="T196" s="236"/>
      <c r="U196" s="236"/>
    </row>
    <row r="197" spans="1:21" ht="72" x14ac:dyDescent="0.3">
      <c r="A197" s="117">
        <v>195</v>
      </c>
      <c r="B197" s="131">
        <v>632</v>
      </c>
      <c r="C197" s="111">
        <v>1</v>
      </c>
      <c r="D197" s="111">
        <v>1</v>
      </c>
      <c r="E197" s="118" t="s">
        <v>1163</v>
      </c>
      <c r="F197" s="118" t="s">
        <v>190</v>
      </c>
      <c r="G197" s="119" t="s">
        <v>41</v>
      </c>
      <c r="H197" s="119" t="s">
        <v>960</v>
      </c>
      <c r="I197" s="117"/>
      <c r="J197" s="117"/>
      <c r="K197" s="117" t="s">
        <v>1067</v>
      </c>
      <c r="L197" s="117" t="s">
        <v>1150</v>
      </c>
      <c r="M197" s="111"/>
      <c r="N197" s="122">
        <v>11052006</v>
      </c>
      <c r="O197" s="140">
        <v>2145.64</v>
      </c>
      <c r="P197" s="227">
        <f t="shared" si="5"/>
        <v>1097.0483119698542</v>
      </c>
      <c r="Q197" s="107">
        <v>35.76</v>
      </c>
      <c r="R197" s="107">
        <v>0</v>
      </c>
      <c r="S197" s="231"/>
      <c r="T197" s="236"/>
      <c r="U197" s="236"/>
    </row>
    <row r="198" spans="1:21" ht="72" x14ac:dyDescent="0.3">
      <c r="A198" s="117">
        <v>196</v>
      </c>
      <c r="B198" s="131">
        <v>636</v>
      </c>
      <c r="C198" s="111">
        <v>1</v>
      </c>
      <c r="D198" s="111">
        <v>1</v>
      </c>
      <c r="E198" s="118" t="s">
        <v>1163</v>
      </c>
      <c r="F198" s="118" t="s">
        <v>190</v>
      </c>
      <c r="G198" s="119" t="s">
        <v>33</v>
      </c>
      <c r="H198" s="119" t="s">
        <v>796</v>
      </c>
      <c r="I198" s="117"/>
      <c r="J198" s="117"/>
      <c r="K198" s="117" t="s">
        <v>1061</v>
      </c>
      <c r="L198" s="117" t="s">
        <v>1150</v>
      </c>
      <c r="M198" s="111"/>
      <c r="N198" s="122">
        <v>11052006</v>
      </c>
      <c r="O198" s="140">
        <v>2145.64</v>
      </c>
      <c r="P198" s="227">
        <f t="shared" si="5"/>
        <v>1097.0483119698542</v>
      </c>
      <c r="Q198" s="107">
        <v>35.76</v>
      </c>
      <c r="R198" s="107">
        <v>0</v>
      </c>
      <c r="S198" s="231"/>
      <c r="T198" s="236"/>
      <c r="U198" s="236"/>
    </row>
    <row r="199" spans="1:21" ht="72" x14ac:dyDescent="0.3">
      <c r="A199" s="117">
        <v>197</v>
      </c>
      <c r="B199" s="131">
        <v>639</v>
      </c>
      <c r="C199" s="111">
        <v>54</v>
      </c>
      <c r="D199" s="111">
        <v>3</v>
      </c>
      <c r="E199" s="118" t="s">
        <v>1058</v>
      </c>
      <c r="F199" s="118" t="s">
        <v>621</v>
      </c>
      <c r="G199" s="119" t="s">
        <v>266</v>
      </c>
      <c r="H199" s="119" t="s">
        <v>961</v>
      </c>
      <c r="I199" s="117"/>
      <c r="J199" s="117"/>
      <c r="K199" s="117" t="s">
        <v>1066</v>
      </c>
      <c r="L199" s="117" t="s">
        <v>1149</v>
      </c>
      <c r="M199" s="111"/>
      <c r="N199" s="122">
        <v>8092005</v>
      </c>
      <c r="O199" s="140">
        <v>5385.16</v>
      </c>
      <c r="P199" s="227">
        <f t="shared" si="5"/>
        <v>2753.3885869426281</v>
      </c>
      <c r="Q199" s="107">
        <v>89.75</v>
      </c>
      <c r="R199" s="107">
        <v>0</v>
      </c>
      <c r="S199" s="231">
        <f>P199*0.5</f>
        <v>1376.694293471314</v>
      </c>
      <c r="T199" s="236"/>
      <c r="U199" s="236"/>
    </row>
    <row r="200" spans="1:21" ht="72" x14ac:dyDescent="0.3">
      <c r="A200" s="117">
        <v>198</v>
      </c>
      <c r="B200" s="131">
        <v>640</v>
      </c>
      <c r="C200" s="111">
        <v>5</v>
      </c>
      <c r="D200" s="111">
        <v>2</v>
      </c>
      <c r="E200" s="118" t="s">
        <v>1151</v>
      </c>
      <c r="F200" s="118" t="s">
        <v>212</v>
      </c>
      <c r="G200" s="119" t="s">
        <v>35</v>
      </c>
      <c r="H200" s="119" t="s">
        <v>850</v>
      </c>
      <c r="I200" s="117" t="s">
        <v>1217</v>
      </c>
      <c r="J200" s="117"/>
      <c r="K200" s="117" t="s">
        <v>1066</v>
      </c>
      <c r="L200" s="117" t="s">
        <v>1149</v>
      </c>
      <c r="M200" s="111"/>
      <c r="N200" s="122">
        <v>21112005</v>
      </c>
      <c r="O200" s="140">
        <v>4772</v>
      </c>
      <c r="P200" s="227">
        <f t="shared" si="5"/>
        <v>2439.8848570683544</v>
      </c>
      <c r="Q200" s="107">
        <v>79.53</v>
      </c>
      <c r="R200" s="107">
        <v>0</v>
      </c>
      <c r="S200" s="231">
        <f>P200*0.3</f>
        <v>731.96545712050636</v>
      </c>
      <c r="T200" s="236"/>
      <c r="U200" s="236"/>
    </row>
    <row r="201" spans="1:21" ht="72" x14ac:dyDescent="0.3">
      <c r="A201" s="117">
        <v>199</v>
      </c>
      <c r="B201" s="131">
        <v>643</v>
      </c>
      <c r="C201" s="111">
        <v>1</v>
      </c>
      <c r="D201" s="111">
        <v>1</v>
      </c>
      <c r="E201" s="118" t="s">
        <v>1163</v>
      </c>
      <c r="F201" s="118" t="s">
        <v>190</v>
      </c>
      <c r="G201" s="119" t="s">
        <v>33</v>
      </c>
      <c r="H201" s="119" t="s">
        <v>796</v>
      </c>
      <c r="I201" s="117"/>
      <c r="J201" s="117"/>
      <c r="K201" s="117" t="s">
        <v>1052</v>
      </c>
      <c r="L201" s="117" t="s">
        <v>1150</v>
      </c>
      <c r="M201" s="111"/>
      <c r="N201" s="122">
        <v>11052006</v>
      </c>
      <c r="O201" s="140">
        <v>2145.64</v>
      </c>
      <c r="P201" s="227">
        <f t="shared" si="5"/>
        <v>1097.0483119698542</v>
      </c>
      <c r="Q201" s="107">
        <v>35.76</v>
      </c>
      <c r="R201" s="107">
        <v>0</v>
      </c>
      <c r="S201" s="231"/>
      <c r="T201" s="236"/>
      <c r="U201" s="236"/>
    </row>
    <row r="202" spans="1:21" ht="72" x14ac:dyDescent="0.3">
      <c r="A202" s="117">
        <v>200</v>
      </c>
      <c r="B202" s="131">
        <v>644</v>
      </c>
      <c r="C202" s="111">
        <v>1</v>
      </c>
      <c r="D202" s="111">
        <v>1</v>
      </c>
      <c r="E202" s="118" t="s">
        <v>1163</v>
      </c>
      <c r="F202" s="118" t="s">
        <v>190</v>
      </c>
      <c r="G202" s="119" t="s">
        <v>36</v>
      </c>
      <c r="H202" s="119" t="s">
        <v>962</v>
      </c>
      <c r="I202" s="117"/>
      <c r="J202" s="117" t="s">
        <v>1049</v>
      </c>
      <c r="K202" s="117" t="s">
        <v>1059</v>
      </c>
      <c r="L202" s="117" t="s">
        <v>1150</v>
      </c>
      <c r="M202" s="111"/>
      <c r="N202" s="122">
        <v>14092006</v>
      </c>
      <c r="O202" s="140">
        <v>4866.49</v>
      </c>
      <c r="P202" s="227">
        <f t="shared" si="5"/>
        <v>2488.1968269225854</v>
      </c>
      <c r="Q202" s="107">
        <v>81.11</v>
      </c>
      <c r="R202" s="107">
        <v>0</v>
      </c>
      <c r="S202" s="231"/>
      <c r="T202" s="236"/>
      <c r="U202" s="236"/>
    </row>
    <row r="203" spans="1:21" ht="72" x14ac:dyDescent="0.3">
      <c r="A203" s="117">
        <v>201</v>
      </c>
      <c r="B203" s="131">
        <v>647</v>
      </c>
      <c r="C203" s="111">
        <v>1</v>
      </c>
      <c r="D203" s="111">
        <v>1</v>
      </c>
      <c r="E203" s="118" t="s">
        <v>1163</v>
      </c>
      <c r="F203" s="118" t="s">
        <v>190</v>
      </c>
      <c r="G203" s="119" t="s">
        <v>36</v>
      </c>
      <c r="H203" s="119" t="s">
        <v>962</v>
      </c>
      <c r="I203" s="117"/>
      <c r="J203" s="117" t="s">
        <v>1049</v>
      </c>
      <c r="K203" s="117" t="s">
        <v>1056</v>
      </c>
      <c r="L203" s="117" t="s">
        <v>1153</v>
      </c>
      <c r="M203" s="111"/>
      <c r="N203" s="122">
        <v>14092006</v>
      </c>
      <c r="O203" s="140">
        <v>4866.49</v>
      </c>
      <c r="P203" s="227">
        <f t="shared" si="5"/>
        <v>2488.1968269225854</v>
      </c>
      <c r="Q203" s="107">
        <v>81.11</v>
      </c>
      <c r="R203" s="107">
        <v>0</v>
      </c>
      <c r="S203" s="231"/>
      <c r="T203" s="236"/>
      <c r="U203" s="236"/>
    </row>
    <row r="204" spans="1:21" ht="72" x14ac:dyDescent="0.3">
      <c r="A204" s="117">
        <v>202</v>
      </c>
      <c r="B204" s="131">
        <v>648</v>
      </c>
      <c r="C204" s="111">
        <v>9</v>
      </c>
      <c r="D204" s="111">
        <v>2</v>
      </c>
      <c r="E204" s="118" t="s">
        <v>1151</v>
      </c>
      <c r="F204" s="118" t="s">
        <v>195</v>
      </c>
      <c r="G204" s="119" t="s">
        <v>4</v>
      </c>
      <c r="H204" s="119" t="s">
        <v>816</v>
      </c>
      <c r="I204" s="117" t="s">
        <v>1062</v>
      </c>
      <c r="J204" s="117" t="s">
        <v>1239</v>
      </c>
      <c r="K204" s="117" t="s">
        <v>1066</v>
      </c>
      <c r="L204" s="117" t="s">
        <v>1149</v>
      </c>
      <c r="M204" s="111"/>
      <c r="N204" s="122">
        <v>31102006</v>
      </c>
      <c r="O204" s="140">
        <v>5317.54</v>
      </c>
      <c r="P204" s="227">
        <f t="shared" si="5"/>
        <v>2718.8150299361396</v>
      </c>
      <c r="Q204" s="107">
        <v>88.63</v>
      </c>
      <c r="R204" s="107">
        <v>0</v>
      </c>
      <c r="S204" s="231">
        <f>P204*0.5</f>
        <v>1359.4075149680698</v>
      </c>
      <c r="T204" s="236"/>
      <c r="U204" s="236"/>
    </row>
    <row r="205" spans="1:21" ht="57.6" x14ac:dyDescent="0.3">
      <c r="A205" s="117">
        <v>203</v>
      </c>
      <c r="B205" s="131">
        <v>650</v>
      </c>
      <c r="C205" s="111">
        <v>16</v>
      </c>
      <c r="D205" s="111">
        <v>4</v>
      </c>
      <c r="E205" s="118" t="s">
        <v>1353</v>
      </c>
      <c r="F205" s="118" t="s">
        <v>201</v>
      </c>
      <c r="G205" s="119" t="s">
        <v>1169</v>
      </c>
      <c r="H205" s="119" t="s">
        <v>963</v>
      </c>
      <c r="I205" s="117"/>
      <c r="J205" s="117" t="s">
        <v>1076</v>
      </c>
      <c r="K205" s="117" t="s">
        <v>1059</v>
      </c>
      <c r="L205" s="117" t="s">
        <v>1150</v>
      </c>
      <c r="M205" s="111"/>
      <c r="N205" s="122">
        <v>16022005</v>
      </c>
      <c r="O205" s="140">
        <v>4205.03</v>
      </c>
      <c r="P205" s="227">
        <f t="shared" si="5"/>
        <v>2149.9976991865346</v>
      </c>
      <c r="Q205" s="107">
        <v>70.08</v>
      </c>
      <c r="R205" s="107">
        <v>0</v>
      </c>
      <c r="S205" s="231"/>
      <c r="T205" s="236"/>
      <c r="U205" s="236"/>
    </row>
    <row r="206" spans="1:21" ht="72" x14ac:dyDescent="0.3">
      <c r="A206" s="117">
        <v>204</v>
      </c>
      <c r="B206" s="131">
        <v>651</v>
      </c>
      <c r="C206" s="111">
        <v>11</v>
      </c>
      <c r="D206" s="111">
        <v>3</v>
      </c>
      <c r="E206" s="118" t="s">
        <v>1058</v>
      </c>
      <c r="F206" s="118" t="s">
        <v>196</v>
      </c>
      <c r="G206" s="119" t="s">
        <v>34</v>
      </c>
      <c r="H206" s="119" t="s">
        <v>959</v>
      </c>
      <c r="I206" s="117"/>
      <c r="J206" s="117"/>
      <c r="K206" s="117" t="s">
        <v>1063</v>
      </c>
      <c r="L206" s="117" t="s">
        <v>1149</v>
      </c>
      <c r="M206" s="111"/>
      <c r="N206" s="122">
        <v>1022007</v>
      </c>
      <c r="O206" s="140">
        <v>26832.18</v>
      </c>
      <c r="P206" s="227">
        <f t="shared" si="5"/>
        <v>13719.07578879555</v>
      </c>
      <c r="Q206" s="107">
        <v>447.2</v>
      </c>
      <c r="R206" s="107">
        <v>0</v>
      </c>
      <c r="S206" s="231">
        <v>2955</v>
      </c>
      <c r="T206" s="236"/>
      <c r="U206" s="236"/>
    </row>
    <row r="207" spans="1:21" ht="72" x14ac:dyDescent="0.3">
      <c r="A207" s="117">
        <v>205</v>
      </c>
      <c r="B207" s="131">
        <v>652</v>
      </c>
      <c r="C207" s="111">
        <v>1</v>
      </c>
      <c r="D207" s="111">
        <v>1</v>
      </c>
      <c r="E207" s="118" t="s">
        <v>1163</v>
      </c>
      <c r="F207" s="118" t="s">
        <v>190</v>
      </c>
      <c r="G207" s="119" t="s">
        <v>33</v>
      </c>
      <c r="H207" s="119" t="s">
        <v>796</v>
      </c>
      <c r="I207" s="117"/>
      <c r="J207" s="117"/>
      <c r="K207" s="117" t="s">
        <v>1052</v>
      </c>
      <c r="L207" s="117" t="s">
        <v>1150</v>
      </c>
      <c r="M207" s="111"/>
      <c r="N207" s="122">
        <v>8022007</v>
      </c>
      <c r="O207" s="140">
        <v>2212</v>
      </c>
      <c r="P207" s="227">
        <f t="shared" si="5"/>
        <v>1130.9776412060353</v>
      </c>
      <c r="Q207" s="107">
        <v>36.869999999999997</v>
      </c>
      <c r="R207" s="107">
        <v>0</v>
      </c>
      <c r="S207" s="231"/>
      <c r="T207" s="236"/>
      <c r="U207" s="236"/>
    </row>
    <row r="208" spans="1:21" ht="57.6" x14ac:dyDescent="0.3">
      <c r="A208" s="117">
        <v>206</v>
      </c>
      <c r="B208" s="131">
        <v>654</v>
      </c>
      <c r="C208" s="111">
        <v>16</v>
      </c>
      <c r="D208" s="111">
        <v>4</v>
      </c>
      <c r="E208" s="118" t="s">
        <v>1353</v>
      </c>
      <c r="F208" s="118" t="s">
        <v>201</v>
      </c>
      <c r="G208" s="119" t="s">
        <v>1170</v>
      </c>
      <c r="H208" s="117" t="s">
        <v>964</v>
      </c>
      <c r="I208" s="117"/>
      <c r="J208" s="117" t="s">
        <v>1076</v>
      </c>
      <c r="K208" s="117" t="s">
        <v>1077</v>
      </c>
      <c r="L208" s="117" t="s">
        <v>1150</v>
      </c>
      <c r="M208" s="111"/>
      <c r="N208" s="122">
        <v>16022005</v>
      </c>
      <c r="O208" s="140">
        <v>4205.03</v>
      </c>
      <c r="P208" s="227">
        <f t="shared" si="5"/>
        <v>2149.9976991865346</v>
      </c>
      <c r="Q208" s="107">
        <v>70.08</v>
      </c>
      <c r="R208" s="107">
        <v>0</v>
      </c>
      <c r="S208" s="231"/>
      <c r="T208" s="236"/>
      <c r="U208" s="236"/>
    </row>
    <row r="209" spans="1:21" ht="72" x14ac:dyDescent="0.3">
      <c r="A209" s="117">
        <v>207</v>
      </c>
      <c r="B209" s="131">
        <v>655</v>
      </c>
      <c r="C209" s="111">
        <v>1</v>
      </c>
      <c r="D209" s="111">
        <v>1</v>
      </c>
      <c r="E209" s="118" t="s">
        <v>1163</v>
      </c>
      <c r="F209" s="118" t="s">
        <v>190</v>
      </c>
      <c r="G209" s="119" t="s">
        <v>33</v>
      </c>
      <c r="H209" s="119" t="s">
        <v>796</v>
      </c>
      <c r="I209" s="117"/>
      <c r="J209" s="117"/>
      <c r="K209" s="117" t="s">
        <v>1052</v>
      </c>
      <c r="L209" s="117" t="s">
        <v>1150</v>
      </c>
      <c r="M209" s="111"/>
      <c r="N209" s="122">
        <v>8022007</v>
      </c>
      <c r="O209" s="140">
        <v>2212</v>
      </c>
      <c r="P209" s="227">
        <f t="shared" si="5"/>
        <v>1130.9776412060353</v>
      </c>
      <c r="Q209" s="107">
        <v>36.869999999999997</v>
      </c>
      <c r="R209" s="107">
        <v>0</v>
      </c>
      <c r="S209" s="231"/>
      <c r="T209" s="236"/>
      <c r="U209" s="236"/>
    </row>
    <row r="210" spans="1:21" ht="72" x14ac:dyDescent="0.3">
      <c r="A210" s="117">
        <v>208</v>
      </c>
      <c r="B210" s="131">
        <v>656</v>
      </c>
      <c r="C210" s="111">
        <v>1</v>
      </c>
      <c r="D210" s="111">
        <v>1</v>
      </c>
      <c r="E210" s="118" t="s">
        <v>1163</v>
      </c>
      <c r="F210" s="118" t="s">
        <v>190</v>
      </c>
      <c r="G210" s="119" t="s">
        <v>33</v>
      </c>
      <c r="H210" s="119" t="s">
        <v>796</v>
      </c>
      <c r="I210" s="117"/>
      <c r="J210" s="117"/>
      <c r="K210" s="117" t="s">
        <v>1052</v>
      </c>
      <c r="L210" s="117" t="s">
        <v>1150</v>
      </c>
      <c r="M210" s="111"/>
      <c r="N210" s="122">
        <v>8022007</v>
      </c>
      <c r="O210" s="140">
        <v>2212</v>
      </c>
      <c r="P210" s="227">
        <f t="shared" si="5"/>
        <v>1130.9776412060353</v>
      </c>
      <c r="Q210" s="107">
        <v>36.869999999999997</v>
      </c>
      <c r="R210" s="107">
        <v>0</v>
      </c>
      <c r="S210" s="231"/>
      <c r="T210" s="236"/>
      <c r="U210" s="236"/>
    </row>
    <row r="211" spans="1:21" ht="72" x14ac:dyDescent="0.3">
      <c r="A211" s="117">
        <v>209</v>
      </c>
      <c r="B211" s="110">
        <v>658</v>
      </c>
      <c r="C211" s="111">
        <v>19</v>
      </c>
      <c r="D211" s="111">
        <v>1</v>
      </c>
      <c r="E211" s="118" t="s">
        <v>1163</v>
      </c>
      <c r="F211" s="118" t="s">
        <v>69</v>
      </c>
      <c r="G211" s="118" t="s">
        <v>37</v>
      </c>
      <c r="H211" s="119" t="s">
        <v>965</v>
      </c>
      <c r="I211" s="117"/>
      <c r="J211" s="117"/>
      <c r="K211" s="117" t="s">
        <v>1055</v>
      </c>
      <c r="L211" s="117" t="s">
        <v>1148</v>
      </c>
      <c r="M211" s="111"/>
      <c r="N211" s="122"/>
      <c r="O211" s="141">
        <v>2100</v>
      </c>
      <c r="P211" s="228">
        <f t="shared" si="5"/>
        <v>1073.7129505120588</v>
      </c>
      <c r="Q211" s="107">
        <v>0</v>
      </c>
      <c r="R211" s="107"/>
      <c r="S211" s="231"/>
      <c r="T211" s="236"/>
      <c r="U211" s="236"/>
    </row>
    <row r="212" spans="1:21" ht="72" x14ac:dyDescent="0.3">
      <c r="A212" s="117">
        <v>210</v>
      </c>
      <c r="B212" s="131">
        <v>659</v>
      </c>
      <c r="C212" s="111">
        <v>1</v>
      </c>
      <c r="D212" s="111">
        <v>1</v>
      </c>
      <c r="E212" s="118" t="s">
        <v>1163</v>
      </c>
      <c r="F212" s="118" t="s">
        <v>190</v>
      </c>
      <c r="G212" s="119" t="s">
        <v>33</v>
      </c>
      <c r="H212" s="119" t="s">
        <v>796</v>
      </c>
      <c r="I212" s="117"/>
      <c r="J212" s="117"/>
      <c r="K212" s="117" t="s">
        <v>1067</v>
      </c>
      <c r="L212" s="117" t="s">
        <v>1150</v>
      </c>
      <c r="M212" s="111"/>
      <c r="N212" s="122">
        <v>8022007</v>
      </c>
      <c r="O212" s="140">
        <v>2212</v>
      </c>
      <c r="P212" s="227">
        <f t="shared" si="5"/>
        <v>1130.9776412060353</v>
      </c>
      <c r="Q212" s="107">
        <v>36.869999999999997</v>
      </c>
      <c r="R212" s="107">
        <v>0</v>
      </c>
      <c r="S212" s="231"/>
      <c r="T212" s="236"/>
      <c r="U212" s="236"/>
    </row>
    <row r="213" spans="1:21" ht="72" x14ac:dyDescent="0.3">
      <c r="A213" s="117">
        <v>211</v>
      </c>
      <c r="B213" s="131">
        <v>660</v>
      </c>
      <c r="C213" s="111">
        <v>1</v>
      </c>
      <c r="D213" s="111">
        <v>1</v>
      </c>
      <c r="E213" s="118" t="s">
        <v>1163</v>
      </c>
      <c r="F213" s="118" t="s">
        <v>190</v>
      </c>
      <c r="G213" s="119" t="s">
        <v>33</v>
      </c>
      <c r="H213" s="119" t="s">
        <v>796</v>
      </c>
      <c r="I213" s="117"/>
      <c r="J213" s="117"/>
      <c r="K213" s="117" t="s">
        <v>1056</v>
      </c>
      <c r="L213" s="117" t="s">
        <v>1153</v>
      </c>
      <c r="M213" s="111"/>
      <c r="N213" s="122">
        <v>8022007</v>
      </c>
      <c r="O213" s="140">
        <v>2212</v>
      </c>
      <c r="P213" s="227">
        <f t="shared" si="5"/>
        <v>1130.9776412060353</v>
      </c>
      <c r="Q213" s="107">
        <v>36.869999999999997</v>
      </c>
      <c r="R213" s="107">
        <v>0</v>
      </c>
      <c r="S213" s="231"/>
      <c r="T213" s="236"/>
      <c r="U213" s="236"/>
    </row>
    <row r="214" spans="1:21" ht="72" x14ac:dyDescent="0.3">
      <c r="A214" s="117">
        <v>212</v>
      </c>
      <c r="B214" s="131">
        <v>663</v>
      </c>
      <c r="C214" s="111">
        <v>1</v>
      </c>
      <c r="D214" s="111">
        <v>1</v>
      </c>
      <c r="E214" s="118" t="s">
        <v>1163</v>
      </c>
      <c r="F214" s="118" t="s">
        <v>190</v>
      </c>
      <c r="G214" s="119" t="s">
        <v>33</v>
      </c>
      <c r="H214" s="119" t="s">
        <v>796</v>
      </c>
      <c r="I214" s="117"/>
      <c r="J214" s="117"/>
      <c r="K214" s="117" t="s">
        <v>1061</v>
      </c>
      <c r="L214" s="117" t="s">
        <v>1150</v>
      </c>
      <c r="M214" s="111"/>
      <c r="N214" s="122">
        <v>8022007</v>
      </c>
      <c r="O214" s="140">
        <v>2212</v>
      </c>
      <c r="P214" s="227">
        <f t="shared" si="5"/>
        <v>1130.9776412060353</v>
      </c>
      <c r="Q214" s="107">
        <v>36.869999999999997</v>
      </c>
      <c r="R214" s="107">
        <v>0</v>
      </c>
      <c r="S214" s="231"/>
      <c r="T214" s="236"/>
      <c r="U214" s="236"/>
    </row>
    <row r="215" spans="1:21" ht="72" x14ac:dyDescent="0.3">
      <c r="A215" s="117">
        <v>213</v>
      </c>
      <c r="B215" s="131">
        <v>664</v>
      </c>
      <c r="C215" s="111">
        <v>1</v>
      </c>
      <c r="D215" s="111">
        <v>1</v>
      </c>
      <c r="E215" s="118" t="s">
        <v>1163</v>
      </c>
      <c r="F215" s="118" t="s">
        <v>190</v>
      </c>
      <c r="G215" s="119" t="s">
        <v>33</v>
      </c>
      <c r="H215" s="119" t="s">
        <v>796</v>
      </c>
      <c r="I215" s="117"/>
      <c r="J215" s="117"/>
      <c r="K215" s="117" t="s">
        <v>1061</v>
      </c>
      <c r="L215" s="117" t="s">
        <v>1150</v>
      </c>
      <c r="M215" s="111"/>
      <c r="N215" s="122">
        <v>8022007</v>
      </c>
      <c r="O215" s="140">
        <v>2212</v>
      </c>
      <c r="P215" s="227">
        <f t="shared" si="5"/>
        <v>1130.9776412060353</v>
      </c>
      <c r="Q215" s="107">
        <v>36.869999999999997</v>
      </c>
      <c r="R215" s="107">
        <v>0</v>
      </c>
      <c r="S215" s="231"/>
      <c r="T215" s="236"/>
      <c r="U215" s="236"/>
    </row>
    <row r="216" spans="1:21" ht="72" x14ac:dyDescent="0.3">
      <c r="A216" s="117">
        <v>214</v>
      </c>
      <c r="B216" s="131">
        <v>665</v>
      </c>
      <c r="C216" s="111">
        <v>1</v>
      </c>
      <c r="D216" s="111">
        <v>1</v>
      </c>
      <c r="E216" s="118" t="s">
        <v>1163</v>
      </c>
      <c r="F216" s="118" t="s">
        <v>190</v>
      </c>
      <c r="G216" s="119" t="s">
        <v>31</v>
      </c>
      <c r="H216" s="119" t="s">
        <v>952</v>
      </c>
      <c r="I216" s="117"/>
      <c r="J216" s="117"/>
      <c r="K216" s="117" t="s">
        <v>1063</v>
      </c>
      <c r="L216" s="117" t="s">
        <v>1149</v>
      </c>
      <c r="M216" s="111"/>
      <c r="N216" s="122">
        <v>20042004</v>
      </c>
      <c r="O216" s="140">
        <v>2366.5500000000002</v>
      </c>
      <c r="P216" s="227">
        <f t="shared" si="5"/>
        <v>1209.9978014449109</v>
      </c>
      <c r="Q216" s="107">
        <v>0</v>
      </c>
      <c r="R216" s="107">
        <v>0</v>
      </c>
      <c r="S216" s="231">
        <v>205</v>
      </c>
      <c r="T216" s="236"/>
      <c r="U216" s="236"/>
    </row>
    <row r="217" spans="1:21" ht="72" x14ac:dyDescent="0.3">
      <c r="A217" s="117">
        <v>215</v>
      </c>
      <c r="B217" s="131">
        <v>667</v>
      </c>
      <c r="C217" s="111">
        <v>1</v>
      </c>
      <c r="D217" s="111">
        <v>1</v>
      </c>
      <c r="E217" s="118" t="s">
        <v>1163</v>
      </c>
      <c r="F217" s="118" t="s">
        <v>190</v>
      </c>
      <c r="G217" s="119" t="s">
        <v>33</v>
      </c>
      <c r="H217" s="119" t="s">
        <v>796</v>
      </c>
      <c r="I217" s="117"/>
      <c r="J217" s="117"/>
      <c r="K217" s="117" t="s">
        <v>1061</v>
      </c>
      <c r="L217" s="117" t="s">
        <v>1150</v>
      </c>
      <c r="M217" s="111"/>
      <c r="N217" s="122">
        <v>8022007</v>
      </c>
      <c r="O217" s="140">
        <v>2212</v>
      </c>
      <c r="P217" s="227">
        <f t="shared" si="5"/>
        <v>1130.9776412060353</v>
      </c>
      <c r="Q217" s="107">
        <v>36.869999999999997</v>
      </c>
      <c r="R217" s="107">
        <v>0</v>
      </c>
      <c r="S217" s="231"/>
      <c r="T217" s="236"/>
      <c r="U217" s="236"/>
    </row>
    <row r="218" spans="1:21" ht="72" x14ac:dyDescent="0.3">
      <c r="A218" s="117">
        <v>216</v>
      </c>
      <c r="B218" s="131">
        <v>668</v>
      </c>
      <c r="C218" s="111">
        <v>1</v>
      </c>
      <c r="D218" s="111">
        <v>1</v>
      </c>
      <c r="E218" s="118" t="s">
        <v>1163</v>
      </c>
      <c r="F218" s="118" t="s">
        <v>190</v>
      </c>
      <c r="G218" s="119" t="s">
        <v>33</v>
      </c>
      <c r="H218" s="119" t="s">
        <v>796</v>
      </c>
      <c r="I218" s="117"/>
      <c r="J218" s="117"/>
      <c r="K218" s="117" t="s">
        <v>1056</v>
      </c>
      <c r="L218" s="117" t="s">
        <v>1153</v>
      </c>
      <c r="M218" s="111"/>
      <c r="N218" s="122">
        <v>8022007</v>
      </c>
      <c r="O218" s="140">
        <v>2212</v>
      </c>
      <c r="P218" s="227">
        <f t="shared" si="5"/>
        <v>1130.9776412060353</v>
      </c>
      <c r="Q218" s="107">
        <v>36.869999999999997</v>
      </c>
      <c r="R218" s="107">
        <v>0</v>
      </c>
      <c r="S218" s="231"/>
      <c r="T218" s="236"/>
      <c r="U218" s="236"/>
    </row>
    <row r="219" spans="1:21" ht="72" x14ac:dyDescent="0.3">
      <c r="A219" s="117">
        <v>217</v>
      </c>
      <c r="B219" s="131">
        <v>670</v>
      </c>
      <c r="C219" s="111">
        <v>12</v>
      </c>
      <c r="D219" s="111">
        <v>2</v>
      </c>
      <c r="E219" s="118" t="s">
        <v>1151</v>
      </c>
      <c r="F219" s="118" t="s">
        <v>197</v>
      </c>
      <c r="G219" s="119" t="s">
        <v>38</v>
      </c>
      <c r="H219" s="117" t="s">
        <v>966</v>
      </c>
      <c r="I219" s="117"/>
      <c r="J219" s="117" t="s">
        <v>1082</v>
      </c>
      <c r="K219" s="117" t="s">
        <v>1056</v>
      </c>
      <c r="L219" s="117" t="s">
        <v>1153</v>
      </c>
      <c r="M219" s="111"/>
      <c r="N219" s="122">
        <v>3122004</v>
      </c>
      <c r="O219" s="140">
        <v>61622.73</v>
      </c>
      <c r="P219" s="227">
        <f t="shared" si="5"/>
        <v>31507.201546146651</v>
      </c>
      <c r="Q219" s="107">
        <v>1027.05</v>
      </c>
      <c r="R219" s="107">
        <v>0</v>
      </c>
      <c r="S219" s="231"/>
      <c r="T219" s="236"/>
      <c r="U219" s="236"/>
    </row>
    <row r="220" spans="1:21" ht="72" x14ac:dyDescent="0.3">
      <c r="A220" s="117">
        <v>218</v>
      </c>
      <c r="B220" s="131">
        <v>671</v>
      </c>
      <c r="C220" s="111">
        <v>1</v>
      </c>
      <c r="D220" s="111">
        <v>1</v>
      </c>
      <c r="E220" s="118" t="s">
        <v>1163</v>
      </c>
      <c r="F220" s="118" t="s">
        <v>190</v>
      </c>
      <c r="G220" s="119" t="s">
        <v>33</v>
      </c>
      <c r="H220" s="119" t="s">
        <v>796</v>
      </c>
      <c r="I220" s="117"/>
      <c r="J220" s="117"/>
      <c r="K220" s="117" t="s">
        <v>1052</v>
      </c>
      <c r="L220" s="117" t="s">
        <v>1150</v>
      </c>
      <c r="M220" s="111"/>
      <c r="N220" s="122">
        <v>8022007</v>
      </c>
      <c r="O220" s="140">
        <v>2212</v>
      </c>
      <c r="P220" s="227">
        <f t="shared" si="5"/>
        <v>1130.9776412060353</v>
      </c>
      <c r="Q220" s="107">
        <v>36.869999999999997</v>
      </c>
      <c r="R220" s="107">
        <v>0</v>
      </c>
      <c r="S220" s="231"/>
      <c r="T220" s="236"/>
      <c r="U220" s="236"/>
    </row>
    <row r="221" spans="1:21" ht="72" x14ac:dyDescent="0.3">
      <c r="A221" s="117">
        <v>219</v>
      </c>
      <c r="B221" s="131">
        <v>674</v>
      </c>
      <c r="C221" s="111">
        <v>1</v>
      </c>
      <c r="D221" s="111">
        <v>1</v>
      </c>
      <c r="E221" s="118" t="s">
        <v>1163</v>
      </c>
      <c r="F221" s="118" t="s">
        <v>190</v>
      </c>
      <c r="G221" s="119" t="s">
        <v>31</v>
      </c>
      <c r="H221" s="119" t="s">
        <v>967</v>
      </c>
      <c r="I221" s="117"/>
      <c r="J221" s="117"/>
      <c r="K221" s="117" t="s">
        <v>1059</v>
      </c>
      <c r="L221" s="117" t="s">
        <v>1150</v>
      </c>
      <c r="M221" s="111"/>
      <c r="N221" s="122">
        <v>20042004</v>
      </c>
      <c r="O221" s="140">
        <v>2366.5500000000002</v>
      </c>
      <c r="P221" s="227">
        <f t="shared" si="5"/>
        <v>1209.9978014449109</v>
      </c>
      <c r="Q221" s="107">
        <v>0</v>
      </c>
      <c r="R221" s="107">
        <v>0</v>
      </c>
      <c r="S221" s="231"/>
      <c r="T221" s="236"/>
      <c r="U221" s="236"/>
    </row>
    <row r="222" spans="1:21" ht="72" x14ac:dyDescent="0.3">
      <c r="A222" s="117">
        <v>220</v>
      </c>
      <c r="B222" s="131">
        <v>677</v>
      </c>
      <c r="C222" s="111">
        <v>1</v>
      </c>
      <c r="D222" s="111">
        <v>1</v>
      </c>
      <c r="E222" s="118" t="s">
        <v>1163</v>
      </c>
      <c r="F222" s="118" t="s">
        <v>190</v>
      </c>
      <c r="G222" s="119" t="s">
        <v>31</v>
      </c>
      <c r="H222" s="119" t="s">
        <v>967</v>
      </c>
      <c r="I222" s="117"/>
      <c r="J222" s="117"/>
      <c r="K222" s="117" t="s">
        <v>1059</v>
      </c>
      <c r="L222" s="117" t="s">
        <v>1150</v>
      </c>
      <c r="M222" s="111"/>
      <c r="N222" s="122">
        <v>20042004</v>
      </c>
      <c r="O222" s="140">
        <v>2366.5500000000002</v>
      </c>
      <c r="P222" s="227">
        <f t="shared" si="5"/>
        <v>1209.9978014449109</v>
      </c>
      <c r="Q222" s="107">
        <v>0</v>
      </c>
      <c r="R222" s="107">
        <v>0</v>
      </c>
      <c r="S222" s="231"/>
      <c r="T222" s="236"/>
      <c r="U222" s="236"/>
    </row>
    <row r="223" spans="1:21" ht="72" x14ac:dyDescent="0.3">
      <c r="A223" s="117">
        <v>221</v>
      </c>
      <c r="B223" s="131">
        <v>678</v>
      </c>
      <c r="C223" s="111">
        <v>1</v>
      </c>
      <c r="D223" s="111">
        <v>1</v>
      </c>
      <c r="E223" s="118" t="s">
        <v>1163</v>
      </c>
      <c r="F223" s="118" t="s">
        <v>190</v>
      </c>
      <c r="G223" s="119" t="s">
        <v>31</v>
      </c>
      <c r="H223" s="119" t="s">
        <v>967</v>
      </c>
      <c r="I223" s="117"/>
      <c r="J223" s="117"/>
      <c r="K223" s="117" t="s">
        <v>1063</v>
      </c>
      <c r="L223" s="117" t="s">
        <v>1149</v>
      </c>
      <c r="M223" s="111"/>
      <c r="N223" s="122">
        <v>20042004</v>
      </c>
      <c r="O223" s="140">
        <v>2366.5500000000002</v>
      </c>
      <c r="P223" s="227">
        <f t="shared" si="5"/>
        <v>1209.9978014449109</v>
      </c>
      <c r="Q223" s="107">
        <v>0</v>
      </c>
      <c r="R223" s="107">
        <v>0</v>
      </c>
      <c r="S223" s="231">
        <v>205</v>
      </c>
      <c r="T223" s="236"/>
      <c r="U223" s="236"/>
    </row>
    <row r="224" spans="1:21" ht="72" x14ac:dyDescent="0.3">
      <c r="A224" s="117">
        <v>222</v>
      </c>
      <c r="B224" s="131">
        <v>700</v>
      </c>
      <c r="C224" s="111">
        <v>1</v>
      </c>
      <c r="D224" s="111">
        <v>1</v>
      </c>
      <c r="E224" s="118" t="s">
        <v>1163</v>
      </c>
      <c r="F224" s="118" t="s">
        <v>190</v>
      </c>
      <c r="G224" s="119" t="s">
        <v>33</v>
      </c>
      <c r="H224" s="119" t="s">
        <v>796</v>
      </c>
      <c r="I224" s="117"/>
      <c r="J224" s="117"/>
      <c r="K224" s="117" t="s">
        <v>1059</v>
      </c>
      <c r="L224" s="117" t="s">
        <v>1150</v>
      </c>
      <c r="M224" s="111"/>
      <c r="N224" s="122">
        <v>30052002</v>
      </c>
      <c r="O224" s="140">
        <v>3106.53</v>
      </c>
      <c r="P224" s="227">
        <f t="shared" si="5"/>
        <v>1588.3435676924887</v>
      </c>
      <c r="Q224" s="107">
        <v>51.78</v>
      </c>
      <c r="R224" s="107">
        <v>0</v>
      </c>
      <c r="S224" s="231"/>
      <c r="T224" s="236"/>
      <c r="U224" s="236"/>
    </row>
    <row r="225" spans="1:21" ht="72" x14ac:dyDescent="0.3">
      <c r="A225" s="117">
        <v>223</v>
      </c>
      <c r="B225" s="131">
        <v>701</v>
      </c>
      <c r="C225" s="111">
        <v>1</v>
      </c>
      <c r="D225" s="111">
        <v>1</v>
      </c>
      <c r="E225" s="118" t="s">
        <v>1163</v>
      </c>
      <c r="F225" s="118" t="s">
        <v>190</v>
      </c>
      <c r="G225" s="119" t="s">
        <v>33</v>
      </c>
      <c r="H225" s="119" t="s">
        <v>796</v>
      </c>
      <c r="I225" s="117"/>
      <c r="J225" s="117"/>
      <c r="K225" s="117" t="s">
        <v>1061</v>
      </c>
      <c r="L225" s="117" t="s">
        <v>1150</v>
      </c>
      <c r="M225" s="111"/>
      <c r="N225" s="122">
        <v>30052002</v>
      </c>
      <c r="O225" s="140">
        <v>3106.53</v>
      </c>
      <c r="P225" s="227">
        <f t="shared" si="5"/>
        <v>1588.3435676924887</v>
      </c>
      <c r="Q225" s="107">
        <v>51.78</v>
      </c>
      <c r="R225" s="107">
        <v>0</v>
      </c>
      <c r="S225" s="231"/>
      <c r="T225" s="236"/>
      <c r="U225" s="236"/>
    </row>
    <row r="226" spans="1:21" ht="72" x14ac:dyDescent="0.3">
      <c r="A226" s="117">
        <v>224</v>
      </c>
      <c r="B226" s="131">
        <v>702</v>
      </c>
      <c r="C226" s="111">
        <v>1</v>
      </c>
      <c r="D226" s="111">
        <v>1</v>
      </c>
      <c r="E226" s="118" t="s">
        <v>1163</v>
      </c>
      <c r="F226" s="118" t="s">
        <v>190</v>
      </c>
      <c r="G226" s="119" t="s">
        <v>33</v>
      </c>
      <c r="H226" s="119" t="s">
        <v>796</v>
      </c>
      <c r="I226" s="117"/>
      <c r="J226" s="117"/>
      <c r="K226" s="117" t="s">
        <v>1061</v>
      </c>
      <c r="L226" s="117" t="s">
        <v>1150</v>
      </c>
      <c r="M226" s="111"/>
      <c r="N226" s="122">
        <v>30052002</v>
      </c>
      <c r="O226" s="140">
        <v>3106.53</v>
      </c>
      <c r="P226" s="227">
        <f t="shared" si="5"/>
        <v>1588.3435676924887</v>
      </c>
      <c r="Q226" s="107">
        <v>51.78</v>
      </c>
      <c r="R226" s="107">
        <v>0</v>
      </c>
      <c r="S226" s="231"/>
      <c r="T226" s="236"/>
      <c r="U226" s="236"/>
    </row>
    <row r="227" spans="1:21" ht="72" x14ac:dyDescent="0.3">
      <c r="A227" s="117">
        <v>225</v>
      </c>
      <c r="B227" s="131">
        <v>703</v>
      </c>
      <c r="C227" s="111">
        <v>1</v>
      </c>
      <c r="D227" s="111">
        <v>1</v>
      </c>
      <c r="E227" s="118" t="s">
        <v>1163</v>
      </c>
      <c r="F227" s="118" t="s">
        <v>190</v>
      </c>
      <c r="G227" s="119" t="s">
        <v>33</v>
      </c>
      <c r="H227" s="119" t="s">
        <v>796</v>
      </c>
      <c r="I227" s="117"/>
      <c r="J227" s="117"/>
      <c r="K227" s="117" t="s">
        <v>1061</v>
      </c>
      <c r="L227" s="117" t="s">
        <v>1150</v>
      </c>
      <c r="M227" s="111"/>
      <c r="N227" s="122">
        <v>30052002</v>
      </c>
      <c r="O227" s="140">
        <v>3106.53</v>
      </c>
      <c r="P227" s="227">
        <f t="shared" si="5"/>
        <v>1588.3435676924887</v>
      </c>
      <c r="Q227" s="107">
        <v>51.78</v>
      </c>
      <c r="R227" s="107">
        <v>0</v>
      </c>
      <c r="S227" s="231"/>
      <c r="T227" s="236"/>
      <c r="U227" s="236"/>
    </row>
    <row r="228" spans="1:21" ht="72" x14ac:dyDescent="0.3">
      <c r="A228" s="117">
        <v>226</v>
      </c>
      <c r="B228" s="131">
        <v>704</v>
      </c>
      <c r="C228" s="111">
        <v>1</v>
      </c>
      <c r="D228" s="111">
        <v>1</v>
      </c>
      <c r="E228" s="118" t="s">
        <v>1163</v>
      </c>
      <c r="F228" s="118" t="s">
        <v>190</v>
      </c>
      <c r="G228" s="119" t="s">
        <v>33</v>
      </c>
      <c r="H228" s="119" t="s">
        <v>796</v>
      </c>
      <c r="I228" s="117"/>
      <c r="J228" s="117"/>
      <c r="K228" s="117" t="s">
        <v>1052</v>
      </c>
      <c r="L228" s="117" t="s">
        <v>1150</v>
      </c>
      <c r="M228" s="111"/>
      <c r="N228" s="122">
        <v>30052002</v>
      </c>
      <c r="O228" s="140">
        <v>3106.53</v>
      </c>
      <c r="P228" s="227">
        <f t="shared" si="5"/>
        <v>1588.3435676924887</v>
      </c>
      <c r="Q228" s="107">
        <v>51.78</v>
      </c>
      <c r="R228" s="107">
        <v>0</v>
      </c>
      <c r="S228" s="231"/>
      <c r="T228" s="236"/>
      <c r="U228" s="236"/>
    </row>
    <row r="229" spans="1:21" ht="72" x14ac:dyDescent="0.3">
      <c r="A229" s="117">
        <v>227</v>
      </c>
      <c r="B229" s="131">
        <v>705</v>
      </c>
      <c r="C229" s="111">
        <v>1</v>
      </c>
      <c r="D229" s="111">
        <v>1</v>
      </c>
      <c r="E229" s="118" t="s">
        <v>1163</v>
      </c>
      <c r="F229" s="118" t="s">
        <v>190</v>
      </c>
      <c r="G229" s="119" t="s">
        <v>33</v>
      </c>
      <c r="H229" s="119" t="s">
        <v>796</v>
      </c>
      <c r="I229" s="117"/>
      <c r="J229" s="117"/>
      <c r="K229" s="117" t="s">
        <v>1059</v>
      </c>
      <c r="L229" s="117" t="s">
        <v>1150</v>
      </c>
      <c r="M229" s="111"/>
      <c r="N229" s="122">
        <v>30052002</v>
      </c>
      <c r="O229" s="140">
        <v>3290.97</v>
      </c>
      <c r="P229" s="227">
        <f t="shared" si="5"/>
        <v>1682.646242260319</v>
      </c>
      <c r="Q229" s="107">
        <v>54.85</v>
      </c>
      <c r="R229" s="107">
        <v>0</v>
      </c>
      <c r="S229" s="231"/>
      <c r="T229" s="236"/>
      <c r="U229" s="236"/>
    </row>
    <row r="230" spans="1:21" ht="72" x14ac:dyDescent="0.3">
      <c r="A230" s="117">
        <v>228</v>
      </c>
      <c r="B230" s="110">
        <v>706</v>
      </c>
      <c r="C230" s="111">
        <v>1</v>
      </c>
      <c r="D230" s="111">
        <v>1</v>
      </c>
      <c r="E230" s="118" t="s">
        <v>1163</v>
      </c>
      <c r="F230" s="118" t="s">
        <v>190</v>
      </c>
      <c r="G230" s="119" t="s">
        <v>33</v>
      </c>
      <c r="H230" s="119" t="s">
        <v>796</v>
      </c>
      <c r="I230" s="117"/>
      <c r="J230" s="117"/>
      <c r="K230" s="117" t="s">
        <v>1056</v>
      </c>
      <c r="L230" s="117" t="s">
        <v>1153</v>
      </c>
      <c r="M230" s="111"/>
      <c r="N230" s="122" t="s">
        <v>227</v>
      </c>
      <c r="O230" s="140">
        <v>3290.97</v>
      </c>
      <c r="P230" s="227">
        <f t="shared" si="5"/>
        <v>1682.646242260319</v>
      </c>
      <c r="Q230" s="107">
        <v>54.85</v>
      </c>
      <c r="R230" s="107">
        <v>0</v>
      </c>
      <c r="S230" s="231"/>
      <c r="T230" s="236"/>
      <c r="U230" s="236"/>
    </row>
    <row r="231" spans="1:21" ht="72" x14ac:dyDescent="0.3">
      <c r="A231" s="117">
        <v>229</v>
      </c>
      <c r="B231" s="131">
        <v>707</v>
      </c>
      <c r="C231" s="111">
        <v>1</v>
      </c>
      <c r="D231" s="111">
        <v>1</v>
      </c>
      <c r="E231" s="118" t="s">
        <v>1163</v>
      </c>
      <c r="F231" s="118" t="s">
        <v>190</v>
      </c>
      <c r="G231" s="119" t="s">
        <v>33</v>
      </c>
      <c r="H231" s="119" t="s">
        <v>796</v>
      </c>
      <c r="I231" s="117"/>
      <c r="J231" s="117"/>
      <c r="K231" s="117" t="s">
        <v>1066</v>
      </c>
      <c r="L231" s="117" t="s">
        <v>1149</v>
      </c>
      <c r="M231" s="111"/>
      <c r="N231" s="122">
        <v>30052002</v>
      </c>
      <c r="O231" s="140">
        <v>3290.97</v>
      </c>
      <c r="P231" s="227">
        <f t="shared" si="5"/>
        <v>1682.646242260319</v>
      </c>
      <c r="Q231" s="107">
        <v>54.85</v>
      </c>
      <c r="R231" s="107">
        <v>0</v>
      </c>
      <c r="S231" s="231">
        <v>205</v>
      </c>
      <c r="T231" s="236"/>
      <c r="U231" s="236"/>
    </row>
    <row r="232" spans="1:21" ht="72" x14ac:dyDescent="0.3">
      <c r="A232" s="117">
        <v>230</v>
      </c>
      <c r="B232" s="110">
        <v>708</v>
      </c>
      <c r="C232" s="111">
        <v>1</v>
      </c>
      <c r="D232" s="111">
        <v>1</v>
      </c>
      <c r="E232" s="118" t="s">
        <v>1163</v>
      </c>
      <c r="F232" s="118" t="s">
        <v>190</v>
      </c>
      <c r="G232" s="119" t="s">
        <v>33</v>
      </c>
      <c r="H232" s="119" t="s">
        <v>796</v>
      </c>
      <c r="I232" s="117"/>
      <c r="J232" s="117"/>
      <c r="K232" s="117" t="s">
        <v>1067</v>
      </c>
      <c r="L232" s="117" t="s">
        <v>1150</v>
      </c>
      <c r="M232" s="111"/>
      <c r="N232" s="122"/>
      <c r="O232" s="140">
        <v>2788.84</v>
      </c>
      <c r="P232" s="227">
        <f t="shared" si="5"/>
        <v>1425.9112499552621</v>
      </c>
      <c r="Q232" s="107">
        <v>0</v>
      </c>
      <c r="R232" s="107"/>
      <c r="S232" s="231"/>
      <c r="T232" s="236"/>
      <c r="U232" s="236"/>
    </row>
    <row r="233" spans="1:21" ht="72" x14ac:dyDescent="0.3">
      <c r="A233" s="117">
        <v>231</v>
      </c>
      <c r="B233" s="110">
        <v>709</v>
      </c>
      <c r="C233" s="111">
        <v>1</v>
      </c>
      <c r="D233" s="111">
        <v>1</v>
      </c>
      <c r="E233" s="118" t="s">
        <v>1163</v>
      </c>
      <c r="F233" s="118" t="s">
        <v>190</v>
      </c>
      <c r="G233" s="119" t="s">
        <v>33</v>
      </c>
      <c r="H233" s="119" t="s">
        <v>796</v>
      </c>
      <c r="I233" s="117"/>
      <c r="J233" s="117"/>
      <c r="K233" s="117" t="s">
        <v>1056</v>
      </c>
      <c r="L233" s="117" t="s">
        <v>1153</v>
      </c>
      <c r="M233" s="111"/>
      <c r="N233" s="122"/>
      <c r="O233" s="140">
        <v>2788.84</v>
      </c>
      <c r="P233" s="227">
        <f t="shared" si="5"/>
        <v>1425.9112499552621</v>
      </c>
      <c r="Q233" s="107">
        <v>0</v>
      </c>
      <c r="R233" s="107"/>
      <c r="S233" s="231"/>
      <c r="T233" s="236"/>
      <c r="U233" s="236"/>
    </row>
    <row r="234" spans="1:21" ht="72" x14ac:dyDescent="0.3">
      <c r="A234" s="117">
        <v>232</v>
      </c>
      <c r="B234" s="131">
        <v>710</v>
      </c>
      <c r="C234" s="111">
        <v>1</v>
      </c>
      <c r="D234" s="111">
        <v>1</v>
      </c>
      <c r="E234" s="118" t="s">
        <v>1163</v>
      </c>
      <c r="F234" s="118" t="s">
        <v>190</v>
      </c>
      <c r="G234" s="119" t="s">
        <v>33</v>
      </c>
      <c r="H234" s="119" t="s">
        <v>796</v>
      </c>
      <c r="I234" s="117"/>
      <c r="J234" s="117"/>
      <c r="K234" s="117" t="s">
        <v>1063</v>
      </c>
      <c r="L234" s="117" t="s">
        <v>1149</v>
      </c>
      <c r="M234" s="111"/>
      <c r="N234" s="122">
        <v>30052002</v>
      </c>
      <c r="O234" s="140">
        <v>3290.97</v>
      </c>
      <c r="P234" s="227">
        <f t="shared" si="5"/>
        <v>1682.646242260319</v>
      </c>
      <c r="Q234" s="107">
        <v>54.85</v>
      </c>
      <c r="R234" s="107">
        <v>0</v>
      </c>
      <c r="S234" s="231">
        <v>205</v>
      </c>
      <c r="T234" s="236"/>
      <c r="U234" s="236"/>
    </row>
    <row r="235" spans="1:21" ht="72" x14ac:dyDescent="0.3">
      <c r="A235" s="117">
        <v>233</v>
      </c>
      <c r="B235" s="131">
        <v>711</v>
      </c>
      <c r="C235" s="111">
        <v>1</v>
      </c>
      <c r="D235" s="111">
        <v>1</v>
      </c>
      <c r="E235" s="118" t="s">
        <v>1163</v>
      </c>
      <c r="F235" s="118" t="s">
        <v>190</v>
      </c>
      <c r="G235" s="119" t="s">
        <v>33</v>
      </c>
      <c r="H235" s="119" t="s">
        <v>796</v>
      </c>
      <c r="I235" s="117"/>
      <c r="J235" s="117"/>
      <c r="K235" s="117" t="s">
        <v>1059</v>
      </c>
      <c r="L235" s="117" t="s">
        <v>1150</v>
      </c>
      <c r="M235" s="111"/>
      <c r="N235" s="122">
        <v>30052002</v>
      </c>
      <c r="O235" s="140">
        <v>3106.53</v>
      </c>
      <c r="P235" s="227">
        <f t="shared" si="5"/>
        <v>1588.3435676924887</v>
      </c>
      <c r="Q235" s="107">
        <v>51.78</v>
      </c>
      <c r="R235" s="107">
        <v>0</v>
      </c>
      <c r="S235" s="231"/>
      <c r="T235" s="236"/>
      <c r="U235" s="236"/>
    </row>
    <row r="236" spans="1:21" ht="72" x14ac:dyDescent="0.3">
      <c r="A236" s="117">
        <v>234</v>
      </c>
      <c r="B236" s="110">
        <v>713</v>
      </c>
      <c r="C236" s="111">
        <v>1</v>
      </c>
      <c r="D236" s="111">
        <v>1</v>
      </c>
      <c r="E236" s="118" t="s">
        <v>1163</v>
      </c>
      <c r="F236" s="118" t="s">
        <v>190</v>
      </c>
      <c r="G236" s="119" t="s">
        <v>33</v>
      </c>
      <c r="H236" s="119" t="s">
        <v>796</v>
      </c>
      <c r="I236" s="117"/>
      <c r="J236" s="117"/>
      <c r="K236" s="117" t="s">
        <v>1052</v>
      </c>
      <c r="L236" s="117" t="s">
        <v>1150</v>
      </c>
      <c r="M236" s="111"/>
      <c r="N236" s="122"/>
      <c r="O236" s="140">
        <v>2788.84</v>
      </c>
      <c r="P236" s="227">
        <f t="shared" si="5"/>
        <v>1425.9112499552621</v>
      </c>
      <c r="Q236" s="107">
        <v>0</v>
      </c>
      <c r="R236" s="107"/>
      <c r="S236" s="231"/>
      <c r="T236" s="236"/>
      <c r="U236" s="236"/>
    </row>
    <row r="237" spans="1:21" ht="72" x14ac:dyDescent="0.3">
      <c r="A237" s="117">
        <v>235</v>
      </c>
      <c r="B237" s="131">
        <v>714</v>
      </c>
      <c r="C237" s="111">
        <v>1</v>
      </c>
      <c r="D237" s="111">
        <v>1</v>
      </c>
      <c r="E237" s="118" t="s">
        <v>1163</v>
      </c>
      <c r="F237" s="118" t="s">
        <v>190</v>
      </c>
      <c r="G237" s="119" t="s">
        <v>33</v>
      </c>
      <c r="H237" s="119" t="s">
        <v>796</v>
      </c>
      <c r="I237" s="117"/>
      <c r="J237" s="117"/>
      <c r="K237" s="117" t="s">
        <v>1063</v>
      </c>
      <c r="L237" s="117" t="s">
        <v>1149</v>
      </c>
      <c r="M237" s="111"/>
      <c r="N237" s="122">
        <v>30052002</v>
      </c>
      <c r="O237" s="140">
        <v>3106.53</v>
      </c>
      <c r="P237" s="227">
        <f t="shared" si="5"/>
        <v>1588.3435676924887</v>
      </c>
      <c r="Q237" s="107">
        <v>51.78</v>
      </c>
      <c r="R237" s="107">
        <v>0</v>
      </c>
      <c r="S237" s="231">
        <v>205</v>
      </c>
      <c r="T237" s="236"/>
      <c r="U237" s="236"/>
    </row>
    <row r="238" spans="1:21" ht="72" x14ac:dyDescent="0.3">
      <c r="A238" s="117">
        <v>236</v>
      </c>
      <c r="B238" s="131">
        <v>715</v>
      </c>
      <c r="C238" s="111">
        <v>1</v>
      </c>
      <c r="D238" s="111">
        <v>1</v>
      </c>
      <c r="E238" s="118" t="s">
        <v>1163</v>
      </c>
      <c r="F238" s="118" t="s">
        <v>190</v>
      </c>
      <c r="G238" s="119" t="s">
        <v>33</v>
      </c>
      <c r="H238" s="119" t="s">
        <v>796</v>
      </c>
      <c r="I238" s="117"/>
      <c r="J238" s="117"/>
      <c r="K238" s="117" t="s">
        <v>1066</v>
      </c>
      <c r="L238" s="117" t="s">
        <v>1149</v>
      </c>
      <c r="M238" s="111"/>
      <c r="N238" s="122">
        <v>30052002</v>
      </c>
      <c r="O238" s="140">
        <v>3106.53</v>
      </c>
      <c r="P238" s="227">
        <f t="shared" si="5"/>
        <v>1588.3435676924887</v>
      </c>
      <c r="Q238" s="107">
        <v>51.78</v>
      </c>
      <c r="R238" s="107">
        <v>0</v>
      </c>
      <c r="S238" s="231">
        <v>205</v>
      </c>
      <c r="T238" s="236"/>
      <c r="U238" s="236"/>
    </row>
    <row r="239" spans="1:21" ht="72" x14ac:dyDescent="0.3">
      <c r="A239" s="117">
        <v>237</v>
      </c>
      <c r="B239" s="110">
        <v>716</v>
      </c>
      <c r="C239" s="111">
        <v>1</v>
      </c>
      <c r="D239" s="111">
        <v>1</v>
      </c>
      <c r="E239" s="118" t="s">
        <v>1163</v>
      </c>
      <c r="F239" s="118" t="s">
        <v>190</v>
      </c>
      <c r="G239" s="119" t="s">
        <v>33</v>
      </c>
      <c r="H239" s="119" t="s">
        <v>796</v>
      </c>
      <c r="I239" s="117"/>
      <c r="J239" s="117"/>
      <c r="K239" s="117" t="s">
        <v>1052</v>
      </c>
      <c r="L239" s="117" t="s">
        <v>1150</v>
      </c>
      <c r="M239" s="111"/>
      <c r="N239" s="122"/>
      <c r="O239" s="140">
        <v>2788.84</v>
      </c>
      <c r="P239" s="227">
        <f t="shared" si="5"/>
        <v>1425.9112499552621</v>
      </c>
      <c r="Q239" s="107">
        <v>0</v>
      </c>
      <c r="R239" s="107">
        <v>0</v>
      </c>
      <c r="S239" s="231"/>
      <c r="T239" s="236"/>
      <c r="U239" s="236"/>
    </row>
    <row r="240" spans="1:21" ht="72" x14ac:dyDescent="0.3">
      <c r="A240" s="117">
        <v>238</v>
      </c>
      <c r="B240" s="131">
        <v>717</v>
      </c>
      <c r="C240" s="111">
        <v>1</v>
      </c>
      <c r="D240" s="111">
        <v>1</v>
      </c>
      <c r="E240" s="118" t="s">
        <v>1163</v>
      </c>
      <c r="F240" s="118" t="s">
        <v>190</v>
      </c>
      <c r="G240" s="119" t="s">
        <v>33</v>
      </c>
      <c r="H240" s="119" t="s">
        <v>796</v>
      </c>
      <c r="I240" s="117"/>
      <c r="J240" s="117"/>
      <c r="K240" s="117" t="s">
        <v>1063</v>
      </c>
      <c r="L240" s="117" t="s">
        <v>1149</v>
      </c>
      <c r="M240" s="111"/>
      <c r="N240" s="122">
        <v>30052002</v>
      </c>
      <c r="O240" s="140">
        <v>3290.97</v>
      </c>
      <c r="P240" s="227">
        <f t="shared" si="5"/>
        <v>1682.646242260319</v>
      </c>
      <c r="Q240" s="107">
        <v>54.85</v>
      </c>
      <c r="R240" s="107">
        <v>0</v>
      </c>
      <c r="S240" s="231">
        <v>205</v>
      </c>
      <c r="T240" s="236"/>
      <c r="U240" s="236"/>
    </row>
    <row r="241" spans="1:21" ht="72" x14ac:dyDescent="0.3">
      <c r="A241" s="117">
        <v>239</v>
      </c>
      <c r="B241" s="131">
        <v>718</v>
      </c>
      <c r="C241" s="111">
        <v>1</v>
      </c>
      <c r="D241" s="111">
        <v>1</v>
      </c>
      <c r="E241" s="118" t="s">
        <v>1163</v>
      </c>
      <c r="F241" s="118" t="s">
        <v>190</v>
      </c>
      <c r="G241" s="119" t="s">
        <v>33</v>
      </c>
      <c r="H241" s="119" t="s">
        <v>796</v>
      </c>
      <c r="I241" s="117"/>
      <c r="J241" s="117"/>
      <c r="K241" s="117" t="s">
        <v>1061</v>
      </c>
      <c r="L241" s="117" t="s">
        <v>1150</v>
      </c>
      <c r="M241" s="111"/>
      <c r="N241" s="122">
        <v>30052002</v>
      </c>
      <c r="O241" s="140">
        <v>3106.53</v>
      </c>
      <c r="P241" s="227">
        <f t="shared" si="5"/>
        <v>1588.3435676924887</v>
      </c>
      <c r="Q241" s="107">
        <v>51.78</v>
      </c>
      <c r="R241" s="107">
        <v>0</v>
      </c>
      <c r="S241" s="231"/>
      <c r="T241" s="236"/>
      <c r="U241" s="236"/>
    </row>
    <row r="242" spans="1:21" ht="72" x14ac:dyDescent="0.3">
      <c r="A242" s="117">
        <v>240</v>
      </c>
      <c r="B242" s="110">
        <v>719</v>
      </c>
      <c r="C242" s="111">
        <v>1</v>
      </c>
      <c r="D242" s="111">
        <v>1</v>
      </c>
      <c r="E242" s="118" t="s">
        <v>1163</v>
      </c>
      <c r="F242" s="118" t="s">
        <v>190</v>
      </c>
      <c r="G242" s="119" t="s">
        <v>33</v>
      </c>
      <c r="H242" s="119" t="s">
        <v>796</v>
      </c>
      <c r="I242" s="117"/>
      <c r="J242" s="117"/>
      <c r="K242" s="117" t="s">
        <v>1059</v>
      </c>
      <c r="L242" s="117" t="s">
        <v>1150</v>
      </c>
      <c r="M242" s="111"/>
      <c r="N242" s="122"/>
      <c r="O242" s="140">
        <v>2788.84</v>
      </c>
      <c r="P242" s="227">
        <f t="shared" si="5"/>
        <v>1425.9112499552621</v>
      </c>
      <c r="Q242" s="107">
        <v>0</v>
      </c>
      <c r="R242" s="107">
        <v>0</v>
      </c>
      <c r="S242" s="231"/>
      <c r="T242" s="236"/>
      <c r="U242" s="236"/>
    </row>
    <row r="243" spans="1:21" ht="57.6" x14ac:dyDescent="0.3">
      <c r="A243" s="117">
        <v>241</v>
      </c>
      <c r="B243" s="131">
        <v>720</v>
      </c>
      <c r="C243" s="111">
        <v>16</v>
      </c>
      <c r="D243" s="111">
        <v>4</v>
      </c>
      <c r="E243" s="118" t="s">
        <v>1353</v>
      </c>
      <c r="F243" s="118" t="s">
        <v>201</v>
      </c>
      <c r="G243" s="119" t="s">
        <v>39</v>
      </c>
      <c r="H243" s="119" t="s">
        <v>968</v>
      </c>
      <c r="I243" s="117" t="s">
        <v>1171</v>
      </c>
      <c r="J243" s="117" t="s">
        <v>1176</v>
      </c>
      <c r="K243" s="117" t="s">
        <v>1066</v>
      </c>
      <c r="L243" s="117" t="s">
        <v>1149</v>
      </c>
      <c r="M243" s="111"/>
      <c r="N243" s="122">
        <v>24022005</v>
      </c>
      <c r="O243" s="140">
        <v>4257.84</v>
      </c>
      <c r="P243" s="227">
        <f t="shared" si="5"/>
        <v>2176.9990234325069</v>
      </c>
      <c r="Q243" s="107">
        <v>70.959999999999994</v>
      </c>
      <c r="R243" s="107">
        <v>0</v>
      </c>
      <c r="S243" s="231">
        <f>P243*0.4</f>
        <v>870.7996093730028</v>
      </c>
      <c r="T243" s="236"/>
      <c r="U243" s="236"/>
    </row>
    <row r="244" spans="1:21" ht="72" x14ac:dyDescent="0.3">
      <c r="A244" s="117">
        <v>242</v>
      </c>
      <c r="B244" s="131">
        <v>732</v>
      </c>
      <c r="C244" s="111">
        <v>9</v>
      </c>
      <c r="D244" s="111">
        <v>2</v>
      </c>
      <c r="E244" s="118" t="s">
        <v>1151</v>
      </c>
      <c r="F244" s="118" t="s">
        <v>195</v>
      </c>
      <c r="G244" s="119" t="s">
        <v>40</v>
      </c>
      <c r="H244" s="119" t="s">
        <v>969</v>
      </c>
      <c r="I244" s="117" t="s">
        <v>1078</v>
      </c>
      <c r="J244" s="117" t="s">
        <v>1236</v>
      </c>
      <c r="K244" s="117" t="s">
        <v>1063</v>
      </c>
      <c r="L244" s="117" t="s">
        <v>1149</v>
      </c>
      <c r="M244" s="111"/>
      <c r="N244" s="122">
        <v>15102001</v>
      </c>
      <c r="O244" s="140">
        <v>3126.57</v>
      </c>
      <c r="P244" s="227">
        <f t="shared" si="5"/>
        <v>1598.589856991661</v>
      </c>
      <c r="Q244" s="107">
        <v>52.11</v>
      </c>
      <c r="R244" s="107">
        <v>0</v>
      </c>
      <c r="S244" s="231">
        <v>100</v>
      </c>
      <c r="T244" s="236"/>
      <c r="U244" s="236"/>
    </row>
    <row r="245" spans="1:21" ht="72" x14ac:dyDescent="0.3">
      <c r="A245" s="117">
        <v>243</v>
      </c>
      <c r="B245" s="131">
        <v>733</v>
      </c>
      <c r="C245" s="111">
        <v>1</v>
      </c>
      <c r="D245" s="111">
        <v>1</v>
      </c>
      <c r="E245" s="118" t="s">
        <v>1163</v>
      </c>
      <c r="F245" s="118" t="s">
        <v>190</v>
      </c>
      <c r="G245" s="119" t="s">
        <v>33</v>
      </c>
      <c r="H245" s="119" t="s">
        <v>796</v>
      </c>
      <c r="I245" s="117"/>
      <c r="J245" s="117"/>
      <c r="K245" s="117" t="s">
        <v>1067</v>
      </c>
      <c r="L245" s="117" t="s">
        <v>1150</v>
      </c>
      <c r="M245" s="111"/>
      <c r="N245" s="122">
        <v>30052002</v>
      </c>
      <c r="O245" s="140">
        <v>3106.53</v>
      </c>
      <c r="P245" s="227">
        <f t="shared" si="5"/>
        <v>1588.3435676924887</v>
      </c>
      <c r="Q245" s="107">
        <v>51.78</v>
      </c>
      <c r="R245" s="107">
        <v>0</v>
      </c>
      <c r="S245" s="231"/>
      <c r="T245" s="236"/>
      <c r="U245" s="236"/>
    </row>
    <row r="246" spans="1:21" ht="72" x14ac:dyDescent="0.3">
      <c r="A246" s="117">
        <v>244</v>
      </c>
      <c r="B246" s="131">
        <v>735</v>
      </c>
      <c r="C246" s="111">
        <v>1</v>
      </c>
      <c r="D246" s="111">
        <v>1</v>
      </c>
      <c r="E246" s="118" t="s">
        <v>1163</v>
      </c>
      <c r="F246" s="118" t="s">
        <v>190</v>
      </c>
      <c r="G246" s="119" t="s">
        <v>33</v>
      </c>
      <c r="H246" s="119" t="s">
        <v>796</v>
      </c>
      <c r="I246" s="117"/>
      <c r="J246" s="117"/>
      <c r="K246" s="117" t="s">
        <v>1056</v>
      </c>
      <c r="L246" s="117" t="s">
        <v>1153</v>
      </c>
      <c r="M246" s="111"/>
      <c r="N246" s="122">
        <v>30052002</v>
      </c>
      <c r="O246" s="140">
        <v>3106.53</v>
      </c>
      <c r="P246" s="227">
        <f t="shared" si="5"/>
        <v>1588.3435676924887</v>
      </c>
      <c r="Q246" s="107">
        <v>51.78</v>
      </c>
      <c r="R246" s="107">
        <v>0</v>
      </c>
      <c r="S246" s="231"/>
      <c r="T246" s="236"/>
      <c r="U246" s="236"/>
    </row>
    <row r="247" spans="1:21" ht="72" x14ac:dyDescent="0.3">
      <c r="A247" s="117">
        <v>245</v>
      </c>
      <c r="B247" s="131">
        <v>736</v>
      </c>
      <c r="C247" s="111">
        <v>1</v>
      </c>
      <c r="D247" s="111">
        <v>1</v>
      </c>
      <c r="E247" s="118" t="s">
        <v>1163</v>
      </c>
      <c r="F247" s="118" t="s">
        <v>190</v>
      </c>
      <c r="G247" s="119" t="s">
        <v>33</v>
      </c>
      <c r="H247" s="119" t="s">
        <v>796</v>
      </c>
      <c r="I247" s="117"/>
      <c r="J247" s="117"/>
      <c r="K247" s="117" t="s">
        <v>1063</v>
      </c>
      <c r="L247" s="117" t="s">
        <v>1149</v>
      </c>
      <c r="M247" s="111"/>
      <c r="N247" s="122">
        <v>30052002</v>
      </c>
      <c r="O247" s="140">
        <v>3106.53</v>
      </c>
      <c r="P247" s="227">
        <f t="shared" si="5"/>
        <v>1588.3435676924887</v>
      </c>
      <c r="Q247" s="107">
        <v>51.78</v>
      </c>
      <c r="R247" s="107">
        <v>0</v>
      </c>
      <c r="S247" s="231">
        <v>205</v>
      </c>
      <c r="T247" s="236"/>
      <c r="U247" s="236"/>
    </row>
    <row r="248" spans="1:21" ht="72" x14ac:dyDescent="0.3">
      <c r="A248" s="117">
        <v>246</v>
      </c>
      <c r="B248" s="131">
        <v>737</v>
      </c>
      <c r="C248" s="111">
        <v>1</v>
      </c>
      <c r="D248" s="111">
        <v>1</v>
      </c>
      <c r="E248" s="118" t="s">
        <v>1163</v>
      </c>
      <c r="F248" s="118" t="s">
        <v>190</v>
      </c>
      <c r="G248" s="119" t="s">
        <v>33</v>
      </c>
      <c r="H248" s="119" t="s">
        <v>796</v>
      </c>
      <c r="I248" s="117"/>
      <c r="J248" s="117"/>
      <c r="K248" s="117" t="s">
        <v>1059</v>
      </c>
      <c r="L248" s="117" t="s">
        <v>1150</v>
      </c>
      <c r="M248" s="111"/>
      <c r="N248" s="122">
        <v>30052002</v>
      </c>
      <c r="O248" s="140">
        <v>3106.53</v>
      </c>
      <c r="P248" s="227">
        <f t="shared" si="5"/>
        <v>1588.3435676924887</v>
      </c>
      <c r="Q248" s="107">
        <v>51.78</v>
      </c>
      <c r="R248" s="107">
        <v>0</v>
      </c>
      <c r="S248" s="231"/>
      <c r="T248" s="236"/>
      <c r="U248" s="236"/>
    </row>
    <row r="249" spans="1:21" ht="72" x14ac:dyDescent="0.3">
      <c r="A249" s="117">
        <v>247</v>
      </c>
      <c r="B249" s="131">
        <v>738</v>
      </c>
      <c r="C249" s="111">
        <v>1</v>
      </c>
      <c r="D249" s="111">
        <v>1</v>
      </c>
      <c r="E249" s="118" t="s">
        <v>1163</v>
      </c>
      <c r="F249" s="118" t="s">
        <v>190</v>
      </c>
      <c r="G249" s="119" t="s">
        <v>33</v>
      </c>
      <c r="H249" s="119" t="s">
        <v>796</v>
      </c>
      <c r="I249" s="117"/>
      <c r="J249" s="117"/>
      <c r="K249" s="117" t="s">
        <v>1052</v>
      </c>
      <c r="L249" s="117" t="s">
        <v>1150</v>
      </c>
      <c r="M249" s="111"/>
      <c r="N249" s="122">
        <v>30052002</v>
      </c>
      <c r="O249" s="140">
        <v>3106.53</v>
      </c>
      <c r="P249" s="227">
        <f t="shared" si="5"/>
        <v>1588.3435676924887</v>
      </c>
      <c r="Q249" s="107">
        <v>51.78</v>
      </c>
      <c r="R249" s="107">
        <v>0</v>
      </c>
      <c r="S249" s="231"/>
      <c r="T249" s="236"/>
      <c r="U249" s="236"/>
    </row>
    <row r="250" spans="1:21" ht="72" x14ac:dyDescent="0.3">
      <c r="A250" s="117">
        <v>248</v>
      </c>
      <c r="B250" s="131">
        <v>739</v>
      </c>
      <c r="C250" s="111">
        <v>1</v>
      </c>
      <c r="D250" s="111">
        <v>1</v>
      </c>
      <c r="E250" s="118" t="s">
        <v>1163</v>
      </c>
      <c r="F250" s="118" t="s">
        <v>190</v>
      </c>
      <c r="G250" s="119" t="s">
        <v>33</v>
      </c>
      <c r="H250" s="119" t="s">
        <v>796</v>
      </c>
      <c r="I250" s="117"/>
      <c r="J250" s="117"/>
      <c r="K250" s="117" t="s">
        <v>1067</v>
      </c>
      <c r="L250" s="117" t="s">
        <v>1150</v>
      </c>
      <c r="M250" s="111"/>
      <c r="N250" s="122">
        <v>30052002</v>
      </c>
      <c r="O250" s="140">
        <v>3106.53</v>
      </c>
      <c r="P250" s="227">
        <f t="shared" si="5"/>
        <v>1588.3435676924887</v>
      </c>
      <c r="Q250" s="107">
        <v>51.78</v>
      </c>
      <c r="R250" s="107">
        <v>0</v>
      </c>
      <c r="S250" s="231"/>
      <c r="T250" s="236"/>
      <c r="U250" s="236"/>
    </row>
    <row r="251" spans="1:21" ht="72" x14ac:dyDescent="0.3">
      <c r="A251" s="117">
        <v>249</v>
      </c>
      <c r="B251" s="110">
        <v>741</v>
      </c>
      <c r="C251" s="111">
        <v>1</v>
      </c>
      <c r="D251" s="111">
        <v>1</v>
      </c>
      <c r="E251" s="118" t="s">
        <v>1163</v>
      </c>
      <c r="F251" s="118" t="s">
        <v>190</v>
      </c>
      <c r="G251" s="119" t="s">
        <v>33</v>
      </c>
      <c r="H251" s="119" t="s">
        <v>796</v>
      </c>
      <c r="I251" s="117"/>
      <c r="J251" s="117" t="s">
        <v>1097</v>
      </c>
      <c r="K251" s="117" t="s">
        <v>1061</v>
      </c>
      <c r="L251" s="117" t="s">
        <v>1150</v>
      </c>
      <c r="M251" s="111"/>
      <c r="N251" s="122"/>
      <c r="O251" s="140">
        <v>8507.86</v>
      </c>
      <c r="P251" s="227">
        <f t="shared" si="5"/>
        <v>4349.9997443540597</v>
      </c>
      <c r="Q251" s="107">
        <v>0</v>
      </c>
      <c r="R251" s="107">
        <v>0</v>
      </c>
      <c r="S251" s="231"/>
      <c r="T251" s="236"/>
      <c r="U251" s="236"/>
    </row>
    <row r="252" spans="1:21" ht="72" x14ac:dyDescent="0.3">
      <c r="A252" s="117">
        <v>250</v>
      </c>
      <c r="B252" s="131">
        <v>742</v>
      </c>
      <c r="C252" s="111">
        <v>1</v>
      </c>
      <c r="D252" s="111">
        <v>1</v>
      </c>
      <c r="E252" s="118" t="s">
        <v>1163</v>
      </c>
      <c r="F252" s="118" t="s">
        <v>190</v>
      </c>
      <c r="G252" s="119" t="s">
        <v>33</v>
      </c>
      <c r="H252" s="119" t="s">
        <v>796</v>
      </c>
      <c r="I252" s="117"/>
      <c r="J252" s="117"/>
      <c r="K252" s="117" t="s">
        <v>1063</v>
      </c>
      <c r="L252" s="117" t="s">
        <v>1149</v>
      </c>
      <c r="M252" s="111"/>
      <c r="N252" s="122">
        <v>30052002</v>
      </c>
      <c r="O252" s="140">
        <v>3106.53</v>
      </c>
      <c r="P252" s="227">
        <f t="shared" si="5"/>
        <v>1588.3435676924887</v>
      </c>
      <c r="Q252" s="107">
        <v>51.78</v>
      </c>
      <c r="R252" s="107">
        <v>0</v>
      </c>
      <c r="S252" s="231">
        <v>205</v>
      </c>
      <c r="T252" s="236"/>
      <c r="U252" s="236"/>
    </row>
    <row r="253" spans="1:21" ht="72" x14ac:dyDescent="0.3">
      <c r="A253" s="117">
        <v>251</v>
      </c>
      <c r="B253" s="131">
        <v>743</v>
      </c>
      <c r="C253" s="111">
        <v>1</v>
      </c>
      <c r="D253" s="111">
        <v>1</v>
      </c>
      <c r="E253" s="118" t="s">
        <v>1163</v>
      </c>
      <c r="F253" s="118" t="s">
        <v>190</v>
      </c>
      <c r="G253" s="119" t="s">
        <v>33</v>
      </c>
      <c r="H253" s="119" t="s">
        <v>796</v>
      </c>
      <c r="I253" s="117"/>
      <c r="J253" s="117"/>
      <c r="K253" s="117" t="s">
        <v>1067</v>
      </c>
      <c r="L253" s="117" t="s">
        <v>1150</v>
      </c>
      <c r="M253" s="111"/>
      <c r="N253" s="122">
        <v>30052002</v>
      </c>
      <c r="O253" s="140">
        <v>3106.53</v>
      </c>
      <c r="P253" s="227">
        <f t="shared" si="5"/>
        <v>1588.3435676924887</v>
      </c>
      <c r="Q253" s="107">
        <v>51.78</v>
      </c>
      <c r="R253" s="107">
        <v>0</v>
      </c>
      <c r="S253" s="231"/>
      <c r="T253" s="236"/>
      <c r="U253" s="236"/>
    </row>
    <row r="254" spans="1:21" ht="72" x14ac:dyDescent="0.3">
      <c r="A254" s="117">
        <v>252</v>
      </c>
      <c r="B254" s="110">
        <v>744</v>
      </c>
      <c r="C254" s="111">
        <v>1</v>
      </c>
      <c r="D254" s="111">
        <v>1</v>
      </c>
      <c r="E254" s="118" t="s">
        <v>1163</v>
      </c>
      <c r="F254" s="118" t="s">
        <v>190</v>
      </c>
      <c r="G254" s="119" t="s">
        <v>33</v>
      </c>
      <c r="H254" s="119" t="s">
        <v>796</v>
      </c>
      <c r="I254" s="117"/>
      <c r="J254" s="117"/>
      <c r="K254" s="117" t="s">
        <v>1067</v>
      </c>
      <c r="L254" s="117" t="s">
        <v>1150</v>
      </c>
      <c r="M254" s="111"/>
      <c r="N254" s="122"/>
      <c r="O254" s="140">
        <v>2788.84</v>
      </c>
      <c r="P254" s="227">
        <f t="shared" si="5"/>
        <v>1425.9112499552621</v>
      </c>
      <c r="Q254" s="107">
        <v>0</v>
      </c>
      <c r="R254" s="107">
        <v>0</v>
      </c>
      <c r="S254" s="231"/>
      <c r="T254" s="236"/>
      <c r="U254" s="236"/>
    </row>
    <row r="255" spans="1:21" ht="72" x14ac:dyDescent="0.3">
      <c r="A255" s="117">
        <v>253</v>
      </c>
      <c r="B255" s="131">
        <v>756</v>
      </c>
      <c r="C255" s="111">
        <v>2</v>
      </c>
      <c r="D255" s="111">
        <v>1</v>
      </c>
      <c r="E255" s="118" t="s">
        <v>1163</v>
      </c>
      <c r="F255" s="118" t="s">
        <v>191</v>
      </c>
      <c r="G255" s="119" t="s">
        <v>48</v>
      </c>
      <c r="H255" s="119" t="s">
        <v>970</v>
      </c>
      <c r="I255" s="117" t="s">
        <v>1073</v>
      </c>
      <c r="J255" s="117" t="s">
        <v>1083</v>
      </c>
      <c r="K255" s="117" t="s">
        <v>1059</v>
      </c>
      <c r="L255" s="117" t="s">
        <v>1150</v>
      </c>
      <c r="M255" s="111"/>
      <c r="N255" s="122">
        <v>1102002</v>
      </c>
      <c r="O255" s="141">
        <v>600</v>
      </c>
      <c r="P255" s="228">
        <f t="shared" si="5"/>
        <v>306.77512871773109</v>
      </c>
      <c r="Q255" s="107">
        <v>0</v>
      </c>
      <c r="R255" s="107">
        <v>0</v>
      </c>
      <c r="S255" s="231"/>
      <c r="T255" s="236"/>
      <c r="U255" s="236"/>
    </row>
    <row r="256" spans="1:21" ht="72" x14ac:dyDescent="0.3">
      <c r="A256" s="117">
        <v>254</v>
      </c>
      <c r="B256" s="131">
        <v>760</v>
      </c>
      <c r="C256" s="111">
        <v>1</v>
      </c>
      <c r="D256" s="111">
        <v>1</v>
      </c>
      <c r="E256" s="118" t="s">
        <v>1163</v>
      </c>
      <c r="F256" s="118" t="s">
        <v>190</v>
      </c>
      <c r="G256" s="119" t="s">
        <v>33</v>
      </c>
      <c r="H256" s="119" t="s">
        <v>796</v>
      </c>
      <c r="I256" s="117" t="s">
        <v>1208</v>
      </c>
      <c r="J256" s="117"/>
      <c r="K256" s="117" t="s">
        <v>1056</v>
      </c>
      <c r="L256" s="117" t="s">
        <v>1153</v>
      </c>
      <c r="M256" s="111"/>
      <c r="N256" s="122">
        <v>30052002</v>
      </c>
      <c r="O256" s="140">
        <v>3106.53</v>
      </c>
      <c r="P256" s="227">
        <f t="shared" si="5"/>
        <v>1588.3435676924887</v>
      </c>
      <c r="Q256" s="107">
        <v>51.78</v>
      </c>
      <c r="R256" s="107">
        <v>0</v>
      </c>
      <c r="S256" s="231"/>
      <c r="T256" s="236"/>
      <c r="U256" s="236"/>
    </row>
    <row r="257" spans="1:21" ht="72" x14ac:dyDescent="0.3">
      <c r="A257" s="117">
        <v>255</v>
      </c>
      <c r="B257" s="131">
        <v>761</v>
      </c>
      <c r="C257" s="111">
        <v>1</v>
      </c>
      <c r="D257" s="111">
        <v>1</v>
      </c>
      <c r="E257" s="118" t="s">
        <v>1163</v>
      </c>
      <c r="F257" s="118" t="s">
        <v>190</v>
      </c>
      <c r="G257" s="119" t="s">
        <v>33</v>
      </c>
      <c r="H257" s="119" t="s">
        <v>796</v>
      </c>
      <c r="I257" s="117"/>
      <c r="J257" s="117"/>
      <c r="K257" s="117" t="s">
        <v>1059</v>
      </c>
      <c r="L257" s="117" t="s">
        <v>1150</v>
      </c>
      <c r="M257" s="111"/>
      <c r="N257" s="122">
        <v>30052002</v>
      </c>
      <c r="O257" s="140">
        <v>3106.53</v>
      </c>
      <c r="P257" s="227">
        <f t="shared" si="5"/>
        <v>1588.3435676924887</v>
      </c>
      <c r="Q257" s="107">
        <v>51.78</v>
      </c>
      <c r="R257" s="107">
        <v>0</v>
      </c>
      <c r="S257" s="231"/>
      <c r="T257" s="236"/>
      <c r="U257" s="236"/>
    </row>
    <row r="258" spans="1:21" ht="72" x14ac:dyDescent="0.3">
      <c r="A258" s="117">
        <v>256</v>
      </c>
      <c r="B258" s="131">
        <v>762</v>
      </c>
      <c r="C258" s="111">
        <v>1</v>
      </c>
      <c r="D258" s="111">
        <v>1</v>
      </c>
      <c r="E258" s="118" t="s">
        <v>1163</v>
      </c>
      <c r="F258" s="118" t="s">
        <v>190</v>
      </c>
      <c r="G258" s="119" t="s">
        <v>33</v>
      </c>
      <c r="H258" s="119" t="s">
        <v>796</v>
      </c>
      <c r="I258" s="117"/>
      <c r="J258" s="117"/>
      <c r="K258" s="117" t="s">
        <v>1066</v>
      </c>
      <c r="L258" s="117" t="s">
        <v>1149</v>
      </c>
      <c r="M258" s="111"/>
      <c r="N258" s="122">
        <v>30052002</v>
      </c>
      <c r="O258" s="140">
        <v>3290.97</v>
      </c>
      <c r="P258" s="227">
        <f t="shared" si="5"/>
        <v>1682.646242260319</v>
      </c>
      <c r="Q258" s="107">
        <v>54.85</v>
      </c>
      <c r="R258" s="107">
        <v>0</v>
      </c>
      <c r="S258" s="231">
        <v>205</v>
      </c>
      <c r="T258" s="236"/>
      <c r="U258" s="236"/>
    </row>
    <row r="259" spans="1:21" ht="72" x14ac:dyDescent="0.3">
      <c r="A259" s="117">
        <v>257</v>
      </c>
      <c r="B259" s="131">
        <v>763</v>
      </c>
      <c r="C259" s="111">
        <v>1</v>
      </c>
      <c r="D259" s="111">
        <v>1</v>
      </c>
      <c r="E259" s="118" t="s">
        <v>1163</v>
      </c>
      <c r="F259" s="118" t="s">
        <v>190</v>
      </c>
      <c r="G259" s="119" t="s">
        <v>41</v>
      </c>
      <c r="H259" s="119" t="s">
        <v>796</v>
      </c>
      <c r="I259" s="117"/>
      <c r="J259" s="117"/>
      <c r="K259" s="117" t="s">
        <v>1056</v>
      </c>
      <c r="L259" s="117" t="s">
        <v>1153</v>
      </c>
      <c r="M259" s="111"/>
      <c r="N259" s="122">
        <v>1102002</v>
      </c>
      <c r="O259" s="140">
        <v>2344.15</v>
      </c>
      <c r="P259" s="227">
        <f t="shared" si="5"/>
        <v>1198.5448633061155</v>
      </c>
      <c r="Q259" s="107">
        <v>0</v>
      </c>
      <c r="R259" s="107">
        <v>0</v>
      </c>
      <c r="S259" s="231"/>
      <c r="T259" s="236"/>
      <c r="U259" s="236"/>
    </row>
    <row r="260" spans="1:21" ht="72" x14ac:dyDescent="0.3">
      <c r="A260" s="117">
        <v>258</v>
      </c>
      <c r="B260" s="110">
        <v>764</v>
      </c>
      <c r="C260" s="111">
        <v>1</v>
      </c>
      <c r="D260" s="111">
        <v>1</v>
      </c>
      <c r="E260" s="118" t="s">
        <v>1163</v>
      </c>
      <c r="F260" s="118" t="s">
        <v>190</v>
      </c>
      <c r="G260" s="119" t="s">
        <v>33</v>
      </c>
      <c r="H260" s="119" t="s">
        <v>796</v>
      </c>
      <c r="I260" s="117"/>
      <c r="J260" s="117"/>
      <c r="K260" s="117" t="s">
        <v>1052</v>
      </c>
      <c r="L260" s="117" t="s">
        <v>1150</v>
      </c>
      <c r="M260" s="111"/>
      <c r="N260" s="122">
        <v>30052002</v>
      </c>
      <c r="O260" s="140">
        <v>2788.84</v>
      </c>
      <c r="P260" s="227">
        <f t="shared" ref="P260:P323" si="6">O260/$P$1</f>
        <v>1425.9112499552621</v>
      </c>
      <c r="Q260" s="107">
        <v>0</v>
      </c>
      <c r="R260" s="107">
        <v>0</v>
      </c>
      <c r="S260" s="231"/>
      <c r="T260" s="236"/>
      <c r="U260" s="236"/>
    </row>
    <row r="261" spans="1:21" ht="72" x14ac:dyDescent="0.3">
      <c r="A261" s="117">
        <v>259</v>
      </c>
      <c r="B261" s="131">
        <v>765</v>
      </c>
      <c r="C261" s="111">
        <v>1</v>
      </c>
      <c r="D261" s="111">
        <v>1</v>
      </c>
      <c r="E261" s="118" t="s">
        <v>1163</v>
      </c>
      <c r="F261" s="118" t="s">
        <v>190</v>
      </c>
      <c r="G261" s="119" t="s">
        <v>33</v>
      </c>
      <c r="H261" s="119" t="s">
        <v>796</v>
      </c>
      <c r="I261" s="117"/>
      <c r="J261" s="117"/>
      <c r="K261" s="117" t="s">
        <v>1067</v>
      </c>
      <c r="L261" s="117" t="s">
        <v>1150</v>
      </c>
      <c r="M261" s="111"/>
      <c r="N261" s="122">
        <v>30052002</v>
      </c>
      <c r="O261" s="140">
        <v>3106.53</v>
      </c>
      <c r="P261" s="227">
        <f t="shared" si="6"/>
        <v>1588.3435676924887</v>
      </c>
      <c r="Q261" s="107">
        <v>51.78</v>
      </c>
      <c r="R261" s="107">
        <v>0</v>
      </c>
      <c r="S261" s="231"/>
      <c r="T261" s="236"/>
      <c r="U261" s="236"/>
    </row>
    <row r="262" spans="1:21" ht="72" x14ac:dyDescent="0.3">
      <c r="A262" s="117">
        <v>260</v>
      </c>
      <c r="B262" s="131">
        <v>767</v>
      </c>
      <c r="C262" s="111">
        <v>1</v>
      </c>
      <c r="D262" s="111">
        <v>1</v>
      </c>
      <c r="E262" s="118" t="s">
        <v>1163</v>
      </c>
      <c r="F262" s="118" t="s">
        <v>190</v>
      </c>
      <c r="G262" s="119" t="s">
        <v>33</v>
      </c>
      <c r="H262" s="119" t="s">
        <v>796</v>
      </c>
      <c r="I262" s="117"/>
      <c r="J262" s="117"/>
      <c r="K262" s="117" t="s">
        <v>1056</v>
      </c>
      <c r="L262" s="117" t="s">
        <v>1153</v>
      </c>
      <c r="M262" s="111"/>
      <c r="N262" s="122">
        <v>30052002</v>
      </c>
      <c r="O262" s="140">
        <v>3106.53</v>
      </c>
      <c r="P262" s="227">
        <f t="shared" si="6"/>
        <v>1588.3435676924887</v>
      </c>
      <c r="Q262" s="107">
        <v>51.78</v>
      </c>
      <c r="R262" s="107">
        <v>0</v>
      </c>
      <c r="S262" s="231"/>
      <c r="T262" s="236"/>
      <c r="U262" s="236"/>
    </row>
    <row r="263" spans="1:21" ht="72" x14ac:dyDescent="0.3">
      <c r="A263" s="117">
        <v>261</v>
      </c>
      <c r="B263" s="110">
        <v>768</v>
      </c>
      <c r="C263" s="111">
        <v>1</v>
      </c>
      <c r="D263" s="111">
        <v>1</v>
      </c>
      <c r="E263" s="118" t="s">
        <v>1163</v>
      </c>
      <c r="F263" s="118" t="s">
        <v>190</v>
      </c>
      <c r="G263" s="119" t="s">
        <v>33</v>
      </c>
      <c r="H263" s="119" t="s">
        <v>796</v>
      </c>
      <c r="I263" s="117"/>
      <c r="J263" s="117"/>
      <c r="K263" s="117" t="s">
        <v>1067</v>
      </c>
      <c r="L263" s="117" t="s">
        <v>1150</v>
      </c>
      <c r="M263" s="111"/>
      <c r="N263" s="122"/>
      <c r="O263" s="140">
        <v>2788.84</v>
      </c>
      <c r="P263" s="227">
        <f t="shared" si="6"/>
        <v>1425.9112499552621</v>
      </c>
      <c r="Q263" s="107">
        <v>0</v>
      </c>
      <c r="R263" s="107">
        <v>0</v>
      </c>
      <c r="S263" s="231"/>
      <c r="T263" s="236"/>
      <c r="U263" s="236"/>
    </row>
    <row r="264" spans="1:21" ht="72" x14ac:dyDescent="0.3">
      <c r="A264" s="117">
        <v>262</v>
      </c>
      <c r="B264" s="131">
        <v>769</v>
      </c>
      <c r="C264" s="111">
        <v>1</v>
      </c>
      <c r="D264" s="111">
        <v>1</v>
      </c>
      <c r="E264" s="118" t="s">
        <v>1163</v>
      </c>
      <c r="F264" s="118" t="s">
        <v>190</v>
      </c>
      <c r="G264" s="119" t="s">
        <v>33</v>
      </c>
      <c r="H264" s="119" t="s">
        <v>796</v>
      </c>
      <c r="I264" s="117"/>
      <c r="J264" s="117"/>
      <c r="K264" s="117" t="s">
        <v>1059</v>
      </c>
      <c r="L264" s="117" t="s">
        <v>1150</v>
      </c>
      <c r="M264" s="111"/>
      <c r="N264" s="122">
        <v>30052002</v>
      </c>
      <c r="O264" s="140">
        <v>3106.53</v>
      </c>
      <c r="P264" s="227">
        <f t="shared" si="6"/>
        <v>1588.3435676924887</v>
      </c>
      <c r="Q264" s="107">
        <v>51.78</v>
      </c>
      <c r="R264" s="107">
        <v>0</v>
      </c>
      <c r="S264" s="231"/>
      <c r="T264" s="236"/>
      <c r="U264" s="236"/>
    </row>
    <row r="265" spans="1:21" ht="72" x14ac:dyDescent="0.3">
      <c r="A265" s="117">
        <v>263</v>
      </c>
      <c r="B265" s="110">
        <v>771</v>
      </c>
      <c r="C265" s="111">
        <v>1</v>
      </c>
      <c r="D265" s="111">
        <v>1</v>
      </c>
      <c r="E265" s="118" t="s">
        <v>1163</v>
      </c>
      <c r="F265" s="118" t="s">
        <v>190</v>
      </c>
      <c r="G265" s="119" t="s">
        <v>33</v>
      </c>
      <c r="H265" s="119" t="s">
        <v>796</v>
      </c>
      <c r="I265" s="117"/>
      <c r="J265" s="117"/>
      <c r="K265" s="117" t="s">
        <v>1067</v>
      </c>
      <c r="L265" s="117" t="s">
        <v>1150</v>
      </c>
      <c r="M265" s="111"/>
      <c r="N265" s="122"/>
      <c r="O265" s="140">
        <v>2788.84</v>
      </c>
      <c r="P265" s="227">
        <f t="shared" si="6"/>
        <v>1425.9112499552621</v>
      </c>
      <c r="Q265" s="107">
        <v>0</v>
      </c>
      <c r="R265" s="107">
        <v>0</v>
      </c>
      <c r="S265" s="231"/>
      <c r="T265" s="236"/>
      <c r="U265" s="236"/>
    </row>
    <row r="266" spans="1:21" ht="72" x14ac:dyDescent="0.3">
      <c r="A266" s="117">
        <v>264</v>
      </c>
      <c r="B266" s="131">
        <v>775</v>
      </c>
      <c r="C266" s="111">
        <v>5</v>
      </c>
      <c r="D266" s="111">
        <v>2</v>
      </c>
      <c r="E266" s="118" t="s">
        <v>1151</v>
      </c>
      <c r="F266" s="118" t="s">
        <v>212</v>
      </c>
      <c r="G266" s="119" t="s">
        <v>42</v>
      </c>
      <c r="H266" s="118" t="s">
        <v>971</v>
      </c>
      <c r="I266" s="117" t="s">
        <v>1217</v>
      </c>
      <c r="J266" s="117"/>
      <c r="K266" s="117" t="s">
        <v>1063</v>
      </c>
      <c r="L266" s="117" t="s">
        <v>1149</v>
      </c>
      <c r="M266" s="111"/>
      <c r="N266" s="122">
        <v>1102002</v>
      </c>
      <c r="O266" s="141">
        <v>600</v>
      </c>
      <c r="P266" s="228">
        <f t="shared" si="6"/>
        <v>306.77512871773109</v>
      </c>
      <c r="Q266" s="107">
        <v>0</v>
      </c>
      <c r="R266" s="107">
        <v>0</v>
      </c>
      <c r="S266" s="231">
        <v>150</v>
      </c>
      <c r="T266" s="236"/>
      <c r="U266" s="236"/>
    </row>
    <row r="267" spans="1:21" ht="72" x14ac:dyDescent="0.3">
      <c r="A267" s="117">
        <v>265</v>
      </c>
      <c r="B267" s="131">
        <v>808</v>
      </c>
      <c r="C267" s="111">
        <v>26</v>
      </c>
      <c r="D267" s="111">
        <v>5</v>
      </c>
      <c r="E267" s="118" t="s">
        <v>1152</v>
      </c>
      <c r="F267" s="118" t="s">
        <v>1354</v>
      </c>
      <c r="G267" s="119" t="s">
        <v>1331</v>
      </c>
      <c r="H267" s="117" t="s">
        <v>972</v>
      </c>
      <c r="I267" s="117" t="s">
        <v>1332</v>
      </c>
      <c r="J267" s="117"/>
      <c r="K267" s="117" t="s">
        <v>1099</v>
      </c>
      <c r="L267" s="117" t="s">
        <v>1155</v>
      </c>
      <c r="M267" s="111"/>
      <c r="N267" s="122">
        <v>31072003</v>
      </c>
      <c r="O267" s="140">
        <v>1387.62</v>
      </c>
      <c r="P267" s="227">
        <f t="shared" si="6"/>
        <v>709.47884018549667</v>
      </c>
      <c r="Q267" s="107">
        <v>23.13</v>
      </c>
      <c r="R267" s="107">
        <v>0</v>
      </c>
      <c r="S267" s="231"/>
      <c r="T267" s="236"/>
      <c r="U267" s="236"/>
    </row>
    <row r="268" spans="1:21" ht="72" x14ac:dyDescent="0.3">
      <c r="A268" s="117">
        <v>266</v>
      </c>
      <c r="B268" s="131">
        <v>835</v>
      </c>
      <c r="C268" s="111">
        <v>23</v>
      </c>
      <c r="D268" s="111">
        <v>1</v>
      </c>
      <c r="E268" s="118" t="s">
        <v>1163</v>
      </c>
      <c r="F268" s="118" t="s">
        <v>114</v>
      </c>
      <c r="G268" s="118" t="s">
        <v>596</v>
      </c>
      <c r="H268" s="117" t="s">
        <v>973</v>
      </c>
      <c r="I268" s="117"/>
      <c r="J268" s="117"/>
      <c r="K268" s="117" t="s">
        <v>1055</v>
      </c>
      <c r="L268" s="117" t="s">
        <v>1148</v>
      </c>
      <c r="M268" s="111"/>
      <c r="N268" s="122">
        <v>15102001</v>
      </c>
      <c r="O268" s="140">
        <v>2486.06</v>
      </c>
      <c r="P268" s="227">
        <f t="shared" si="6"/>
        <v>1271.1022941666708</v>
      </c>
      <c r="Q268" s="107">
        <v>41.43</v>
      </c>
      <c r="R268" s="107">
        <v>0</v>
      </c>
      <c r="S268" s="231"/>
      <c r="T268" s="236"/>
      <c r="U268" s="236"/>
    </row>
    <row r="269" spans="1:21" ht="72" x14ac:dyDescent="0.3">
      <c r="A269" s="117">
        <v>267</v>
      </c>
      <c r="B269" s="110">
        <v>840</v>
      </c>
      <c r="C269" s="111">
        <v>37</v>
      </c>
      <c r="D269" s="111">
        <v>1</v>
      </c>
      <c r="E269" s="118" t="s">
        <v>1163</v>
      </c>
      <c r="F269" s="118" t="s">
        <v>221</v>
      </c>
      <c r="G269" s="118" t="s">
        <v>562</v>
      </c>
      <c r="H269" s="117" t="s">
        <v>974</v>
      </c>
      <c r="I269" s="117" t="s">
        <v>1144</v>
      </c>
      <c r="J269" s="117"/>
      <c r="K269" s="117" t="s">
        <v>1066</v>
      </c>
      <c r="L269" s="117" t="s">
        <v>1149</v>
      </c>
      <c r="M269" s="111"/>
      <c r="N269" s="122"/>
      <c r="O269" s="108">
        <v>180</v>
      </c>
      <c r="P269" s="229">
        <f t="shared" si="6"/>
        <v>92.032538615319325</v>
      </c>
      <c r="Q269" s="107">
        <v>0</v>
      </c>
      <c r="R269" s="107">
        <v>0</v>
      </c>
      <c r="S269" s="231">
        <v>20</v>
      </c>
      <c r="T269" s="236"/>
      <c r="U269" s="236"/>
    </row>
    <row r="270" spans="1:21" ht="72" x14ac:dyDescent="0.3">
      <c r="A270" s="117">
        <v>268</v>
      </c>
      <c r="B270" s="110">
        <v>843</v>
      </c>
      <c r="C270" s="111">
        <v>19</v>
      </c>
      <c r="D270" s="111">
        <v>1</v>
      </c>
      <c r="E270" s="118" t="s">
        <v>1163</v>
      </c>
      <c r="F270" s="118" t="s">
        <v>69</v>
      </c>
      <c r="G270" s="118" t="s">
        <v>45</v>
      </c>
      <c r="H270" s="117" t="s">
        <v>975</v>
      </c>
      <c r="I270" s="117"/>
      <c r="J270" s="117"/>
      <c r="K270" s="117" t="s">
        <v>1055</v>
      </c>
      <c r="L270" s="117" t="s">
        <v>1148</v>
      </c>
      <c r="M270" s="111"/>
      <c r="N270" s="122"/>
      <c r="O270" s="108">
        <v>2335</v>
      </c>
      <c r="P270" s="229">
        <f t="shared" si="6"/>
        <v>1193.8665425931702</v>
      </c>
      <c r="Q270" s="107">
        <v>0</v>
      </c>
      <c r="R270" s="107">
        <v>0</v>
      </c>
      <c r="S270" s="231"/>
      <c r="T270" s="236"/>
      <c r="U270" s="236"/>
    </row>
    <row r="271" spans="1:21" ht="57.6" x14ac:dyDescent="0.3">
      <c r="A271" s="117">
        <v>269</v>
      </c>
      <c r="B271" s="110">
        <v>893</v>
      </c>
      <c r="C271" s="111">
        <v>16</v>
      </c>
      <c r="D271" s="111">
        <v>4</v>
      </c>
      <c r="E271" s="118" t="s">
        <v>1353</v>
      </c>
      <c r="F271" s="118" t="s">
        <v>201</v>
      </c>
      <c r="G271" s="118" t="s">
        <v>1294</v>
      </c>
      <c r="H271" s="119" t="s">
        <v>829</v>
      </c>
      <c r="I271" s="117"/>
      <c r="J271" s="117" t="s">
        <v>1076</v>
      </c>
      <c r="K271" s="117" t="s">
        <v>1066</v>
      </c>
      <c r="L271" s="117" t="s">
        <v>1149</v>
      </c>
      <c r="M271" s="111"/>
      <c r="N271" s="122"/>
      <c r="O271" s="141">
        <v>4791.78</v>
      </c>
      <c r="P271" s="228">
        <f t="shared" si="6"/>
        <v>2449.9982104784158</v>
      </c>
      <c r="Q271" s="107">
        <v>0</v>
      </c>
      <c r="R271" s="107">
        <v>0</v>
      </c>
      <c r="S271" s="231">
        <f>P271*0.4</f>
        <v>979.99928419136631</v>
      </c>
      <c r="T271" s="236"/>
      <c r="U271" s="236"/>
    </row>
    <row r="272" spans="1:21" ht="72" x14ac:dyDescent="0.3">
      <c r="A272" s="117">
        <v>270</v>
      </c>
      <c r="B272" s="131">
        <v>898</v>
      </c>
      <c r="C272" s="111">
        <v>5</v>
      </c>
      <c r="D272" s="111">
        <v>2</v>
      </c>
      <c r="E272" s="118" t="s">
        <v>1151</v>
      </c>
      <c r="F272" s="118" t="s">
        <v>212</v>
      </c>
      <c r="G272" s="119" t="s">
        <v>46</v>
      </c>
      <c r="H272" s="119" t="s">
        <v>976</v>
      </c>
      <c r="I272" s="117" t="s">
        <v>1216</v>
      </c>
      <c r="J272" s="117"/>
      <c r="K272" s="117" t="s">
        <v>1063</v>
      </c>
      <c r="L272" s="117" t="s">
        <v>1149</v>
      </c>
      <c r="M272" s="111"/>
      <c r="N272" s="122">
        <v>17062003</v>
      </c>
      <c r="O272" s="140">
        <v>3200</v>
      </c>
      <c r="P272" s="227">
        <f t="shared" si="6"/>
        <v>1636.1340198278992</v>
      </c>
      <c r="Q272" s="107">
        <v>53.33</v>
      </c>
      <c r="R272" s="107">
        <v>0</v>
      </c>
      <c r="S272" s="231">
        <f>P272*0.5</f>
        <v>818.06700991394962</v>
      </c>
      <c r="T272" s="236"/>
      <c r="U272" s="236"/>
    </row>
    <row r="273" spans="1:21" ht="72" x14ac:dyDescent="0.3">
      <c r="A273" s="117">
        <v>271</v>
      </c>
      <c r="B273" s="131">
        <v>941</v>
      </c>
      <c r="C273" s="111">
        <v>1</v>
      </c>
      <c r="D273" s="111">
        <v>1</v>
      </c>
      <c r="E273" s="118" t="s">
        <v>1163</v>
      </c>
      <c r="F273" s="118" t="s">
        <v>190</v>
      </c>
      <c r="G273" s="119" t="s">
        <v>47</v>
      </c>
      <c r="H273" s="119" t="s">
        <v>977</v>
      </c>
      <c r="I273" s="117"/>
      <c r="J273" s="117"/>
      <c r="K273" s="117" t="s">
        <v>1056</v>
      </c>
      <c r="L273" s="117" t="s">
        <v>1153</v>
      </c>
      <c r="M273" s="111"/>
      <c r="N273" s="122">
        <v>29052000</v>
      </c>
      <c r="O273" s="140">
        <v>800</v>
      </c>
      <c r="P273" s="227">
        <f t="shared" si="6"/>
        <v>409.03350495697481</v>
      </c>
      <c r="Q273" s="107">
        <v>13.33</v>
      </c>
      <c r="R273" s="107">
        <v>0</v>
      </c>
      <c r="S273" s="231"/>
      <c r="T273" s="236"/>
      <c r="U273" s="236"/>
    </row>
    <row r="274" spans="1:21" ht="72" x14ac:dyDescent="0.3">
      <c r="A274" s="117">
        <v>272</v>
      </c>
      <c r="B274" s="131">
        <v>945</v>
      </c>
      <c r="C274" s="111">
        <v>1</v>
      </c>
      <c r="D274" s="111">
        <v>1</v>
      </c>
      <c r="E274" s="118" t="s">
        <v>1163</v>
      </c>
      <c r="F274" s="118" t="s">
        <v>190</v>
      </c>
      <c r="G274" s="119" t="s">
        <v>47</v>
      </c>
      <c r="H274" s="119" t="s">
        <v>977</v>
      </c>
      <c r="I274" s="117"/>
      <c r="J274" s="117"/>
      <c r="K274" s="117" t="s">
        <v>1056</v>
      </c>
      <c r="L274" s="117" t="s">
        <v>1153</v>
      </c>
      <c r="M274" s="111"/>
      <c r="N274" s="122">
        <v>6032000</v>
      </c>
      <c r="O274" s="140">
        <v>800</v>
      </c>
      <c r="P274" s="227">
        <f t="shared" si="6"/>
        <v>409.03350495697481</v>
      </c>
      <c r="Q274" s="107">
        <v>13.33</v>
      </c>
      <c r="R274" s="107">
        <v>0</v>
      </c>
      <c r="S274" s="231"/>
      <c r="T274" s="236"/>
      <c r="U274" s="236"/>
    </row>
    <row r="275" spans="1:21" ht="72" x14ac:dyDescent="0.3">
      <c r="A275" s="117">
        <v>273</v>
      </c>
      <c r="B275" s="131">
        <v>947</v>
      </c>
      <c r="C275" s="111">
        <v>2</v>
      </c>
      <c r="D275" s="111">
        <v>1</v>
      </c>
      <c r="E275" s="118" t="s">
        <v>1163</v>
      </c>
      <c r="F275" s="118" t="s">
        <v>191</v>
      </c>
      <c r="G275" s="119" t="s">
        <v>48</v>
      </c>
      <c r="H275" s="130" t="s">
        <v>48</v>
      </c>
      <c r="I275" s="117" t="s">
        <v>1073</v>
      </c>
      <c r="J275" s="117" t="s">
        <v>1096</v>
      </c>
      <c r="K275" s="117" t="s">
        <v>1056</v>
      </c>
      <c r="L275" s="117" t="s">
        <v>1153</v>
      </c>
      <c r="M275" s="111"/>
      <c r="N275" s="122">
        <v>26012000</v>
      </c>
      <c r="O275" s="140">
        <v>1800</v>
      </c>
      <c r="P275" s="227">
        <f t="shared" si="6"/>
        <v>920.32538615319334</v>
      </c>
      <c r="Q275" s="107">
        <v>30</v>
      </c>
      <c r="R275" s="107">
        <v>0</v>
      </c>
      <c r="S275" s="231"/>
      <c r="T275" s="236"/>
      <c r="U275" s="236"/>
    </row>
    <row r="276" spans="1:21" ht="72" x14ac:dyDescent="0.3">
      <c r="A276" s="117">
        <v>274</v>
      </c>
      <c r="B276" s="131">
        <v>948</v>
      </c>
      <c r="C276" s="111">
        <v>2</v>
      </c>
      <c r="D276" s="111">
        <v>1</v>
      </c>
      <c r="E276" s="118" t="s">
        <v>1163</v>
      </c>
      <c r="F276" s="118" t="s">
        <v>191</v>
      </c>
      <c r="G276" s="119" t="s">
        <v>48</v>
      </c>
      <c r="H276" s="130" t="s">
        <v>48</v>
      </c>
      <c r="I276" s="117" t="s">
        <v>1210</v>
      </c>
      <c r="J276" s="117" t="s">
        <v>1096</v>
      </c>
      <c r="K276" s="117" t="s">
        <v>1056</v>
      </c>
      <c r="L276" s="117" t="s">
        <v>1153</v>
      </c>
      <c r="M276" s="111"/>
      <c r="N276" s="122">
        <v>20012000</v>
      </c>
      <c r="O276" s="140">
        <v>1700</v>
      </c>
      <c r="P276" s="227">
        <f t="shared" si="6"/>
        <v>869.19619803357148</v>
      </c>
      <c r="Q276" s="107">
        <v>28.33</v>
      </c>
      <c r="R276" s="107">
        <v>0</v>
      </c>
      <c r="S276" s="231"/>
      <c r="T276" s="236"/>
      <c r="U276" s="236"/>
    </row>
    <row r="277" spans="1:21" ht="72" x14ac:dyDescent="0.3">
      <c r="A277" s="117">
        <v>275</v>
      </c>
      <c r="B277" s="131">
        <v>949</v>
      </c>
      <c r="C277" s="111">
        <v>1</v>
      </c>
      <c r="D277" s="111">
        <v>1</v>
      </c>
      <c r="E277" s="118" t="s">
        <v>1163</v>
      </c>
      <c r="F277" s="118" t="s">
        <v>190</v>
      </c>
      <c r="G277" s="119" t="s">
        <v>47</v>
      </c>
      <c r="H277" s="119" t="s">
        <v>977</v>
      </c>
      <c r="I277" s="117"/>
      <c r="J277" s="117"/>
      <c r="K277" s="117" t="s">
        <v>1056</v>
      </c>
      <c r="L277" s="117" t="s">
        <v>1153</v>
      </c>
      <c r="M277" s="111"/>
      <c r="N277" s="122">
        <v>6032000</v>
      </c>
      <c r="O277" s="140">
        <v>800</v>
      </c>
      <c r="P277" s="227">
        <f t="shared" si="6"/>
        <v>409.03350495697481</v>
      </c>
      <c r="Q277" s="107">
        <v>13.33</v>
      </c>
      <c r="R277" s="107">
        <v>0</v>
      </c>
      <c r="S277" s="231"/>
      <c r="T277" s="236"/>
      <c r="U277" s="236"/>
    </row>
    <row r="278" spans="1:21" ht="72" x14ac:dyDescent="0.3">
      <c r="A278" s="117">
        <v>276</v>
      </c>
      <c r="B278" s="131">
        <v>1022</v>
      </c>
      <c r="C278" s="111">
        <v>26</v>
      </c>
      <c r="D278" s="111">
        <v>5</v>
      </c>
      <c r="E278" s="118" t="s">
        <v>1152</v>
      </c>
      <c r="F278" s="118" t="s">
        <v>1354</v>
      </c>
      <c r="G278" s="119" t="s">
        <v>632</v>
      </c>
      <c r="H278" s="119" t="s">
        <v>978</v>
      </c>
      <c r="I278" s="117" t="s">
        <v>1333</v>
      </c>
      <c r="J278" s="117"/>
      <c r="K278" s="117" t="s">
        <v>215</v>
      </c>
      <c r="L278" s="117" t="s">
        <v>1155</v>
      </c>
      <c r="M278" s="111"/>
      <c r="N278" s="122">
        <v>31072003</v>
      </c>
      <c r="O278" s="140">
        <v>4014.09</v>
      </c>
      <c r="P278" s="227">
        <f t="shared" si="6"/>
        <v>2052.3716273909286</v>
      </c>
      <c r="Q278" s="107">
        <v>66.900000000000006</v>
      </c>
      <c r="R278" s="107">
        <v>0</v>
      </c>
      <c r="S278" s="231"/>
      <c r="T278" s="236"/>
      <c r="U278" s="236"/>
    </row>
    <row r="279" spans="1:21" ht="72" x14ac:dyDescent="0.3">
      <c r="A279" s="117">
        <v>277</v>
      </c>
      <c r="B279" s="131">
        <v>1023</v>
      </c>
      <c r="C279" s="111">
        <v>26</v>
      </c>
      <c r="D279" s="111">
        <v>5</v>
      </c>
      <c r="E279" s="118" t="s">
        <v>1152</v>
      </c>
      <c r="F279" s="118" t="s">
        <v>1354</v>
      </c>
      <c r="G279" s="119" t="s">
        <v>635</v>
      </c>
      <c r="H279" s="117" t="s">
        <v>979</v>
      </c>
      <c r="I279" s="117" t="s">
        <v>1334</v>
      </c>
      <c r="J279" s="117"/>
      <c r="K279" s="117" t="s">
        <v>215</v>
      </c>
      <c r="L279" s="117" t="s">
        <v>1155</v>
      </c>
      <c r="M279" s="111"/>
      <c r="N279" s="122">
        <v>31072003</v>
      </c>
      <c r="O279" s="140">
        <v>4001.28</v>
      </c>
      <c r="P279" s="227">
        <f t="shared" si="6"/>
        <v>2045.8219783928052</v>
      </c>
      <c r="Q279" s="107">
        <v>66.69</v>
      </c>
      <c r="R279" s="107">
        <v>0</v>
      </c>
      <c r="S279" s="231"/>
      <c r="T279" s="236"/>
      <c r="U279" s="236"/>
    </row>
    <row r="280" spans="1:21" ht="72" x14ac:dyDescent="0.3">
      <c r="A280" s="117">
        <v>278</v>
      </c>
      <c r="B280" s="131">
        <v>1025</v>
      </c>
      <c r="C280" s="111">
        <v>2</v>
      </c>
      <c r="D280" s="111">
        <v>1</v>
      </c>
      <c r="E280" s="118" t="s">
        <v>1163</v>
      </c>
      <c r="F280" s="118" t="s">
        <v>191</v>
      </c>
      <c r="G280" s="119" t="s">
        <v>62</v>
      </c>
      <c r="H280" s="117" t="s">
        <v>980</v>
      </c>
      <c r="I280" s="117" t="s">
        <v>1100</v>
      </c>
      <c r="J280" s="117" t="s">
        <v>1083</v>
      </c>
      <c r="K280" s="117" t="s">
        <v>1063</v>
      </c>
      <c r="L280" s="117" t="s">
        <v>1149</v>
      </c>
      <c r="M280" s="111"/>
      <c r="N280" s="122">
        <v>10112003</v>
      </c>
      <c r="O280" s="140">
        <v>2585</v>
      </c>
      <c r="P280" s="227">
        <f t="shared" si="6"/>
        <v>1321.6895128922249</v>
      </c>
      <c r="Q280" s="107">
        <v>43.08</v>
      </c>
      <c r="R280" s="107">
        <v>0</v>
      </c>
      <c r="S280" s="231">
        <f>P280*0.3</f>
        <v>396.50685386766747</v>
      </c>
      <c r="T280" s="236"/>
      <c r="U280" s="236"/>
    </row>
    <row r="281" spans="1:21" ht="72" x14ac:dyDescent="0.3">
      <c r="A281" s="117">
        <v>279</v>
      </c>
      <c r="B281" s="131">
        <v>1028</v>
      </c>
      <c r="C281" s="111">
        <v>1</v>
      </c>
      <c r="D281" s="111">
        <v>1</v>
      </c>
      <c r="E281" s="118" t="s">
        <v>1163</v>
      </c>
      <c r="F281" s="118" t="s">
        <v>190</v>
      </c>
      <c r="G281" s="119" t="s">
        <v>33</v>
      </c>
      <c r="H281" s="119" t="s">
        <v>796</v>
      </c>
      <c r="I281" s="117"/>
      <c r="J281" s="117"/>
      <c r="K281" s="117" t="s">
        <v>1059</v>
      </c>
      <c r="L281" s="117" t="s">
        <v>1150</v>
      </c>
      <c r="M281" s="111"/>
      <c r="N281" s="122">
        <v>10112003</v>
      </c>
      <c r="O281" s="140">
        <v>2585</v>
      </c>
      <c r="P281" s="227">
        <f t="shared" si="6"/>
        <v>1321.6895128922249</v>
      </c>
      <c r="Q281" s="107">
        <v>43.08</v>
      </c>
      <c r="R281" s="107">
        <v>0</v>
      </c>
      <c r="S281" s="231"/>
      <c r="T281" s="236"/>
      <c r="U281" s="236"/>
    </row>
    <row r="282" spans="1:21" ht="72" x14ac:dyDescent="0.3">
      <c r="A282" s="117">
        <v>280</v>
      </c>
      <c r="B282" s="131">
        <v>1029</v>
      </c>
      <c r="C282" s="111">
        <v>1</v>
      </c>
      <c r="D282" s="111">
        <v>1</v>
      </c>
      <c r="E282" s="118" t="s">
        <v>1163</v>
      </c>
      <c r="F282" s="118" t="s">
        <v>190</v>
      </c>
      <c r="G282" s="119" t="s">
        <v>33</v>
      </c>
      <c r="H282" s="119" t="s">
        <v>796</v>
      </c>
      <c r="I282" s="117"/>
      <c r="J282" s="117"/>
      <c r="K282" s="117" t="s">
        <v>1056</v>
      </c>
      <c r="L282" s="117" t="s">
        <v>1153</v>
      </c>
      <c r="M282" s="111"/>
      <c r="N282" s="122">
        <v>10112003</v>
      </c>
      <c r="O282" s="140">
        <v>2585</v>
      </c>
      <c r="P282" s="227">
        <f t="shared" si="6"/>
        <v>1321.6895128922249</v>
      </c>
      <c r="Q282" s="107">
        <v>43.08</v>
      </c>
      <c r="R282" s="107">
        <v>0</v>
      </c>
      <c r="S282" s="231"/>
      <c r="T282" s="236"/>
      <c r="U282" s="236"/>
    </row>
    <row r="283" spans="1:21" ht="72" x14ac:dyDescent="0.3">
      <c r="A283" s="117">
        <v>281</v>
      </c>
      <c r="B283" s="131">
        <v>1030</v>
      </c>
      <c r="C283" s="111">
        <v>1</v>
      </c>
      <c r="D283" s="111">
        <v>1</v>
      </c>
      <c r="E283" s="118" t="s">
        <v>1163</v>
      </c>
      <c r="F283" s="118" t="s">
        <v>190</v>
      </c>
      <c r="G283" s="119" t="s">
        <v>33</v>
      </c>
      <c r="H283" s="119" t="s">
        <v>796</v>
      </c>
      <c r="I283" s="117"/>
      <c r="J283" s="117"/>
      <c r="K283" s="117" t="s">
        <v>1067</v>
      </c>
      <c r="L283" s="117" t="s">
        <v>1150</v>
      </c>
      <c r="M283" s="111"/>
      <c r="N283" s="122">
        <v>10112003</v>
      </c>
      <c r="O283" s="140">
        <v>2585</v>
      </c>
      <c r="P283" s="227">
        <f t="shared" si="6"/>
        <v>1321.6895128922249</v>
      </c>
      <c r="Q283" s="107">
        <v>43.08</v>
      </c>
      <c r="R283" s="107">
        <v>0</v>
      </c>
      <c r="S283" s="231"/>
      <c r="T283" s="236"/>
      <c r="U283" s="236"/>
    </row>
    <row r="284" spans="1:21" ht="72" x14ac:dyDescent="0.3">
      <c r="A284" s="117">
        <v>282</v>
      </c>
      <c r="B284" s="131">
        <v>1031</v>
      </c>
      <c r="C284" s="111">
        <v>1</v>
      </c>
      <c r="D284" s="111">
        <v>1</v>
      </c>
      <c r="E284" s="118" t="s">
        <v>1163</v>
      </c>
      <c r="F284" s="118" t="s">
        <v>190</v>
      </c>
      <c r="G284" s="119" t="s">
        <v>33</v>
      </c>
      <c r="H284" s="119" t="s">
        <v>796</v>
      </c>
      <c r="I284" s="117"/>
      <c r="J284" s="117"/>
      <c r="K284" s="117" t="s">
        <v>1059</v>
      </c>
      <c r="L284" s="117" t="s">
        <v>1150</v>
      </c>
      <c r="M284" s="111"/>
      <c r="N284" s="122">
        <v>10112003</v>
      </c>
      <c r="O284" s="140">
        <v>2585</v>
      </c>
      <c r="P284" s="227">
        <f t="shared" si="6"/>
        <v>1321.6895128922249</v>
      </c>
      <c r="Q284" s="107">
        <v>43.08</v>
      </c>
      <c r="R284" s="107">
        <v>0</v>
      </c>
      <c r="S284" s="231"/>
      <c r="T284" s="236"/>
      <c r="U284" s="236"/>
    </row>
    <row r="285" spans="1:21" ht="72" x14ac:dyDescent="0.3">
      <c r="A285" s="117">
        <v>283</v>
      </c>
      <c r="B285" s="131">
        <v>1032</v>
      </c>
      <c r="C285" s="111">
        <v>1</v>
      </c>
      <c r="D285" s="111">
        <v>1</v>
      </c>
      <c r="E285" s="118" t="s">
        <v>1163</v>
      </c>
      <c r="F285" s="118" t="s">
        <v>190</v>
      </c>
      <c r="G285" s="119" t="s">
        <v>33</v>
      </c>
      <c r="H285" s="119" t="s">
        <v>796</v>
      </c>
      <c r="I285" s="117"/>
      <c r="J285" s="117"/>
      <c r="K285" s="117" t="s">
        <v>1059</v>
      </c>
      <c r="L285" s="117" t="s">
        <v>1150</v>
      </c>
      <c r="M285" s="111"/>
      <c r="N285" s="122">
        <v>10112003</v>
      </c>
      <c r="O285" s="140">
        <v>2585</v>
      </c>
      <c r="P285" s="227">
        <f t="shared" si="6"/>
        <v>1321.6895128922249</v>
      </c>
      <c r="Q285" s="107">
        <v>43.08</v>
      </c>
      <c r="R285" s="107">
        <v>0</v>
      </c>
      <c r="S285" s="231"/>
      <c r="T285" s="236"/>
      <c r="U285" s="236"/>
    </row>
    <row r="286" spans="1:21" ht="72" x14ac:dyDescent="0.3">
      <c r="A286" s="117">
        <v>284</v>
      </c>
      <c r="B286" s="131">
        <v>1034</v>
      </c>
      <c r="C286" s="111">
        <v>1</v>
      </c>
      <c r="D286" s="111">
        <v>1</v>
      </c>
      <c r="E286" s="118" t="s">
        <v>1163</v>
      </c>
      <c r="F286" s="118" t="s">
        <v>190</v>
      </c>
      <c r="G286" s="119" t="s">
        <v>33</v>
      </c>
      <c r="H286" s="119" t="s">
        <v>796</v>
      </c>
      <c r="I286" s="117"/>
      <c r="J286" s="117"/>
      <c r="K286" s="117" t="s">
        <v>1056</v>
      </c>
      <c r="L286" s="117" t="s">
        <v>1153</v>
      </c>
      <c r="M286" s="111"/>
      <c r="N286" s="122">
        <v>10112003</v>
      </c>
      <c r="O286" s="140">
        <v>2585</v>
      </c>
      <c r="P286" s="227">
        <f t="shared" si="6"/>
        <v>1321.6895128922249</v>
      </c>
      <c r="Q286" s="107">
        <v>43.08</v>
      </c>
      <c r="R286" s="107">
        <v>0</v>
      </c>
      <c r="S286" s="231"/>
      <c r="T286" s="236"/>
      <c r="U286" s="236"/>
    </row>
    <row r="287" spans="1:21" ht="72" x14ac:dyDescent="0.3">
      <c r="A287" s="117">
        <v>285</v>
      </c>
      <c r="B287" s="131">
        <v>1038</v>
      </c>
      <c r="C287" s="111">
        <v>2</v>
      </c>
      <c r="D287" s="111">
        <v>1</v>
      </c>
      <c r="E287" s="118" t="s">
        <v>1163</v>
      </c>
      <c r="F287" s="118" t="s">
        <v>191</v>
      </c>
      <c r="G287" s="119" t="s">
        <v>8</v>
      </c>
      <c r="H287" s="119" t="s">
        <v>841</v>
      </c>
      <c r="I287" s="117" t="s">
        <v>1073</v>
      </c>
      <c r="J287" s="117" t="s">
        <v>1074</v>
      </c>
      <c r="K287" s="117" t="s">
        <v>1063</v>
      </c>
      <c r="L287" s="117" t="s">
        <v>1149</v>
      </c>
      <c r="M287" s="111"/>
      <c r="N287" s="122">
        <v>10112003</v>
      </c>
      <c r="O287" s="140">
        <v>3188</v>
      </c>
      <c r="P287" s="227">
        <f t="shared" si="6"/>
        <v>1629.9985172535446</v>
      </c>
      <c r="Q287" s="107">
        <v>53.13</v>
      </c>
      <c r="R287" s="107">
        <v>0</v>
      </c>
      <c r="S287" s="231">
        <f>P287*0.3</f>
        <v>488.99955517606338</v>
      </c>
      <c r="T287" s="236"/>
      <c r="U287" s="236"/>
    </row>
    <row r="288" spans="1:21" ht="72" x14ac:dyDescent="0.3">
      <c r="A288" s="117">
        <v>286</v>
      </c>
      <c r="B288" s="131">
        <v>1039</v>
      </c>
      <c r="C288" s="111">
        <v>2</v>
      </c>
      <c r="D288" s="111">
        <v>1</v>
      </c>
      <c r="E288" s="118" t="s">
        <v>1163</v>
      </c>
      <c r="F288" s="118" t="s">
        <v>191</v>
      </c>
      <c r="G288" s="119" t="s">
        <v>219</v>
      </c>
      <c r="H288" s="117" t="s">
        <v>981</v>
      </c>
      <c r="I288" s="117" t="s">
        <v>1073</v>
      </c>
      <c r="J288" s="117" t="s">
        <v>1074</v>
      </c>
      <c r="K288" s="117" t="s">
        <v>1059</v>
      </c>
      <c r="L288" s="117" t="s">
        <v>1150</v>
      </c>
      <c r="M288" s="111"/>
      <c r="N288" s="122">
        <v>10112003</v>
      </c>
      <c r="O288" s="140">
        <v>3188</v>
      </c>
      <c r="P288" s="227">
        <f t="shared" si="6"/>
        <v>1629.9985172535446</v>
      </c>
      <c r="Q288" s="107">
        <v>53.13</v>
      </c>
      <c r="R288" s="107">
        <v>0</v>
      </c>
      <c r="S288" s="231"/>
      <c r="T288" s="236"/>
      <c r="U288" s="236"/>
    </row>
    <row r="289" spans="1:21" ht="72" x14ac:dyDescent="0.3">
      <c r="A289" s="117">
        <v>287</v>
      </c>
      <c r="B289" s="110">
        <v>1040</v>
      </c>
      <c r="C289" s="111">
        <v>28</v>
      </c>
      <c r="D289" s="111">
        <v>3</v>
      </c>
      <c r="E289" s="118" t="s">
        <v>1058</v>
      </c>
      <c r="F289" s="118" t="s">
        <v>205</v>
      </c>
      <c r="G289" s="118" t="s">
        <v>1299</v>
      </c>
      <c r="H289" s="117" t="s">
        <v>982</v>
      </c>
      <c r="I289" s="117" t="s">
        <v>1346</v>
      </c>
      <c r="J289" s="117" t="s">
        <v>1300</v>
      </c>
      <c r="K289" s="117" t="s">
        <v>1063</v>
      </c>
      <c r="L289" s="117" t="s">
        <v>1149</v>
      </c>
      <c r="M289" s="111"/>
      <c r="N289" s="122"/>
      <c r="O289" s="141">
        <v>1080</v>
      </c>
      <c r="P289" s="228">
        <f t="shared" si="6"/>
        <v>552.19523169191598</v>
      </c>
      <c r="Q289" s="107">
        <v>0</v>
      </c>
      <c r="R289" s="107">
        <v>0</v>
      </c>
      <c r="S289" s="231">
        <v>100</v>
      </c>
      <c r="T289" s="236"/>
      <c r="U289" s="236"/>
    </row>
    <row r="290" spans="1:21" ht="72" x14ac:dyDescent="0.3">
      <c r="A290" s="117">
        <v>288</v>
      </c>
      <c r="B290" s="131">
        <v>1046</v>
      </c>
      <c r="C290" s="111">
        <v>1</v>
      </c>
      <c r="D290" s="111">
        <v>1</v>
      </c>
      <c r="E290" s="118" t="s">
        <v>1163</v>
      </c>
      <c r="F290" s="118" t="s">
        <v>190</v>
      </c>
      <c r="G290" s="119" t="s">
        <v>47</v>
      </c>
      <c r="H290" s="117" t="s">
        <v>977</v>
      </c>
      <c r="I290" s="117"/>
      <c r="J290" s="117"/>
      <c r="K290" s="117" t="s">
        <v>1099</v>
      </c>
      <c r="L290" s="117" t="s">
        <v>1155</v>
      </c>
      <c r="M290" s="111"/>
      <c r="N290" s="122">
        <v>1102002</v>
      </c>
      <c r="O290" s="140">
        <v>800</v>
      </c>
      <c r="P290" s="227">
        <f t="shared" si="6"/>
        <v>409.03350495697481</v>
      </c>
      <c r="Q290" s="107">
        <v>0</v>
      </c>
      <c r="R290" s="107">
        <v>0</v>
      </c>
      <c r="S290" s="231"/>
      <c r="T290" s="236"/>
      <c r="U290" s="236"/>
    </row>
    <row r="291" spans="1:21" ht="72" x14ac:dyDescent="0.3">
      <c r="A291" s="117">
        <v>289</v>
      </c>
      <c r="B291" s="131">
        <v>1055</v>
      </c>
      <c r="C291" s="111">
        <v>1</v>
      </c>
      <c r="D291" s="111">
        <v>1</v>
      </c>
      <c r="E291" s="118" t="s">
        <v>1163</v>
      </c>
      <c r="F291" s="118" t="s">
        <v>190</v>
      </c>
      <c r="G291" s="119" t="s">
        <v>33</v>
      </c>
      <c r="H291" s="117" t="s">
        <v>983</v>
      </c>
      <c r="I291" s="117"/>
      <c r="J291" s="117"/>
      <c r="K291" s="117" t="s">
        <v>1061</v>
      </c>
      <c r="L291" s="117" t="s">
        <v>1150</v>
      </c>
      <c r="M291" s="111"/>
      <c r="N291" s="122">
        <v>4122003</v>
      </c>
      <c r="O291" s="140">
        <v>2494</v>
      </c>
      <c r="P291" s="227">
        <f t="shared" si="6"/>
        <v>1275.1619517033689</v>
      </c>
      <c r="Q291" s="107">
        <v>41.57</v>
      </c>
      <c r="R291" s="107">
        <v>0</v>
      </c>
      <c r="S291" s="231"/>
      <c r="T291" s="236"/>
      <c r="U291" s="236"/>
    </row>
    <row r="292" spans="1:21" ht="72" x14ac:dyDescent="0.3">
      <c r="A292" s="117">
        <v>290</v>
      </c>
      <c r="B292" s="131">
        <v>1056</v>
      </c>
      <c r="C292" s="111">
        <v>1</v>
      </c>
      <c r="D292" s="111">
        <v>1</v>
      </c>
      <c r="E292" s="118" t="s">
        <v>1163</v>
      </c>
      <c r="F292" s="118" t="s">
        <v>190</v>
      </c>
      <c r="G292" s="119" t="s">
        <v>33</v>
      </c>
      <c r="H292" s="117" t="s">
        <v>983</v>
      </c>
      <c r="I292" s="117"/>
      <c r="J292" s="117"/>
      <c r="K292" s="117" t="s">
        <v>1059</v>
      </c>
      <c r="L292" s="117" t="s">
        <v>1150</v>
      </c>
      <c r="M292" s="111"/>
      <c r="N292" s="122">
        <v>4122003</v>
      </c>
      <c r="O292" s="140">
        <v>2494</v>
      </c>
      <c r="P292" s="227">
        <f t="shared" si="6"/>
        <v>1275.1619517033689</v>
      </c>
      <c r="Q292" s="107">
        <v>41.57</v>
      </c>
      <c r="R292" s="107">
        <v>0</v>
      </c>
      <c r="S292" s="231"/>
      <c r="T292" s="236"/>
      <c r="U292" s="236"/>
    </row>
    <row r="293" spans="1:21" ht="72" x14ac:dyDescent="0.3">
      <c r="A293" s="117">
        <v>291</v>
      </c>
      <c r="B293" s="131">
        <v>1057</v>
      </c>
      <c r="C293" s="111">
        <v>1</v>
      </c>
      <c r="D293" s="111">
        <v>1</v>
      </c>
      <c r="E293" s="118" t="s">
        <v>1163</v>
      </c>
      <c r="F293" s="118" t="s">
        <v>190</v>
      </c>
      <c r="G293" s="119" t="s">
        <v>33</v>
      </c>
      <c r="H293" s="119" t="s">
        <v>983</v>
      </c>
      <c r="I293" s="117"/>
      <c r="J293" s="117"/>
      <c r="K293" s="117" t="s">
        <v>1059</v>
      </c>
      <c r="L293" s="117" t="s">
        <v>1150</v>
      </c>
      <c r="M293" s="111"/>
      <c r="N293" s="122">
        <v>4122003</v>
      </c>
      <c r="O293" s="140">
        <v>2494</v>
      </c>
      <c r="P293" s="227">
        <f t="shared" si="6"/>
        <v>1275.1619517033689</v>
      </c>
      <c r="Q293" s="107">
        <v>41.57</v>
      </c>
      <c r="R293" s="107">
        <v>0</v>
      </c>
      <c r="S293" s="231"/>
      <c r="T293" s="236"/>
      <c r="U293" s="236"/>
    </row>
    <row r="294" spans="1:21" ht="72" x14ac:dyDescent="0.3">
      <c r="A294" s="117">
        <v>292</v>
      </c>
      <c r="B294" s="131">
        <v>1058</v>
      </c>
      <c r="C294" s="111">
        <v>1</v>
      </c>
      <c r="D294" s="111">
        <v>1</v>
      </c>
      <c r="E294" s="118" t="s">
        <v>1163</v>
      </c>
      <c r="F294" s="118" t="s">
        <v>190</v>
      </c>
      <c r="G294" s="119" t="s">
        <v>33</v>
      </c>
      <c r="H294" s="118" t="s">
        <v>983</v>
      </c>
      <c r="I294" s="117"/>
      <c r="J294" s="117"/>
      <c r="K294" s="117" t="s">
        <v>1063</v>
      </c>
      <c r="L294" s="117" t="s">
        <v>1149</v>
      </c>
      <c r="M294" s="111"/>
      <c r="N294" s="122">
        <v>4122003</v>
      </c>
      <c r="O294" s="140">
        <v>2494</v>
      </c>
      <c r="P294" s="227">
        <f t="shared" si="6"/>
        <v>1275.1619517033689</v>
      </c>
      <c r="Q294" s="107">
        <v>41.57</v>
      </c>
      <c r="R294" s="107">
        <v>0</v>
      </c>
      <c r="S294" s="231">
        <v>205</v>
      </c>
      <c r="T294" s="236"/>
      <c r="U294" s="236"/>
    </row>
    <row r="295" spans="1:21" ht="72" x14ac:dyDescent="0.3">
      <c r="A295" s="117">
        <v>293</v>
      </c>
      <c r="B295" s="131">
        <v>1059</v>
      </c>
      <c r="C295" s="111">
        <v>1</v>
      </c>
      <c r="D295" s="111">
        <v>1</v>
      </c>
      <c r="E295" s="118" t="s">
        <v>1163</v>
      </c>
      <c r="F295" s="118" t="s">
        <v>190</v>
      </c>
      <c r="G295" s="119" t="s">
        <v>33</v>
      </c>
      <c r="H295" s="117" t="s">
        <v>983</v>
      </c>
      <c r="I295" s="117"/>
      <c r="J295" s="117"/>
      <c r="K295" s="117" t="s">
        <v>1059</v>
      </c>
      <c r="L295" s="117" t="s">
        <v>1150</v>
      </c>
      <c r="M295" s="111"/>
      <c r="N295" s="122">
        <v>4122003</v>
      </c>
      <c r="O295" s="140">
        <v>2494</v>
      </c>
      <c r="P295" s="227">
        <f t="shared" si="6"/>
        <v>1275.1619517033689</v>
      </c>
      <c r="Q295" s="107">
        <v>41.57</v>
      </c>
      <c r="R295" s="107">
        <v>0</v>
      </c>
      <c r="S295" s="231"/>
      <c r="T295" s="236"/>
      <c r="U295" s="236"/>
    </row>
    <row r="296" spans="1:21" ht="72" x14ac:dyDescent="0.3">
      <c r="A296" s="117">
        <v>294</v>
      </c>
      <c r="B296" s="131">
        <v>1060</v>
      </c>
      <c r="C296" s="111">
        <v>2</v>
      </c>
      <c r="D296" s="111">
        <v>1</v>
      </c>
      <c r="E296" s="118" t="s">
        <v>1163</v>
      </c>
      <c r="F296" s="118" t="s">
        <v>191</v>
      </c>
      <c r="G296" s="119" t="s">
        <v>8</v>
      </c>
      <c r="H296" s="117" t="s">
        <v>984</v>
      </c>
      <c r="I296" s="117" t="s">
        <v>1073</v>
      </c>
      <c r="J296" s="117" t="s">
        <v>1074</v>
      </c>
      <c r="K296" s="117" t="s">
        <v>1056</v>
      </c>
      <c r="L296" s="117" t="s">
        <v>1153</v>
      </c>
      <c r="M296" s="111"/>
      <c r="N296" s="122">
        <v>4122003</v>
      </c>
      <c r="O296" s="140">
        <v>2357</v>
      </c>
      <c r="P296" s="227">
        <f t="shared" si="6"/>
        <v>1205.1149639794869</v>
      </c>
      <c r="Q296" s="107">
        <v>39.28</v>
      </c>
      <c r="R296" s="107">
        <v>0</v>
      </c>
      <c r="S296" s="231"/>
      <c r="T296" s="236"/>
      <c r="U296" s="236"/>
    </row>
    <row r="297" spans="1:21" ht="72" x14ac:dyDescent="0.3">
      <c r="A297" s="117">
        <v>295</v>
      </c>
      <c r="B297" s="131">
        <v>1061</v>
      </c>
      <c r="C297" s="111">
        <v>2</v>
      </c>
      <c r="D297" s="111">
        <v>1</v>
      </c>
      <c r="E297" s="118" t="s">
        <v>1163</v>
      </c>
      <c r="F297" s="118" t="s">
        <v>191</v>
      </c>
      <c r="G297" s="119" t="s">
        <v>8</v>
      </c>
      <c r="H297" s="117" t="s">
        <v>984</v>
      </c>
      <c r="I297" s="117" t="s">
        <v>1073</v>
      </c>
      <c r="J297" s="117" t="s">
        <v>1074</v>
      </c>
      <c r="K297" s="117" t="s">
        <v>1066</v>
      </c>
      <c r="L297" s="117" t="s">
        <v>1149</v>
      </c>
      <c r="M297" s="111"/>
      <c r="N297" s="122">
        <v>4122003</v>
      </c>
      <c r="O297" s="140">
        <v>2357</v>
      </c>
      <c r="P297" s="227">
        <f t="shared" si="6"/>
        <v>1205.1149639794869</v>
      </c>
      <c r="Q297" s="107">
        <v>39.28</v>
      </c>
      <c r="R297" s="107">
        <v>0</v>
      </c>
      <c r="S297" s="231">
        <f>P297*0.3</f>
        <v>361.53448919384607</v>
      </c>
      <c r="T297" s="236"/>
      <c r="U297" s="236"/>
    </row>
    <row r="298" spans="1:21" ht="72" x14ac:dyDescent="0.3">
      <c r="A298" s="117">
        <v>296</v>
      </c>
      <c r="B298" s="131">
        <v>1062</v>
      </c>
      <c r="C298" s="111">
        <v>2</v>
      </c>
      <c r="D298" s="111">
        <v>1</v>
      </c>
      <c r="E298" s="118" t="s">
        <v>1163</v>
      </c>
      <c r="F298" s="118" t="s">
        <v>191</v>
      </c>
      <c r="G298" s="119" t="s">
        <v>55</v>
      </c>
      <c r="H298" s="117" t="s">
        <v>985</v>
      </c>
      <c r="I298" s="117" t="s">
        <v>1102</v>
      </c>
      <c r="J298" s="117" t="s">
        <v>1212</v>
      </c>
      <c r="K298" s="117" t="s">
        <v>1059</v>
      </c>
      <c r="L298" s="117" t="s">
        <v>1150</v>
      </c>
      <c r="M298" s="111"/>
      <c r="N298" s="122">
        <v>4122003</v>
      </c>
      <c r="O298" s="140">
        <v>2741</v>
      </c>
      <c r="P298" s="227">
        <f t="shared" si="6"/>
        <v>1401.4510463588349</v>
      </c>
      <c r="Q298" s="107">
        <v>45.68</v>
      </c>
      <c r="R298" s="107">
        <v>0</v>
      </c>
      <c r="S298" s="231"/>
      <c r="T298" s="236"/>
      <c r="U298" s="236"/>
    </row>
    <row r="299" spans="1:21" ht="57.6" x14ac:dyDescent="0.3">
      <c r="A299" s="117">
        <v>297</v>
      </c>
      <c r="B299" s="131">
        <v>1064</v>
      </c>
      <c r="C299" s="111">
        <v>16</v>
      </c>
      <c r="D299" s="111">
        <v>4</v>
      </c>
      <c r="E299" s="118" t="s">
        <v>1353</v>
      </c>
      <c r="F299" s="118" t="s">
        <v>201</v>
      </c>
      <c r="G299" s="119" t="s">
        <v>49</v>
      </c>
      <c r="H299" s="119" t="s">
        <v>986</v>
      </c>
      <c r="I299" s="117"/>
      <c r="J299" s="117" t="s">
        <v>1076</v>
      </c>
      <c r="K299" s="117" t="s">
        <v>1077</v>
      </c>
      <c r="L299" s="117" t="s">
        <v>1150</v>
      </c>
      <c r="M299" s="111"/>
      <c r="N299" s="122">
        <v>26012004</v>
      </c>
      <c r="O299" s="140">
        <v>4498.41</v>
      </c>
      <c r="P299" s="227">
        <f t="shared" si="6"/>
        <v>2300.0005112918811</v>
      </c>
      <c r="Q299" s="107">
        <v>74.97</v>
      </c>
      <c r="R299" s="107">
        <v>0</v>
      </c>
      <c r="S299" s="231"/>
      <c r="T299" s="236"/>
      <c r="U299" s="236"/>
    </row>
    <row r="300" spans="1:21" ht="57.6" x14ac:dyDescent="0.3">
      <c r="A300" s="117">
        <v>298</v>
      </c>
      <c r="B300" s="131">
        <v>1065</v>
      </c>
      <c r="C300" s="111">
        <v>16</v>
      </c>
      <c r="D300" s="111">
        <v>4</v>
      </c>
      <c r="E300" s="118" t="s">
        <v>1353</v>
      </c>
      <c r="F300" s="118" t="s">
        <v>201</v>
      </c>
      <c r="G300" s="119" t="s">
        <v>49</v>
      </c>
      <c r="H300" s="119" t="s">
        <v>987</v>
      </c>
      <c r="I300" s="117"/>
      <c r="J300" s="117" t="s">
        <v>1076</v>
      </c>
      <c r="K300" s="117" t="s">
        <v>1077</v>
      </c>
      <c r="L300" s="117" t="s">
        <v>1150</v>
      </c>
      <c r="M300" s="111"/>
      <c r="N300" s="122">
        <v>26012004</v>
      </c>
      <c r="O300" s="140">
        <v>4498.41</v>
      </c>
      <c r="P300" s="227">
        <f t="shared" si="6"/>
        <v>2300.0005112918811</v>
      </c>
      <c r="Q300" s="107">
        <v>74.97</v>
      </c>
      <c r="R300" s="107">
        <v>0</v>
      </c>
      <c r="S300" s="231"/>
      <c r="T300" s="236"/>
      <c r="U300" s="236"/>
    </row>
    <row r="301" spans="1:21" ht="72" x14ac:dyDescent="0.3">
      <c r="A301" s="117">
        <v>299</v>
      </c>
      <c r="B301" s="131">
        <v>1069</v>
      </c>
      <c r="C301" s="111">
        <v>1</v>
      </c>
      <c r="D301" s="111">
        <v>1</v>
      </c>
      <c r="E301" s="118" t="s">
        <v>1163</v>
      </c>
      <c r="F301" s="118" t="s">
        <v>190</v>
      </c>
      <c r="G301" s="119" t="s">
        <v>50</v>
      </c>
      <c r="H301" s="117" t="s">
        <v>839</v>
      </c>
      <c r="I301" s="117"/>
      <c r="J301" s="117"/>
      <c r="K301" s="117" t="s">
        <v>1052</v>
      </c>
      <c r="L301" s="117" t="s">
        <v>1150</v>
      </c>
      <c r="M301" s="111"/>
      <c r="N301" s="122">
        <v>30012004</v>
      </c>
      <c r="O301" s="140">
        <v>2366.5500000000002</v>
      </c>
      <c r="P301" s="227">
        <f t="shared" si="6"/>
        <v>1209.9978014449109</v>
      </c>
      <c r="Q301" s="107">
        <v>0</v>
      </c>
      <c r="R301" s="107">
        <v>0</v>
      </c>
      <c r="S301" s="231"/>
      <c r="T301" s="236"/>
      <c r="U301" s="236"/>
    </row>
    <row r="302" spans="1:21" ht="72" x14ac:dyDescent="0.3">
      <c r="A302" s="117">
        <v>300</v>
      </c>
      <c r="B302" s="131">
        <v>1070</v>
      </c>
      <c r="C302" s="111">
        <v>1</v>
      </c>
      <c r="D302" s="111">
        <v>1</v>
      </c>
      <c r="E302" s="118" t="s">
        <v>1163</v>
      </c>
      <c r="F302" s="118" t="s">
        <v>190</v>
      </c>
      <c r="G302" s="119" t="s">
        <v>50</v>
      </c>
      <c r="H302" s="117" t="s">
        <v>839</v>
      </c>
      <c r="I302" s="117"/>
      <c r="J302" s="117"/>
      <c r="K302" s="117" t="s">
        <v>1059</v>
      </c>
      <c r="L302" s="117" t="s">
        <v>1150</v>
      </c>
      <c r="M302" s="111"/>
      <c r="N302" s="122">
        <v>30012004</v>
      </c>
      <c r="O302" s="140">
        <v>2366.5500000000002</v>
      </c>
      <c r="P302" s="227">
        <f t="shared" si="6"/>
        <v>1209.9978014449109</v>
      </c>
      <c r="Q302" s="107">
        <v>0</v>
      </c>
      <c r="R302" s="107">
        <v>0</v>
      </c>
      <c r="S302" s="231"/>
      <c r="T302" s="236"/>
      <c r="U302" s="236"/>
    </row>
    <row r="303" spans="1:21" ht="72" x14ac:dyDescent="0.3">
      <c r="A303" s="117">
        <v>301</v>
      </c>
      <c r="B303" s="131">
        <v>1071</v>
      </c>
      <c r="C303" s="111">
        <v>1</v>
      </c>
      <c r="D303" s="111">
        <v>1</v>
      </c>
      <c r="E303" s="118" t="s">
        <v>1163</v>
      </c>
      <c r="F303" s="118" t="s">
        <v>190</v>
      </c>
      <c r="G303" s="119" t="s">
        <v>50</v>
      </c>
      <c r="H303" s="117" t="s">
        <v>840</v>
      </c>
      <c r="I303" s="117"/>
      <c r="J303" s="117"/>
      <c r="K303" s="117" t="s">
        <v>1063</v>
      </c>
      <c r="L303" s="117" t="s">
        <v>1149</v>
      </c>
      <c r="M303" s="111"/>
      <c r="N303" s="122">
        <v>30012004</v>
      </c>
      <c r="O303" s="140">
        <v>2366.5500000000002</v>
      </c>
      <c r="P303" s="227">
        <f t="shared" si="6"/>
        <v>1209.9978014449109</v>
      </c>
      <c r="Q303" s="107">
        <v>0</v>
      </c>
      <c r="R303" s="107">
        <v>0</v>
      </c>
      <c r="S303" s="231">
        <v>205</v>
      </c>
      <c r="T303" s="236"/>
      <c r="U303" s="236"/>
    </row>
    <row r="304" spans="1:21" ht="72" x14ac:dyDescent="0.3">
      <c r="A304" s="117">
        <v>302</v>
      </c>
      <c r="B304" s="131">
        <v>1072</v>
      </c>
      <c r="C304" s="111">
        <v>2</v>
      </c>
      <c r="D304" s="111">
        <v>1</v>
      </c>
      <c r="E304" s="118" t="s">
        <v>1163</v>
      </c>
      <c r="F304" s="118" t="s">
        <v>191</v>
      </c>
      <c r="G304" s="119" t="s">
        <v>8</v>
      </c>
      <c r="H304" s="119" t="s">
        <v>841</v>
      </c>
      <c r="I304" s="117" t="s">
        <v>1073</v>
      </c>
      <c r="J304" s="117" t="s">
        <v>1074</v>
      </c>
      <c r="K304" s="117" t="s">
        <v>1059</v>
      </c>
      <c r="L304" s="117" t="s">
        <v>1150</v>
      </c>
      <c r="M304" s="111"/>
      <c r="N304" s="122">
        <v>2022004</v>
      </c>
      <c r="O304" s="141">
        <v>4510</v>
      </c>
      <c r="P304" s="228">
        <f t="shared" si="6"/>
        <v>2305.9263841949455</v>
      </c>
      <c r="Q304" s="107">
        <v>0</v>
      </c>
      <c r="R304" s="107">
        <v>0</v>
      </c>
      <c r="S304" s="231"/>
      <c r="T304" s="236"/>
      <c r="U304" s="236"/>
    </row>
    <row r="305" spans="1:21" ht="72" x14ac:dyDescent="0.3">
      <c r="A305" s="117">
        <v>303</v>
      </c>
      <c r="B305" s="131">
        <v>1073</v>
      </c>
      <c r="C305" s="111">
        <v>2</v>
      </c>
      <c r="D305" s="111">
        <v>1</v>
      </c>
      <c r="E305" s="118" t="s">
        <v>1163</v>
      </c>
      <c r="F305" s="118" t="s">
        <v>191</v>
      </c>
      <c r="G305" s="119" t="s">
        <v>8</v>
      </c>
      <c r="H305" s="119" t="s">
        <v>841</v>
      </c>
      <c r="I305" s="117" t="s">
        <v>1073</v>
      </c>
      <c r="J305" s="117" t="s">
        <v>1074</v>
      </c>
      <c r="K305" s="117" t="s">
        <v>1052</v>
      </c>
      <c r="L305" s="117" t="s">
        <v>1150</v>
      </c>
      <c r="M305" s="111"/>
      <c r="N305" s="122">
        <v>2022004</v>
      </c>
      <c r="O305" s="141">
        <v>4510</v>
      </c>
      <c r="P305" s="228">
        <f t="shared" si="6"/>
        <v>2305.9263841949455</v>
      </c>
      <c r="Q305" s="107">
        <v>0</v>
      </c>
      <c r="R305" s="107">
        <v>0</v>
      </c>
      <c r="S305" s="231"/>
      <c r="T305" s="236"/>
      <c r="U305" s="236"/>
    </row>
    <row r="306" spans="1:21" ht="57.6" x14ac:dyDescent="0.3">
      <c r="A306" s="117">
        <v>304</v>
      </c>
      <c r="B306" s="110">
        <v>1086</v>
      </c>
      <c r="C306" s="111">
        <v>16</v>
      </c>
      <c r="D306" s="111">
        <v>4</v>
      </c>
      <c r="E306" s="118" t="s">
        <v>1353</v>
      </c>
      <c r="F306" s="118" t="s">
        <v>201</v>
      </c>
      <c r="G306" s="118" t="s">
        <v>1205</v>
      </c>
      <c r="H306" s="118" t="s">
        <v>842</v>
      </c>
      <c r="I306" s="117" t="s">
        <v>1103</v>
      </c>
      <c r="J306" s="117"/>
      <c r="K306" s="117" t="s">
        <v>1063</v>
      </c>
      <c r="L306" s="117" t="s">
        <v>1149</v>
      </c>
      <c r="M306" s="111"/>
      <c r="N306" s="122"/>
      <c r="O306" s="108">
        <v>7921</v>
      </c>
      <c r="P306" s="229">
        <f t="shared" si="6"/>
        <v>4049.9429909552468</v>
      </c>
      <c r="Q306" s="107">
        <v>0</v>
      </c>
      <c r="R306" s="107">
        <v>0</v>
      </c>
      <c r="S306" s="231">
        <f>P306*0.4</f>
        <v>1619.9771963820988</v>
      </c>
      <c r="T306" s="236"/>
      <c r="U306" s="236"/>
    </row>
    <row r="307" spans="1:21" ht="72" x14ac:dyDescent="0.3">
      <c r="A307" s="117">
        <v>305</v>
      </c>
      <c r="B307" s="131">
        <v>1100</v>
      </c>
      <c r="C307" s="111">
        <v>2</v>
      </c>
      <c r="D307" s="111">
        <v>1</v>
      </c>
      <c r="E307" s="118" t="s">
        <v>1163</v>
      </c>
      <c r="F307" s="118" t="s">
        <v>191</v>
      </c>
      <c r="G307" s="119" t="s">
        <v>51</v>
      </c>
      <c r="H307" s="117" t="s">
        <v>843</v>
      </c>
      <c r="I307" s="117" t="s">
        <v>1102</v>
      </c>
      <c r="J307" s="117" t="s">
        <v>1212</v>
      </c>
      <c r="K307" s="117" t="s">
        <v>1056</v>
      </c>
      <c r="L307" s="117" t="s">
        <v>1153</v>
      </c>
      <c r="M307" s="111"/>
      <c r="N307" s="122"/>
      <c r="O307" s="140">
        <v>3000</v>
      </c>
      <c r="P307" s="227">
        <f t="shared" si="6"/>
        <v>1533.8756435886555</v>
      </c>
      <c r="Q307" s="107">
        <v>0</v>
      </c>
      <c r="R307" s="107">
        <v>0</v>
      </c>
      <c r="S307" s="231"/>
      <c r="T307" s="236"/>
      <c r="U307" s="236"/>
    </row>
    <row r="308" spans="1:21" ht="72" x14ac:dyDescent="0.3">
      <c r="A308" s="117">
        <v>306</v>
      </c>
      <c r="B308" s="131">
        <v>1107</v>
      </c>
      <c r="C308" s="111">
        <v>2</v>
      </c>
      <c r="D308" s="111">
        <v>1</v>
      </c>
      <c r="E308" s="118" t="s">
        <v>1163</v>
      </c>
      <c r="F308" s="118" t="s">
        <v>191</v>
      </c>
      <c r="G308" s="119" t="s">
        <v>52</v>
      </c>
      <c r="H308" s="117" t="s">
        <v>844</v>
      </c>
      <c r="I308" s="117" t="s">
        <v>1073</v>
      </c>
      <c r="J308" s="117" t="s">
        <v>1083</v>
      </c>
      <c r="K308" s="117" t="s">
        <v>1055</v>
      </c>
      <c r="L308" s="117" t="s">
        <v>1148</v>
      </c>
      <c r="M308" s="111"/>
      <c r="N308" s="122">
        <v>31032013</v>
      </c>
      <c r="O308" s="140">
        <v>832.41</v>
      </c>
      <c r="P308" s="227">
        <f t="shared" si="6"/>
        <v>425.60447482654422</v>
      </c>
      <c r="Q308" s="107">
        <v>20.81</v>
      </c>
      <c r="R308" s="107">
        <v>0</v>
      </c>
      <c r="S308" s="231"/>
      <c r="T308" s="236"/>
      <c r="U308" s="236"/>
    </row>
    <row r="309" spans="1:21" ht="72" x14ac:dyDescent="0.3">
      <c r="A309" s="117">
        <v>307</v>
      </c>
      <c r="B309" s="131">
        <v>1108</v>
      </c>
      <c r="C309" s="111">
        <v>2</v>
      </c>
      <c r="D309" s="111">
        <v>1</v>
      </c>
      <c r="E309" s="118" t="s">
        <v>1163</v>
      </c>
      <c r="F309" s="118" t="s">
        <v>191</v>
      </c>
      <c r="G309" s="119" t="s">
        <v>52</v>
      </c>
      <c r="H309" s="117" t="s">
        <v>844</v>
      </c>
      <c r="I309" s="117" t="s">
        <v>1073</v>
      </c>
      <c r="J309" s="117" t="s">
        <v>1083</v>
      </c>
      <c r="K309" s="117" t="s">
        <v>1059</v>
      </c>
      <c r="L309" s="117" t="s">
        <v>1150</v>
      </c>
      <c r="M309" s="111"/>
      <c r="N309" s="122">
        <v>31032013</v>
      </c>
      <c r="O309" s="140">
        <v>832.41</v>
      </c>
      <c r="P309" s="227">
        <f t="shared" si="6"/>
        <v>425.60447482654422</v>
      </c>
      <c r="Q309" s="107">
        <v>20.81</v>
      </c>
      <c r="R309" s="107">
        <v>0</v>
      </c>
      <c r="S309" s="231"/>
      <c r="T309" s="236"/>
      <c r="U309" s="236"/>
    </row>
    <row r="310" spans="1:21" ht="72" x14ac:dyDescent="0.3">
      <c r="A310" s="117">
        <v>308</v>
      </c>
      <c r="B310" s="131">
        <v>1109</v>
      </c>
      <c r="C310" s="111">
        <v>2</v>
      </c>
      <c r="D310" s="111">
        <v>1</v>
      </c>
      <c r="E310" s="118" t="s">
        <v>1163</v>
      </c>
      <c r="F310" s="118" t="s">
        <v>191</v>
      </c>
      <c r="G310" s="119" t="s">
        <v>52</v>
      </c>
      <c r="H310" s="117" t="s">
        <v>844</v>
      </c>
      <c r="I310" s="117" t="s">
        <v>1073</v>
      </c>
      <c r="J310" s="117" t="s">
        <v>1083</v>
      </c>
      <c r="K310" s="117" t="s">
        <v>1057</v>
      </c>
      <c r="L310" s="117" t="s">
        <v>1154</v>
      </c>
      <c r="M310" s="111"/>
      <c r="N310" s="122">
        <v>31032013</v>
      </c>
      <c r="O310" s="140">
        <v>832.41</v>
      </c>
      <c r="P310" s="227">
        <f t="shared" si="6"/>
        <v>425.60447482654422</v>
      </c>
      <c r="Q310" s="107">
        <v>20.81</v>
      </c>
      <c r="R310" s="107">
        <v>0</v>
      </c>
      <c r="S310" s="231"/>
      <c r="T310" s="236"/>
      <c r="U310" s="236"/>
    </row>
    <row r="311" spans="1:21" ht="72" x14ac:dyDescent="0.3">
      <c r="A311" s="117">
        <v>309</v>
      </c>
      <c r="B311" s="131">
        <v>1110</v>
      </c>
      <c r="C311" s="111">
        <v>2</v>
      </c>
      <c r="D311" s="111">
        <v>1</v>
      </c>
      <c r="E311" s="118" t="s">
        <v>1163</v>
      </c>
      <c r="F311" s="118" t="s">
        <v>191</v>
      </c>
      <c r="G311" s="119" t="s">
        <v>52</v>
      </c>
      <c r="H311" s="117" t="s">
        <v>844</v>
      </c>
      <c r="I311" s="117" t="s">
        <v>1073</v>
      </c>
      <c r="J311" s="117" t="s">
        <v>1083</v>
      </c>
      <c r="K311" s="117" t="s">
        <v>1059</v>
      </c>
      <c r="L311" s="117" t="s">
        <v>1150</v>
      </c>
      <c r="M311" s="111"/>
      <c r="N311" s="122">
        <v>31032013</v>
      </c>
      <c r="O311" s="140">
        <v>832.41</v>
      </c>
      <c r="P311" s="227">
        <f t="shared" si="6"/>
        <v>425.60447482654422</v>
      </c>
      <c r="Q311" s="107">
        <v>20.81</v>
      </c>
      <c r="R311" s="107">
        <v>0</v>
      </c>
      <c r="S311" s="231"/>
      <c r="T311" s="236"/>
      <c r="U311" s="236"/>
    </row>
    <row r="312" spans="1:21" ht="72" x14ac:dyDescent="0.3">
      <c r="A312" s="117">
        <v>310</v>
      </c>
      <c r="B312" s="131">
        <v>1111</v>
      </c>
      <c r="C312" s="111">
        <v>2</v>
      </c>
      <c r="D312" s="111">
        <v>1</v>
      </c>
      <c r="E312" s="118" t="s">
        <v>1163</v>
      </c>
      <c r="F312" s="118" t="s">
        <v>191</v>
      </c>
      <c r="G312" s="119" t="s">
        <v>52</v>
      </c>
      <c r="H312" s="117" t="s">
        <v>844</v>
      </c>
      <c r="I312" s="117" t="s">
        <v>1073</v>
      </c>
      <c r="J312" s="117" t="s">
        <v>1083</v>
      </c>
      <c r="K312" s="117" t="s">
        <v>1059</v>
      </c>
      <c r="L312" s="117" t="s">
        <v>1150</v>
      </c>
      <c r="M312" s="111"/>
      <c r="N312" s="122">
        <v>31032013</v>
      </c>
      <c r="O312" s="140">
        <v>832.41</v>
      </c>
      <c r="P312" s="227">
        <f t="shared" si="6"/>
        <v>425.60447482654422</v>
      </c>
      <c r="Q312" s="107">
        <v>20.81</v>
      </c>
      <c r="R312" s="107">
        <v>0</v>
      </c>
      <c r="S312" s="231"/>
      <c r="T312" s="236"/>
      <c r="U312" s="236"/>
    </row>
    <row r="313" spans="1:21" ht="72" x14ac:dyDescent="0.3">
      <c r="A313" s="117">
        <v>311</v>
      </c>
      <c r="B313" s="131">
        <v>1112</v>
      </c>
      <c r="C313" s="111">
        <v>2</v>
      </c>
      <c r="D313" s="111">
        <v>1</v>
      </c>
      <c r="E313" s="118" t="s">
        <v>1163</v>
      </c>
      <c r="F313" s="118" t="s">
        <v>191</v>
      </c>
      <c r="G313" s="119" t="s">
        <v>52</v>
      </c>
      <c r="H313" s="117" t="s">
        <v>844</v>
      </c>
      <c r="I313" s="117" t="s">
        <v>1073</v>
      </c>
      <c r="J313" s="117" t="s">
        <v>1083</v>
      </c>
      <c r="K313" s="117" t="s">
        <v>1056</v>
      </c>
      <c r="L313" s="117" t="s">
        <v>1153</v>
      </c>
      <c r="M313" s="111"/>
      <c r="N313" s="122">
        <v>31032013</v>
      </c>
      <c r="O313" s="140">
        <v>832.41</v>
      </c>
      <c r="P313" s="227">
        <f t="shared" si="6"/>
        <v>425.60447482654422</v>
      </c>
      <c r="Q313" s="107">
        <v>20.81</v>
      </c>
      <c r="R313" s="107">
        <v>0</v>
      </c>
      <c r="S313" s="231"/>
      <c r="T313" s="236"/>
      <c r="U313" s="236"/>
    </row>
    <row r="314" spans="1:21" ht="72" x14ac:dyDescent="0.3">
      <c r="A314" s="117">
        <v>312</v>
      </c>
      <c r="B314" s="131">
        <v>1113</v>
      </c>
      <c r="C314" s="111">
        <v>2</v>
      </c>
      <c r="D314" s="111">
        <v>1</v>
      </c>
      <c r="E314" s="118" t="s">
        <v>1163</v>
      </c>
      <c r="F314" s="118" t="s">
        <v>191</v>
      </c>
      <c r="G314" s="119" t="s">
        <v>52</v>
      </c>
      <c r="H314" s="117" t="s">
        <v>844</v>
      </c>
      <c r="I314" s="117" t="s">
        <v>1073</v>
      </c>
      <c r="J314" s="117" t="s">
        <v>1083</v>
      </c>
      <c r="K314" s="117" t="s">
        <v>1056</v>
      </c>
      <c r="L314" s="117" t="s">
        <v>1153</v>
      </c>
      <c r="M314" s="111"/>
      <c r="N314" s="122">
        <v>31032013</v>
      </c>
      <c r="O314" s="140">
        <v>832.41</v>
      </c>
      <c r="P314" s="227">
        <f t="shared" si="6"/>
        <v>425.60447482654422</v>
      </c>
      <c r="Q314" s="107">
        <v>20.81</v>
      </c>
      <c r="R314" s="107">
        <v>0</v>
      </c>
      <c r="S314" s="231"/>
      <c r="T314" s="236"/>
      <c r="U314" s="236"/>
    </row>
    <row r="315" spans="1:21" ht="72" x14ac:dyDescent="0.3">
      <c r="A315" s="117">
        <v>313</v>
      </c>
      <c r="B315" s="131">
        <v>1114</v>
      </c>
      <c r="C315" s="111">
        <v>2</v>
      </c>
      <c r="D315" s="111">
        <v>1</v>
      </c>
      <c r="E315" s="118" t="s">
        <v>1163</v>
      </c>
      <c r="F315" s="118" t="s">
        <v>191</v>
      </c>
      <c r="G315" s="119" t="s">
        <v>52</v>
      </c>
      <c r="H315" s="117" t="s">
        <v>844</v>
      </c>
      <c r="I315" s="117" t="s">
        <v>1073</v>
      </c>
      <c r="J315" s="117" t="s">
        <v>1083</v>
      </c>
      <c r="K315" s="117" t="s">
        <v>1059</v>
      </c>
      <c r="L315" s="117" t="s">
        <v>1150</v>
      </c>
      <c r="M315" s="111"/>
      <c r="N315" s="122">
        <v>31032013</v>
      </c>
      <c r="O315" s="140">
        <v>832.41</v>
      </c>
      <c r="P315" s="227">
        <f t="shared" si="6"/>
        <v>425.60447482654422</v>
      </c>
      <c r="Q315" s="107">
        <v>20.81</v>
      </c>
      <c r="R315" s="107">
        <v>0</v>
      </c>
      <c r="S315" s="231"/>
      <c r="T315" s="236"/>
      <c r="U315" s="236"/>
    </row>
    <row r="316" spans="1:21" ht="72" x14ac:dyDescent="0.3">
      <c r="A316" s="117">
        <v>314</v>
      </c>
      <c r="B316" s="131">
        <v>1115</v>
      </c>
      <c r="C316" s="111">
        <v>2</v>
      </c>
      <c r="D316" s="111">
        <v>1</v>
      </c>
      <c r="E316" s="118" t="s">
        <v>1163</v>
      </c>
      <c r="F316" s="118" t="s">
        <v>191</v>
      </c>
      <c r="G316" s="119" t="s">
        <v>52</v>
      </c>
      <c r="H316" s="117" t="s">
        <v>844</v>
      </c>
      <c r="I316" s="117" t="s">
        <v>1073</v>
      </c>
      <c r="J316" s="117" t="s">
        <v>1083</v>
      </c>
      <c r="K316" s="117" t="s">
        <v>1059</v>
      </c>
      <c r="L316" s="117" t="s">
        <v>1150</v>
      </c>
      <c r="M316" s="111"/>
      <c r="N316" s="122">
        <v>31032013</v>
      </c>
      <c r="O316" s="140">
        <v>832.41</v>
      </c>
      <c r="P316" s="227">
        <f t="shared" si="6"/>
        <v>425.60447482654422</v>
      </c>
      <c r="Q316" s="107">
        <v>20.81</v>
      </c>
      <c r="R316" s="107">
        <v>0</v>
      </c>
      <c r="S316" s="231"/>
      <c r="T316" s="236"/>
      <c r="U316" s="236"/>
    </row>
    <row r="317" spans="1:21" ht="72" x14ac:dyDescent="0.3">
      <c r="A317" s="117">
        <v>315</v>
      </c>
      <c r="B317" s="131">
        <v>1116</v>
      </c>
      <c r="C317" s="111">
        <v>2</v>
      </c>
      <c r="D317" s="111">
        <v>1</v>
      </c>
      <c r="E317" s="118" t="s">
        <v>1163</v>
      </c>
      <c r="F317" s="118" t="s">
        <v>191</v>
      </c>
      <c r="G317" s="119" t="s">
        <v>52</v>
      </c>
      <c r="H317" s="117" t="s">
        <v>844</v>
      </c>
      <c r="I317" s="117" t="s">
        <v>1073</v>
      </c>
      <c r="J317" s="117" t="s">
        <v>1083</v>
      </c>
      <c r="K317" s="117" t="s">
        <v>1059</v>
      </c>
      <c r="L317" s="117" t="s">
        <v>1150</v>
      </c>
      <c r="M317" s="111"/>
      <c r="N317" s="122">
        <v>31032013</v>
      </c>
      <c r="O317" s="140">
        <v>832.41</v>
      </c>
      <c r="P317" s="227">
        <f t="shared" si="6"/>
        <v>425.60447482654422</v>
      </c>
      <c r="Q317" s="107">
        <v>20.81</v>
      </c>
      <c r="R317" s="107">
        <v>0</v>
      </c>
      <c r="S317" s="231"/>
      <c r="T317" s="236"/>
      <c r="U317" s="236"/>
    </row>
    <row r="318" spans="1:21" ht="72" x14ac:dyDescent="0.3">
      <c r="A318" s="117">
        <v>316</v>
      </c>
      <c r="B318" s="131">
        <v>1117</v>
      </c>
      <c r="C318" s="111">
        <v>2</v>
      </c>
      <c r="D318" s="111">
        <v>1</v>
      </c>
      <c r="E318" s="118" t="s">
        <v>1163</v>
      </c>
      <c r="F318" s="118" t="s">
        <v>191</v>
      </c>
      <c r="G318" s="119" t="s">
        <v>52</v>
      </c>
      <c r="H318" s="117" t="s">
        <v>844</v>
      </c>
      <c r="I318" s="117" t="s">
        <v>1073</v>
      </c>
      <c r="J318" s="117" t="s">
        <v>1083</v>
      </c>
      <c r="K318" s="117" t="s">
        <v>1056</v>
      </c>
      <c r="L318" s="117" t="s">
        <v>1153</v>
      </c>
      <c r="M318" s="111"/>
      <c r="N318" s="122">
        <v>31032013</v>
      </c>
      <c r="O318" s="140">
        <v>832.41</v>
      </c>
      <c r="P318" s="227">
        <f t="shared" si="6"/>
        <v>425.60447482654422</v>
      </c>
      <c r="Q318" s="107">
        <v>20.81</v>
      </c>
      <c r="R318" s="107">
        <v>0</v>
      </c>
      <c r="S318" s="231"/>
      <c r="T318" s="236"/>
      <c r="U318" s="236"/>
    </row>
    <row r="319" spans="1:21" ht="72" x14ac:dyDescent="0.3">
      <c r="A319" s="117">
        <v>317</v>
      </c>
      <c r="B319" s="131">
        <v>1118</v>
      </c>
      <c r="C319" s="111">
        <v>2</v>
      </c>
      <c r="D319" s="111">
        <v>1</v>
      </c>
      <c r="E319" s="118" t="s">
        <v>1163</v>
      </c>
      <c r="F319" s="118" t="s">
        <v>191</v>
      </c>
      <c r="G319" s="119" t="s">
        <v>52</v>
      </c>
      <c r="H319" s="117" t="s">
        <v>844</v>
      </c>
      <c r="I319" s="117" t="s">
        <v>1073</v>
      </c>
      <c r="J319" s="117" t="s">
        <v>1083</v>
      </c>
      <c r="K319" s="117" t="s">
        <v>1059</v>
      </c>
      <c r="L319" s="117" t="s">
        <v>1150</v>
      </c>
      <c r="M319" s="111"/>
      <c r="N319" s="122">
        <v>31032013</v>
      </c>
      <c r="O319" s="140">
        <v>832.41</v>
      </c>
      <c r="P319" s="227">
        <f t="shared" si="6"/>
        <v>425.60447482654422</v>
      </c>
      <c r="Q319" s="107">
        <v>20.81</v>
      </c>
      <c r="R319" s="107">
        <v>0</v>
      </c>
      <c r="S319" s="231"/>
      <c r="T319" s="236"/>
      <c r="U319" s="236"/>
    </row>
    <row r="320" spans="1:21" ht="72" x14ac:dyDescent="0.3">
      <c r="A320" s="117">
        <v>318</v>
      </c>
      <c r="B320" s="131">
        <v>1121</v>
      </c>
      <c r="C320" s="111">
        <v>2</v>
      </c>
      <c r="D320" s="111">
        <v>1</v>
      </c>
      <c r="E320" s="118" t="s">
        <v>1163</v>
      </c>
      <c r="F320" s="118" t="s">
        <v>191</v>
      </c>
      <c r="G320" s="119" t="s">
        <v>52</v>
      </c>
      <c r="H320" s="117" t="s">
        <v>844</v>
      </c>
      <c r="I320" s="117" t="s">
        <v>1073</v>
      </c>
      <c r="J320" s="117" t="s">
        <v>1083</v>
      </c>
      <c r="K320" s="117" t="s">
        <v>1059</v>
      </c>
      <c r="L320" s="117" t="s">
        <v>1150</v>
      </c>
      <c r="M320" s="111"/>
      <c r="N320" s="122">
        <v>31032013</v>
      </c>
      <c r="O320" s="140">
        <v>832.42</v>
      </c>
      <c r="P320" s="227">
        <f t="shared" si="6"/>
        <v>425.60958774535618</v>
      </c>
      <c r="Q320" s="107">
        <v>20.81</v>
      </c>
      <c r="R320" s="107">
        <v>0</v>
      </c>
      <c r="S320" s="231"/>
      <c r="T320" s="236"/>
      <c r="U320" s="236"/>
    </row>
    <row r="321" spans="1:21" ht="72" x14ac:dyDescent="0.3">
      <c r="A321" s="117">
        <v>319</v>
      </c>
      <c r="B321" s="131">
        <v>1125</v>
      </c>
      <c r="C321" s="111">
        <v>1</v>
      </c>
      <c r="D321" s="111">
        <v>1</v>
      </c>
      <c r="E321" s="118" t="s">
        <v>1163</v>
      </c>
      <c r="F321" s="118" t="s">
        <v>190</v>
      </c>
      <c r="G321" s="119" t="s">
        <v>53</v>
      </c>
      <c r="H321" s="117" t="s">
        <v>845</v>
      </c>
      <c r="I321" s="117"/>
      <c r="J321" s="117"/>
      <c r="K321" s="117" t="s">
        <v>1066</v>
      </c>
      <c r="L321" s="117" t="s">
        <v>1149</v>
      </c>
      <c r="M321" s="111"/>
      <c r="N321" s="122">
        <v>31032013</v>
      </c>
      <c r="O321" s="140">
        <v>779.72</v>
      </c>
      <c r="P321" s="227">
        <f t="shared" si="6"/>
        <v>398.66450560631552</v>
      </c>
      <c r="Q321" s="107">
        <v>19.489999999999998</v>
      </c>
      <c r="R321" s="107">
        <v>0</v>
      </c>
      <c r="S321" s="231">
        <v>100</v>
      </c>
      <c r="T321" s="236"/>
      <c r="U321" s="236"/>
    </row>
    <row r="322" spans="1:21" ht="72" x14ac:dyDescent="0.3">
      <c r="A322" s="117">
        <v>320</v>
      </c>
      <c r="B322" s="131">
        <v>1126</v>
      </c>
      <c r="C322" s="111">
        <v>1</v>
      </c>
      <c r="D322" s="111">
        <v>1</v>
      </c>
      <c r="E322" s="118" t="s">
        <v>1163</v>
      </c>
      <c r="F322" s="118" t="s">
        <v>190</v>
      </c>
      <c r="G322" s="119" t="s">
        <v>53</v>
      </c>
      <c r="H322" s="117" t="s">
        <v>845</v>
      </c>
      <c r="I322" s="117"/>
      <c r="J322" s="117"/>
      <c r="K322" s="117" t="s">
        <v>1066</v>
      </c>
      <c r="L322" s="117" t="s">
        <v>1149</v>
      </c>
      <c r="M322" s="111"/>
      <c r="N322" s="122">
        <v>31032013</v>
      </c>
      <c r="O322" s="140">
        <v>779.72</v>
      </c>
      <c r="P322" s="227">
        <f t="shared" si="6"/>
        <v>398.66450560631552</v>
      </c>
      <c r="Q322" s="107">
        <v>19.489999999999998</v>
      </c>
      <c r="R322" s="107">
        <v>0</v>
      </c>
      <c r="S322" s="231">
        <v>100</v>
      </c>
      <c r="T322" s="236"/>
      <c r="U322" s="236"/>
    </row>
    <row r="323" spans="1:21" ht="72" x14ac:dyDescent="0.3">
      <c r="A323" s="117">
        <v>321</v>
      </c>
      <c r="B323" s="131">
        <v>1129</v>
      </c>
      <c r="C323" s="111">
        <v>1</v>
      </c>
      <c r="D323" s="111">
        <v>1</v>
      </c>
      <c r="E323" s="118" t="s">
        <v>1163</v>
      </c>
      <c r="F323" s="118" t="s">
        <v>190</v>
      </c>
      <c r="G323" s="119" t="s">
        <v>53</v>
      </c>
      <c r="H323" s="117" t="s">
        <v>845</v>
      </c>
      <c r="I323" s="117"/>
      <c r="J323" s="117"/>
      <c r="K323" s="117" t="s">
        <v>1066</v>
      </c>
      <c r="L323" s="117" t="s">
        <v>1149</v>
      </c>
      <c r="M323" s="111"/>
      <c r="N323" s="122">
        <v>31032013</v>
      </c>
      <c r="O323" s="140">
        <v>779.72</v>
      </c>
      <c r="P323" s="227">
        <f t="shared" si="6"/>
        <v>398.66450560631552</v>
      </c>
      <c r="Q323" s="107">
        <v>19.489999999999998</v>
      </c>
      <c r="R323" s="107">
        <v>0</v>
      </c>
      <c r="S323" s="231">
        <v>100</v>
      </c>
      <c r="T323" s="236"/>
      <c r="U323" s="236"/>
    </row>
    <row r="324" spans="1:21" ht="72" x14ac:dyDescent="0.3">
      <c r="A324" s="117">
        <v>322</v>
      </c>
      <c r="B324" s="131">
        <v>1134</v>
      </c>
      <c r="C324" s="111">
        <v>1</v>
      </c>
      <c r="D324" s="111">
        <v>1</v>
      </c>
      <c r="E324" s="118" t="s">
        <v>1163</v>
      </c>
      <c r="F324" s="118" t="s">
        <v>190</v>
      </c>
      <c r="G324" s="119" t="s">
        <v>53</v>
      </c>
      <c r="H324" s="117" t="s">
        <v>845</v>
      </c>
      <c r="I324" s="117"/>
      <c r="J324" s="117"/>
      <c r="K324" s="117" t="s">
        <v>1066</v>
      </c>
      <c r="L324" s="117" t="s">
        <v>1149</v>
      </c>
      <c r="M324" s="111"/>
      <c r="N324" s="122">
        <v>31032013</v>
      </c>
      <c r="O324" s="140">
        <v>779.72</v>
      </c>
      <c r="P324" s="227">
        <f t="shared" ref="P324:P387" si="7">O324/$P$1</f>
        <v>398.66450560631552</v>
      </c>
      <c r="Q324" s="107">
        <v>19.489999999999998</v>
      </c>
      <c r="R324" s="107">
        <v>0</v>
      </c>
      <c r="S324" s="231">
        <v>100</v>
      </c>
      <c r="T324" s="236"/>
      <c r="U324" s="236"/>
    </row>
    <row r="325" spans="1:21" ht="72" x14ac:dyDescent="0.3">
      <c r="A325" s="117">
        <v>323</v>
      </c>
      <c r="B325" s="131">
        <v>1135</v>
      </c>
      <c r="C325" s="111">
        <v>1</v>
      </c>
      <c r="D325" s="111">
        <v>1</v>
      </c>
      <c r="E325" s="118" t="s">
        <v>1163</v>
      </c>
      <c r="F325" s="118" t="s">
        <v>190</v>
      </c>
      <c r="G325" s="119" t="s">
        <v>53</v>
      </c>
      <c r="H325" s="117" t="s">
        <v>845</v>
      </c>
      <c r="I325" s="117"/>
      <c r="J325" s="117"/>
      <c r="K325" s="117" t="s">
        <v>1066</v>
      </c>
      <c r="L325" s="117" t="s">
        <v>1149</v>
      </c>
      <c r="M325" s="111"/>
      <c r="N325" s="122">
        <v>31032013</v>
      </c>
      <c r="O325" s="140">
        <v>779.72</v>
      </c>
      <c r="P325" s="227">
        <f t="shared" si="7"/>
        <v>398.66450560631552</v>
      </c>
      <c r="Q325" s="107">
        <v>19.489999999999998</v>
      </c>
      <c r="R325" s="107">
        <v>0</v>
      </c>
      <c r="S325" s="231">
        <v>100</v>
      </c>
      <c r="T325" s="236"/>
      <c r="U325" s="236"/>
    </row>
    <row r="326" spans="1:21" ht="72" x14ac:dyDescent="0.3">
      <c r="A326" s="117">
        <v>324</v>
      </c>
      <c r="B326" s="131">
        <v>1144</v>
      </c>
      <c r="C326" s="111">
        <v>1</v>
      </c>
      <c r="D326" s="111">
        <v>1</v>
      </c>
      <c r="E326" s="118" t="s">
        <v>1163</v>
      </c>
      <c r="F326" s="118" t="s">
        <v>190</v>
      </c>
      <c r="G326" s="119" t="s">
        <v>53</v>
      </c>
      <c r="H326" s="117" t="s">
        <v>845</v>
      </c>
      <c r="I326" s="117"/>
      <c r="J326" s="117"/>
      <c r="K326" s="117" t="s">
        <v>1063</v>
      </c>
      <c r="L326" s="117" t="s">
        <v>1149</v>
      </c>
      <c r="M326" s="111"/>
      <c r="N326" s="122">
        <v>31032013</v>
      </c>
      <c r="O326" s="140">
        <v>779.72</v>
      </c>
      <c r="P326" s="227">
        <f t="shared" si="7"/>
        <v>398.66450560631552</v>
      </c>
      <c r="Q326" s="107">
        <v>19.489999999999998</v>
      </c>
      <c r="R326" s="107">
        <v>0</v>
      </c>
      <c r="S326" s="231">
        <v>100</v>
      </c>
      <c r="T326" s="236"/>
      <c r="U326" s="236"/>
    </row>
    <row r="327" spans="1:21" ht="72" x14ac:dyDescent="0.3">
      <c r="A327" s="117">
        <v>325</v>
      </c>
      <c r="B327" s="131">
        <v>1148</v>
      </c>
      <c r="C327" s="111">
        <v>1</v>
      </c>
      <c r="D327" s="111">
        <v>1</v>
      </c>
      <c r="E327" s="118" t="s">
        <v>1163</v>
      </c>
      <c r="F327" s="118" t="s">
        <v>190</v>
      </c>
      <c r="G327" s="119" t="s">
        <v>53</v>
      </c>
      <c r="H327" s="117" t="s">
        <v>845</v>
      </c>
      <c r="I327" s="117"/>
      <c r="J327" s="117"/>
      <c r="K327" s="117" t="s">
        <v>1063</v>
      </c>
      <c r="L327" s="117" t="s">
        <v>1149</v>
      </c>
      <c r="M327" s="111"/>
      <c r="N327" s="122">
        <v>31032013</v>
      </c>
      <c r="O327" s="140">
        <v>779.72</v>
      </c>
      <c r="P327" s="227">
        <f t="shared" si="7"/>
        <v>398.66450560631552</v>
      </c>
      <c r="Q327" s="107">
        <v>19.489999999999998</v>
      </c>
      <c r="R327" s="107">
        <v>0</v>
      </c>
      <c r="S327" s="231">
        <v>100</v>
      </c>
      <c r="T327" s="236"/>
      <c r="U327" s="236"/>
    </row>
    <row r="328" spans="1:21" ht="72" x14ac:dyDescent="0.3">
      <c r="A328" s="117">
        <v>326</v>
      </c>
      <c r="B328" s="131">
        <v>1155</v>
      </c>
      <c r="C328" s="111">
        <v>1</v>
      </c>
      <c r="D328" s="111">
        <v>1</v>
      </c>
      <c r="E328" s="118" t="s">
        <v>1163</v>
      </c>
      <c r="F328" s="118" t="s">
        <v>190</v>
      </c>
      <c r="G328" s="119" t="s">
        <v>53</v>
      </c>
      <c r="H328" s="117" t="s">
        <v>845</v>
      </c>
      <c r="I328" s="117"/>
      <c r="J328" s="117"/>
      <c r="K328" s="117" t="s">
        <v>1063</v>
      </c>
      <c r="L328" s="117" t="s">
        <v>1149</v>
      </c>
      <c r="M328" s="111"/>
      <c r="N328" s="122">
        <v>31032013</v>
      </c>
      <c r="O328" s="140">
        <v>779.72</v>
      </c>
      <c r="P328" s="227">
        <f t="shared" si="7"/>
        <v>398.66450560631552</v>
      </c>
      <c r="Q328" s="107">
        <v>19.489999999999998</v>
      </c>
      <c r="R328" s="107">
        <v>0</v>
      </c>
      <c r="S328" s="231">
        <v>100</v>
      </c>
      <c r="T328" s="236"/>
      <c r="U328" s="236"/>
    </row>
    <row r="329" spans="1:21" ht="72" x14ac:dyDescent="0.3">
      <c r="A329" s="117">
        <v>327</v>
      </c>
      <c r="B329" s="131">
        <v>1156</v>
      </c>
      <c r="C329" s="111">
        <v>1</v>
      </c>
      <c r="D329" s="111">
        <v>1</v>
      </c>
      <c r="E329" s="118" t="s">
        <v>1163</v>
      </c>
      <c r="F329" s="118" t="s">
        <v>190</v>
      </c>
      <c r="G329" s="119" t="s">
        <v>53</v>
      </c>
      <c r="H329" s="117" t="s">
        <v>845</v>
      </c>
      <c r="I329" s="117"/>
      <c r="J329" s="117"/>
      <c r="K329" s="117" t="s">
        <v>1066</v>
      </c>
      <c r="L329" s="117" t="s">
        <v>1149</v>
      </c>
      <c r="M329" s="111"/>
      <c r="N329" s="122">
        <v>31032013</v>
      </c>
      <c r="O329" s="140">
        <v>779.72</v>
      </c>
      <c r="P329" s="227">
        <f t="shared" si="7"/>
        <v>398.66450560631552</v>
      </c>
      <c r="Q329" s="107">
        <v>19.489999999999998</v>
      </c>
      <c r="R329" s="107">
        <v>0</v>
      </c>
      <c r="S329" s="231">
        <v>100</v>
      </c>
      <c r="T329" s="236"/>
      <c r="U329" s="236"/>
    </row>
    <row r="330" spans="1:21" ht="72" x14ac:dyDescent="0.3">
      <c r="A330" s="117">
        <v>328</v>
      </c>
      <c r="B330" s="131">
        <v>1158</v>
      </c>
      <c r="C330" s="111">
        <v>1</v>
      </c>
      <c r="D330" s="111">
        <v>1</v>
      </c>
      <c r="E330" s="118" t="s">
        <v>1163</v>
      </c>
      <c r="F330" s="118" t="s">
        <v>190</v>
      </c>
      <c r="G330" s="119" t="s">
        <v>53</v>
      </c>
      <c r="H330" s="117" t="s">
        <v>845</v>
      </c>
      <c r="I330" s="117"/>
      <c r="J330" s="117"/>
      <c r="K330" s="117" t="s">
        <v>1066</v>
      </c>
      <c r="L330" s="117" t="s">
        <v>1149</v>
      </c>
      <c r="M330" s="111"/>
      <c r="N330" s="122">
        <v>31032013</v>
      </c>
      <c r="O330" s="140">
        <v>779.72</v>
      </c>
      <c r="P330" s="227">
        <f t="shared" si="7"/>
        <v>398.66450560631552</v>
      </c>
      <c r="Q330" s="107">
        <v>19.489999999999998</v>
      </c>
      <c r="R330" s="107">
        <v>0</v>
      </c>
      <c r="S330" s="231">
        <v>100</v>
      </c>
      <c r="T330" s="236"/>
      <c r="U330" s="236"/>
    </row>
    <row r="331" spans="1:21" ht="72" x14ac:dyDescent="0.3">
      <c r="A331" s="117">
        <v>329</v>
      </c>
      <c r="B331" s="131">
        <v>1161</v>
      </c>
      <c r="C331" s="111">
        <v>1</v>
      </c>
      <c r="D331" s="111">
        <v>1</v>
      </c>
      <c r="E331" s="118" t="s">
        <v>1163</v>
      </c>
      <c r="F331" s="118" t="s">
        <v>190</v>
      </c>
      <c r="G331" s="119" t="s">
        <v>53</v>
      </c>
      <c r="H331" s="117" t="s">
        <v>845</v>
      </c>
      <c r="I331" s="117"/>
      <c r="J331" s="117"/>
      <c r="K331" s="117" t="s">
        <v>1066</v>
      </c>
      <c r="L331" s="117" t="s">
        <v>1149</v>
      </c>
      <c r="M331" s="111"/>
      <c r="N331" s="122">
        <v>31032013</v>
      </c>
      <c r="O331" s="140">
        <v>779.72</v>
      </c>
      <c r="P331" s="227">
        <f t="shared" si="7"/>
        <v>398.66450560631552</v>
      </c>
      <c r="Q331" s="107">
        <v>19.489999999999998</v>
      </c>
      <c r="R331" s="107">
        <v>0</v>
      </c>
      <c r="S331" s="231">
        <v>100</v>
      </c>
      <c r="T331" s="236"/>
      <c r="U331" s="236"/>
    </row>
    <row r="332" spans="1:21" ht="72" x14ac:dyDescent="0.3">
      <c r="A332" s="117">
        <v>330</v>
      </c>
      <c r="B332" s="131">
        <v>1162</v>
      </c>
      <c r="C332" s="111">
        <v>1</v>
      </c>
      <c r="D332" s="111">
        <v>1</v>
      </c>
      <c r="E332" s="118" t="s">
        <v>1163</v>
      </c>
      <c r="F332" s="118" t="s">
        <v>190</v>
      </c>
      <c r="G332" s="119" t="s">
        <v>53</v>
      </c>
      <c r="H332" s="117" t="s">
        <v>845</v>
      </c>
      <c r="I332" s="117"/>
      <c r="J332" s="117"/>
      <c r="K332" s="117" t="s">
        <v>1066</v>
      </c>
      <c r="L332" s="117" t="s">
        <v>1149</v>
      </c>
      <c r="M332" s="111"/>
      <c r="N332" s="122">
        <v>31032013</v>
      </c>
      <c r="O332" s="140">
        <v>779.72</v>
      </c>
      <c r="P332" s="227">
        <f t="shared" si="7"/>
        <v>398.66450560631552</v>
      </c>
      <c r="Q332" s="107">
        <v>19.489999999999998</v>
      </c>
      <c r="R332" s="107">
        <v>0</v>
      </c>
      <c r="S332" s="231">
        <v>100</v>
      </c>
      <c r="T332" s="236"/>
      <c r="U332" s="236"/>
    </row>
    <row r="333" spans="1:21" ht="72" x14ac:dyDescent="0.3">
      <c r="A333" s="117">
        <v>331</v>
      </c>
      <c r="B333" s="131">
        <v>1172</v>
      </c>
      <c r="C333" s="111">
        <v>1</v>
      </c>
      <c r="D333" s="111">
        <v>1</v>
      </c>
      <c r="E333" s="118" t="s">
        <v>1163</v>
      </c>
      <c r="F333" s="118" t="s">
        <v>190</v>
      </c>
      <c r="G333" s="119" t="s">
        <v>53</v>
      </c>
      <c r="H333" s="117" t="s">
        <v>845</v>
      </c>
      <c r="I333" s="117"/>
      <c r="J333" s="117"/>
      <c r="K333" s="117" t="s">
        <v>1063</v>
      </c>
      <c r="L333" s="117" t="s">
        <v>1149</v>
      </c>
      <c r="M333" s="111"/>
      <c r="N333" s="122">
        <v>31032013</v>
      </c>
      <c r="O333" s="140">
        <v>779.72</v>
      </c>
      <c r="P333" s="227">
        <f t="shared" si="7"/>
        <v>398.66450560631552</v>
      </c>
      <c r="Q333" s="107">
        <v>19.489999999999998</v>
      </c>
      <c r="R333" s="107">
        <v>0</v>
      </c>
      <c r="S333" s="231">
        <v>100</v>
      </c>
      <c r="T333" s="236"/>
      <c r="U333" s="236"/>
    </row>
    <row r="334" spans="1:21" ht="72" x14ac:dyDescent="0.3">
      <c r="A334" s="117">
        <v>332</v>
      </c>
      <c r="B334" s="131">
        <v>1180</v>
      </c>
      <c r="C334" s="111">
        <v>1</v>
      </c>
      <c r="D334" s="111">
        <v>1</v>
      </c>
      <c r="E334" s="118" t="s">
        <v>1163</v>
      </c>
      <c r="F334" s="118" t="s">
        <v>190</v>
      </c>
      <c r="G334" s="119" t="s">
        <v>53</v>
      </c>
      <c r="H334" s="117" t="s">
        <v>845</v>
      </c>
      <c r="I334" s="117"/>
      <c r="J334" s="117"/>
      <c r="K334" s="117" t="s">
        <v>1063</v>
      </c>
      <c r="L334" s="117" t="s">
        <v>1149</v>
      </c>
      <c r="M334" s="111"/>
      <c r="N334" s="122">
        <v>31032013</v>
      </c>
      <c r="O334" s="140">
        <v>779.72</v>
      </c>
      <c r="P334" s="227">
        <f t="shared" si="7"/>
        <v>398.66450560631552</v>
      </c>
      <c r="Q334" s="107">
        <v>19.489999999999998</v>
      </c>
      <c r="R334" s="107">
        <v>0</v>
      </c>
      <c r="S334" s="231">
        <v>100</v>
      </c>
      <c r="T334" s="236"/>
      <c r="U334" s="236"/>
    </row>
    <row r="335" spans="1:21" ht="72" x14ac:dyDescent="0.3">
      <c r="A335" s="117">
        <v>333</v>
      </c>
      <c r="B335" s="131">
        <v>1182</v>
      </c>
      <c r="C335" s="111">
        <v>1</v>
      </c>
      <c r="D335" s="111">
        <v>1</v>
      </c>
      <c r="E335" s="118" t="s">
        <v>1163</v>
      </c>
      <c r="F335" s="118" t="s">
        <v>190</v>
      </c>
      <c r="G335" s="119" t="s">
        <v>53</v>
      </c>
      <c r="H335" s="117" t="s">
        <v>845</v>
      </c>
      <c r="I335" s="117"/>
      <c r="J335" s="117"/>
      <c r="K335" s="117" t="s">
        <v>1066</v>
      </c>
      <c r="L335" s="117" t="s">
        <v>1149</v>
      </c>
      <c r="M335" s="111"/>
      <c r="N335" s="122">
        <v>31032013</v>
      </c>
      <c r="O335" s="140">
        <v>779.72</v>
      </c>
      <c r="P335" s="227">
        <f t="shared" si="7"/>
        <v>398.66450560631552</v>
      </c>
      <c r="Q335" s="107">
        <v>19.489999999999998</v>
      </c>
      <c r="R335" s="107">
        <v>0</v>
      </c>
      <c r="S335" s="231">
        <v>100</v>
      </c>
      <c r="T335" s="236"/>
      <c r="U335" s="236"/>
    </row>
    <row r="336" spans="1:21" ht="72" x14ac:dyDescent="0.3">
      <c r="A336" s="117">
        <v>334</v>
      </c>
      <c r="B336" s="131">
        <v>1183</v>
      </c>
      <c r="C336" s="111">
        <v>1</v>
      </c>
      <c r="D336" s="111">
        <v>1</v>
      </c>
      <c r="E336" s="118" t="s">
        <v>1163</v>
      </c>
      <c r="F336" s="118" t="s">
        <v>190</v>
      </c>
      <c r="G336" s="119" t="s">
        <v>53</v>
      </c>
      <c r="H336" s="117" t="s">
        <v>845</v>
      </c>
      <c r="I336" s="117"/>
      <c r="J336" s="117"/>
      <c r="K336" s="117" t="s">
        <v>1063</v>
      </c>
      <c r="L336" s="117" t="s">
        <v>1149</v>
      </c>
      <c r="M336" s="111"/>
      <c r="N336" s="122">
        <v>31032013</v>
      </c>
      <c r="O336" s="140">
        <v>779.72</v>
      </c>
      <c r="P336" s="227">
        <f t="shared" si="7"/>
        <v>398.66450560631552</v>
      </c>
      <c r="Q336" s="107">
        <v>19.489999999999998</v>
      </c>
      <c r="R336" s="107">
        <v>0</v>
      </c>
      <c r="S336" s="231">
        <v>100</v>
      </c>
      <c r="T336" s="236"/>
      <c r="U336" s="236"/>
    </row>
    <row r="337" spans="1:21" ht="72" x14ac:dyDescent="0.3">
      <c r="A337" s="117">
        <v>335</v>
      </c>
      <c r="B337" s="131">
        <v>1184</v>
      </c>
      <c r="C337" s="111">
        <v>1</v>
      </c>
      <c r="D337" s="111">
        <v>1</v>
      </c>
      <c r="E337" s="118" t="s">
        <v>1163</v>
      </c>
      <c r="F337" s="118" t="s">
        <v>190</v>
      </c>
      <c r="G337" s="119" t="s">
        <v>53</v>
      </c>
      <c r="H337" s="117" t="s">
        <v>845</v>
      </c>
      <c r="I337" s="117"/>
      <c r="J337" s="117"/>
      <c r="K337" s="117" t="s">
        <v>1066</v>
      </c>
      <c r="L337" s="117" t="s">
        <v>1149</v>
      </c>
      <c r="M337" s="111"/>
      <c r="N337" s="122">
        <v>31032013</v>
      </c>
      <c r="O337" s="140">
        <v>779.72</v>
      </c>
      <c r="P337" s="227">
        <f t="shared" si="7"/>
        <v>398.66450560631552</v>
      </c>
      <c r="Q337" s="107">
        <v>19.489999999999998</v>
      </c>
      <c r="R337" s="107">
        <v>0</v>
      </c>
      <c r="S337" s="231">
        <v>100</v>
      </c>
      <c r="T337" s="236"/>
      <c r="U337" s="236"/>
    </row>
    <row r="338" spans="1:21" ht="72" x14ac:dyDescent="0.3">
      <c r="A338" s="117">
        <v>336</v>
      </c>
      <c r="B338" s="131">
        <v>1189</v>
      </c>
      <c r="C338" s="111">
        <v>1</v>
      </c>
      <c r="D338" s="111">
        <v>1</v>
      </c>
      <c r="E338" s="118" t="s">
        <v>1163</v>
      </c>
      <c r="F338" s="118" t="s">
        <v>190</v>
      </c>
      <c r="G338" s="119" t="s">
        <v>53</v>
      </c>
      <c r="H338" s="117" t="s">
        <v>845</v>
      </c>
      <c r="I338" s="117"/>
      <c r="J338" s="117"/>
      <c r="K338" s="117" t="s">
        <v>1066</v>
      </c>
      <c r="L338" s="117" t="s">
        <v>1149</v>
      </c>
      <c r="M338" s="111"/>
      <c r="N338" s="122">
        <v>31032013</v>
      </c>
      <c r="O338" s="140">
        <v>779.72</v>
      </c>
      <c r="P338" s="227">
        <f t="shared" si="7"/>
        <v>398.66450560631552</v>
      </c>
      <c r="Q338" s="107">
        <v>19.489999999999998</v>
      </c>
      <c r="R338" s="107">
        <v>0</v>
      </c>
      <c r="S338" s="231">
        <v>100</v>
      </c>
      <c r="T338" s="236"/>
      <c r="U338" s="236"/>
    </row>
    <row r="339" spans="1:21" ht="57.6" x14ac:dyDescent="0.3">
      <c r="A339" s="117">
        <v>337</v>
      </c>
      <c r="B339" s="131">
        <v>1192</v>
      </c>
      <c r="C339" s="111">
        <v>16</v>
      </c>
      <c r="D339" s="111">
        <v>4</v>
      </c>
      <c r="E339" s="118" t="s">
        <v>1353</v>
      </c>
      <c r="F339" s="118" t="s">
        <v>201</v>
      </c>
      <c r="G339" s="119" t="s">
        <v>1193</v>
      </c>
      <c r="H339" s="117" t="s">
        <v>846</v>
      </c>
      <c r="I339" s="117"/>
      <c r="J339" s="117" t="s">
        <v>1194</v>
      </c>
      <c r="K339" s="117" t="s">
        <v>1066</v>
      </c>
      <c r="L339" s="117" t="s">
        <v>1149</v>
      </c>
      <c r="M339" s="111"/>
      <c r="N339" s="122">
        <v>7052013</v>
      </c>
      <c r="O339" s="140">
        <v>12429</v>
      </c>
      <c r="P339" s="227">
        <f t="shared" si="7"/>
        <v>6354.8467913877994</v>
      </c>
      <c r="Q339" s="107">
        <v>310.73</v>
      </c>
      <c r="R339" s="107">
        <v>0</v>
      </c>
      <c r="S339" s="231">
        <f>P339*0.4</f>
        <v>2541.9387165551198</v>
      </c>
      <c r="T339" s="236"/>
      <c r="U339" s="236"/>
    </row>
    <row r="340" spans="1:21" ht="57.6" x14ac:dyDescent="0.3">
      <c r="A340" s="117">
        <v>338</v>
      </c>
      <c r="B340" s="131">
        <v>1193</v>
      </c>
      <c r="C340" s="111">
        <v>16</v>
      </c>
      <c r="D340" s="111">
        <v>4</v>
      </c>
      <c r="E340" s="118" t="s">
        <v>1353</v>
      </c>
      <c r="F340" s="118" t="s">
        <v>201</v>
      </c>
      <c r="G340" s="119" t="s">
        <v>1193</v>
      </c>
      <c r="H340" s="119" t="s">
        <v>846</v>
      </c>
      <c r="I340" s="117"/>
      <c r="J340" s="117" t="s">
        <v>1194</v>
      </c>
      <c r="K340" s="117" t="s">
        <v>1066</v>
      </c>
      <c r="L340" s="117" t="s">
        <v>1149</v>
      </c>
      <c r="M340" s="111"/>
      <c r="N340" s="122">
        <v>7052013</v>
      </c>
      <c r="O340" s="140">
        <v>12429</v>
      </c>
      <c r="P340" s="227">
        <f t="shared" si="7"/>
        <v>6354.8467913877994</v>
      </c>
      <c r="Q340" s="107">
        <v>310.73</v>
      </c>
      <c r="R340" s="107">
        <v>0</v>
      </c>
      <c r="S340" s="231">
        <f>P340*0.4</f>
        <v>2541.9387165551198</v>
      </c>
      <c r="T340" s="236"/>
      <c r="U340" s="236"/>
    </row>
    <row r="341" spans="1:21" ht="57.6" x14ac:dyDescent="0.3">
      <c r="A341" s="117">
        <v>339</v>
      </c>
      <c r="B341" s="131">
        <v>1194</v>
      </c>
      <c r="C341" s="111">
        <v>16</v>
      </c>
      <c r="D341" s="111">
        <v>4</v>
      </c>
      <c r="E341" s="118" t="s">
        <v>1353</v>
      </c>
      <c r="F341" s="118" t="s">
        <v>201</v>
      </c>
      <c r="G341" s="119" t="s">
        <v>1193</v>
      </c>
      <c r="H341" s="119" t="s">
        <v>846</v>
      </c>
      <c r="I341" s="117"/>
      <c r="J341" s="117" t="s">
        <v>1194</v>
      </c>
      <c r="K341" s="117" t="s">
        <v>1066</v>
      </c>
      <c r="L341" s="117" t="s">
        <v>1149</v>
      </c>
      <c r="M341" s="111"/>
      <c r="N341" s="122">
        <v>7052013</v>
      </c>
      <c r="O341" s="140">
        <v>12429</v>
      </c>
      <c r="P341" s="227">
        <f t="shared" si="7"/>
        <v>6354.8467913877994</v>
      </c>
      <c r="Q341" s="107">
        <v>310.73</v>
      </c>
      <c r="R341" s="107">
        <v>0</v>
      </c>
      <c r="S341" s="231">
        <f>P341*0.4</f>
        <v>2541.9387165551198</v>
      </c>
      <c r="T341" s="236"/>
      <c r="U341" s="236"/>
    </row>
    <row r="342" spans="1:21" ht="57.6" x14ac:dyDescent="0.3">
      <c r="A342" s="117">
        <v>340</v>
      </c>
      <c r="B342" s="131">
        <v>1195</v>
      </c>
      <c r="C342" s="111">
        <v>16</v>
      </c>
      <c r="D342" s="111">
        <v>4</v>
      </c>
      <c r="E342" s="118" t="s">
        <v>1353</v>
      </c>
      <c r="F342" s="118" t="s">
        <v>201</v>
      </c>
      <c r="G342" s="119" t="s">
        <v>375</v>
      </c>
      <c r="H342" s="117" t="s">
        <v>847</v>
      </c>
      <c r="I342" s="117" t="s">
        <v>1195</v>
      </c>
      <c r="J342" s="117"/>
      <c r="K342" s="117" t="s">
        <v>1059</v>
      </c>
      <c r="L342" s="117" t="s">
        <v>1150</v>
      </c>
      <c r="M342" s="111"/>
      <c r="N342" s="122">
        <v>7052013</v>
      </c>
      <c r="O342" s="140">
        <v>20049</v>
      </c>
      <c r="P342" s="227">
        <f t="shared" si="7"/>
        <v>10250.890926102984</v>
      </c>
      <c r="Q342" s="107">
        <v>501.23</v>
      </c>
      <c r="R342" s="107">
        <v>0</v>
      </c>
      <c r="S342" s="231"/>
      <c r="T342" s="236"/>
      <c r="U342" s="236"/>
    </row>
    <row r="343" spans="1:21" ht="57.6" x14ac:dyDescent="0.3">
      <c r="A343" s="117">
        <v>341</v>
      </c>
      <c r="B343" s="131">
        <v>1196</v>
      </c>
      <c r="C343" s="111">
        <v>16</v>
      </c>
      <c r="D343" s="111">
        <v>4</v>
      </c>
      <c r="E343" s="118" t="s">
        <v>1353</v>
      </c>
      <c r="F343" s="118" t="s">
        <v>201</v>
      </c>
      <c r="G343" s="119" t="s">
        <v>375</v>
      </c>
      <c r="H343" s="117" t="s">
        <v>847</v>
      </c>
      <c r="I343" s="117" t="s">
        <v>1195</v>
      </c>
      <c r="J343" s="117"/>
      <c r="K343" s="117" t="s">
        <v>1059</v>
      </c>
      <c r="L343" s="117" t="s">
        <v>1150</v>
      </c>
      <c r="M343" s="111"/>
      <c r="N343" s="122">
        <v>7052013</v>
      </c>
      <c r="O343" s="140">
        <v>20049</v>
      </c>
      <c r="P343" s="227">
        <f t="shared" si="7"/>
        <v>10250.890926102984</v>
      </c>
      <c r="Q343" s="107">
        <v>501.23</v>
      </c>
      <c r="R343" s="107">
        <v>0</v>
      </c>
      <c r="S343" s="231"/>
      <c r="T343" s="236"/>
      <c r="U343" s="236"/>
    </row>
    <row r="344" spans="1:21" ht="72" x14ac:dyDescent="0.3">
      <c r="A344" s="117">
        <v>342</v>
      </c>
      <c r="B344" s="131">
        <v>1197</v>
      </c>
      <c r="C344" s="111">
        <v>36</v>
      </c>
      <c r="D344" s="111">
        <v>5</v>
      </c>
      <c r="E344" s="118" t="s">
        <v>1152</v>
      </c>
      <c r="F344" s="118" t="s">
        <v>211</v>
      </c>
      <c r="G344" s="119" t="s">
        <v>585</v>
      </c>
      <c r="H344" s="117" t="s">
        <v>848</v>
      </c>
      <c r="I344" s="117"/>
      <c r="J344" s="117"/>
      <c r="K344" s="117" t="s">
        <v>1104</v>
      </c>
      <c r="L344" s="117" t="s">
        <v>1150</v>
      </c>
      <c r="M344" s="111"/>
      <c r="N344" s="122">
        <v>7052013</v>
      </c>
      <c r="O344" s="140">
        <v>344599</v>
      </c>
      <c r="P344" s="227">
        <f t="shared" si="7"/>
        <v>176190.6709683357</v>
      </c>
      <c r="Q344" s="107">
        <v>8614.98</v>
      </c>
      <c r="R344" s="107">
        <v>0</v>
      </c>
      <c r="S344" s="231"/>
      <c r="T344" s="236"/>
      <c r="U344" s="236"/>
    </row>
    <row r="345" spans="1:21" ht="72" x14ac:dyDescent="0.3">
      <c r="A345" s="117">
        <v>343</v>
      </c>
      <c r="B345" s="131">
        <v>1199</v>
      </c>
      <c r="C345" s="111">
        <v>9</v>
      </c>
      <c r="D345" s="111">
        <v>2</v>
      </c>
      <c r="E345" s="118" t="s">
        <v>1151</v>
      </c>
      <c r="F345" s="118" t="s">
        <v>195</v>
      </c>
      <c r="G345" s="119" t="s">
        <v>12</v>
      </c>
      <c r="H345" s="119" t="s">
        <v>815</v>
      </c>
      <c r="I345" s="117" t="s">
        <v>1078</v>
      </c>
      <c r="J345" s="117" t="s">
        <v>1239</v>
      </c>
      <c r="K345" s="117" t="s">
        <v>1059</v>
      </c>
      <c r="L345" s="117" t="s">
        <v>1150</v>
      </c>
      <c r="M345" s="111"/>
      <c r="N345" s="122">
        <v>7052013</v>
      </c>
      <c r="O345" s="140">
        <v>16843</v>
      </c>
      <c r="P345" s="227">
        <f t="shared" si="7"/>
        <v>8611.6891549879074</v>
      </c>
      <c r="Q345" s="107">
        <v>421.08</v>
      </c>
      <c r="R345" s="107">
        <v>0</v>
      </c>
      <c r="S345" s="231"/>
      <c r="T345" s="236" t="s">
        <v>1529</v>
      </c>
      <c r="U345" s="236"/>
    </row>
    <row r="346" spans="1:21" ht="72" x14ac:dyDescent="0.3">
      <c r="A346" s="117">
        <v>344</v>
      </c>
      <c r="B346" s="131">
        <v>1200</v>
      </c>
      <c r="C346" s="111">
        <v>9</v>
      </c>
      <c r="D346" s="111">
        <v>2</v>
      </c>
      <c r="E346" s="118" t="s">
        <v>1151</v>
      </c>
      <c r="F346" s="118" t="s">
        <v>195</v>
      </c>
      <c r="G346" s="119" t="s">
        <v>12</v>
      </c>
      <c r="H346" s="119" t="s">
        <v>815</v>
      </c>
      <c r="I346" s="117" t="s">
        <v>1078</v>
      </c>
      <c r="J346" s="117" t="s">
        <v>1239</v>
      </c>
      <c r="K346" s="117" t="s">
        <v>1067</v>
      </c>
      <c r="L346" s="117" t="s">
        <v>1150</v>
      </c>
      <c r="M346" s="111"/>
      <c r="N346" s="122">
        <v>7052013</v>
      </c>
      <c r="O346" s="140">
        <v>16843</v>
      </c>
      <c r="P346" s="227">
        <f t="shared" si="7"/>
        <v>8611.6891549879074</v>
      </c>
      <c r="Q346" s="107">
        <v>421.08</v>
      </c>
      <c r="R346" s="107">
        <v>0</v>
      </c>
      <c r="S346" s="231"/>
      <c r="T346" s="236"/>
      <c r="U346" s="236"/>
    </row>
    <row r="347" spans="1:21" ht="72" x14ac:dyDescent="0.3">
      <c r="A347" s="117">
        <v>345</v>
      </c>
      <c r="B347" s="131">
        <v>1201</v>
      </c>
      <c r="C347" s="111">
        <v>9</v>
      </c>
      <c r="D347" s="111">
        <v>2</v>
      </c>
      <c r="E347" s="118" t="s">
        <v>1151</v>
      </c>
      <c r="F347" s="118" t="s">
        <v>195</v>
      </c>
      <c r="G347" s="119" t="s">
        <v>12</v>
      </c>
      <c r="H347" s="119" t="s">
        <v>815</v>
      </c>
      <c r="I347" s="117" t="s">
        <v>1078</v>
      </c>
      <c r="J347" s="117" t="s">
        <v>1239</v>
      </c>
      <c r="K347" s="117" t="s">
        <v>1061</v>
      </c>
      <c r="L347" s="117" t="s">
        <v>1150</v>
      </c>
      <c r="M347" s="111"/>
      <c r="N347" s="122">
        <v>7052013</v>
      </c>
      <c r="O347" s="140">
        <v>16843</v>
      </c>
      <c r="P347" s="227">
        <f t="shared" si="7"/>
        <v>8611.6891549879074</v>
      </c>
      <c r="Q347" s="107">
        <v>421.08</v>
      </c>
      <c r="R347" s="107">
        <v>0</v>
      </c>
      <c r="S347" s="231"/>
      <c r="T347" s="236"/>
      <c r="U347" s="236"/>
    </row>
    <row r="348" spans="1:21" ht="72" x14ac:dyDescent="0.3">
      <c r="A348" s="117">
        <v>346</v>
      </c>
      <c r="B348" s="131">
        <v>1202</v>
      </c>
      <c r="C348" s="111">
        <v>9</v>
      </c>
      <c r="D348" s="111">
        <v>2</v>
      </c>
      <c r="E348" s="118" t="s">
        <v>1151</v>
      </c>
      <c r="F348" s="118" t="s">
        <v>195</v>
      </c>
      <c r="G348" s="119" t="s">
        <v>12</v>
      </c>
      <c r="H348" s="119" t="s">
        <v>815</v>
      </c>
      <c r="I348" s="117" t="s">
        <v>1078</v>
      </c>
      <c r="J348" s="117" t="s">
        <v>1239</v>
      </c>
      <c r="K348" s="117" t="s">
        <v>1059</v>
      </c>
      <c r="L348" s="117" t="s">
        <v>1150</v>
      </c>
      <c r="M348" s="111"/>
      <c r="N348" s="122">
        <v>7052013</v>
      </c>
      <c r="O348" s="140">
        <v>16843</v>
      </c>
      <c r="P348" s="227">
        <f t="shared" si="7"/>
        <v>8611.6891549879074</v>
      </c>
      <c r="Q348" s="107">
        <v>421.08</v>
      </c>
      <c r="R348" s="107">
        <v>0</v>
      </c>
      <c r="S348" s="231"/>
      <c r="T348" s="236"/>
      <c r="U348" s="236"/>
    </row>
    <row r="349" spans="1:21" ht="72" x14ac:dyDescent="0.3">
      <c r="A349" s="117">
        <v>347</v>
      </c>
      <c r="B349" s="131">
        <v>1203</v>
      </c>
      <c r="C349" s="111">
        <v>27</v>
      </c>
      <c r="D349" s="111">
        <v>2</v>
      </c>
      <c r="E349" s="118" t="s">
        <v>1151</v>
      </c>
      <c r="F349" s="118" t="s">
        <v>204</v>
      </c>
      <c r="G349" s="119" t="s">
        <v>1298</v>
      </c>
      <c r="H349" s="117" t="s">
        <v>849</v>
      </c>
      <c r="I349" s="117"/>
      <c r="J349" s="117"/>
      <c r="K349" s="117" t="s">
        <v>1056</v>
      </c>
      <c r="L349" s="117" t="s">
        <v>1153</v>
      </c>
      <c r="M349" s="111"/>
      <c r="N349" s="122">
        <v>7052013</v>
      </c>
      <c r="O349" s="140">
        <v>29390</v>
      </c>
      <c r="P349" s="227">
        <f t="shared" si="7"/>
        <v>15026.868388356861</v>
      </c>
      <c r="Q349" s="107">
        <v>734.75</v>
      </c>
      <c r="R349" s="107">
        <v>0</v>
      </c>
      <c r="S349" s="231"/>
      <c r="T349" s="236"/>
      <c r="U349" s="236"/>
    </row>
    <row r="350" spans="1:21" ht="72" x14ac:dyDescent="0.3">
      <c r="A350" s="117">
        <v>348</v>
      </c>
      <c r="B350" s="131">
        <v>1204</v>
      </c>
      <c r="C350" s="111">
        <v>5</v>
      </c>
      <c r="D350" s="111">
        <v>2</v>
      </c>
      <c r="E350" s="118" t="s">
        <v>1151</v>
      </c>
      <c r="F350" s="118" t="s">
        <v>212</v>
      </c>
      <c r="G350" s="119" t="s">
        <v>9</v>
      </c>
      <c r="H350" s="119" t="s">
        <v>850</v>
      </c>
      <c r="I350" s="117" t="s">
        <v>1217</v>
      </c>
      <c r="J350" s="117"/>
      <c r="K350" s="117" t="s">
        <v>1052</v>
      </c>
      <c r="L350" s="117" t="s">
        <v>1150</v>
      </c>
      <c r="M350" s="111"/>
      <c r="N350" s="122">
        <v>7052013</v>
      </c>
      <c r="O350" s="140">
        <v>4893</v>
      </c>
      <c r="P350" s="227">
        <f t="shared" si="7"/>
        <v>2501.7511746930973</v>
      </c>
      <c r="Q350" s="107">
        <v>122.33</v>
      </c>
      <c r="R350" s="107">
        <v>0</v>
      </c>
      <c r="S350" s="231"/>
      <c r="T350" s="236"/>
      <c r="U350" s="236"/>
    </row>
    <row r="351" spans="1:21" ht="72" x14ac:dyDescent="0.3">
      <c r="A351" s="117">
        <v>349</v>
      </c>
      <c r="B351" s="131">
        <v>1205</v>
      </c>
      <c r="C351" s="111">
        <v>5</v>
      </c>
      <c r="D351" s="111">
        <v>2</v>
      </c>
      <c r="E351" s="118" t="s">
        <v>1151</v>
      </c>
      <c r="F351" s="118" t="s">
        <v>212</v>
      </c>
      <c r="G351" s="119" t="s">
        <v>9</v>
      </c>
      <c r="H351" s="119" t="s">
        <v>850</v>
      </c>
      <c r="I351" s="117" t="s">
        <v>1217</v>
      </c>
      <c r="J351" s="117"/>
      <c r="K351" s="117" t="s">
        <v>1059</v>
      </c>
      <c r="L351" s="117" t="s">
        <v>1150</v>
      </c>
      <c r="M351" s="111"/>
      <c r="N351" s="122">
        <v>7052013</v>
      </c>
      <c r="O351" s="140">
        <v>4893</v>
      </c>
      <c r="P351" s="227">
        <f t="shared" si="7"/>
        <v>2501.7511746930973</v>
      </c>
      <c r="Q351" s="107">
        <v>122.33</v>
      </c>
      <c r="R351" s="107">
        <v>0</v>
      </c>
      <c r="S351" s="231"/>
      <c r="T351" s="236"/>
      <c r="U351" s="236"/>
    </row>
    <row r="352" spans="1:21" ht="72" x14ac:dyDescent="0.3">
      <c r="A352" s="117">
        <v>350</v>
      </c>
      <c r="B352" s="131">
        <v>1206</v>
      </c>
      <c r="C352" s="111">
        <v>32</v>
      </c>
      <c r="D352" s="111">
        <v>2</v>
      </c>
      <c r="E352" s="118" t="s">
        <v>1151</v>
      </c>
      <c r="F352" s="118" t="s">
        <v>209</v>
      </c>
      <c r="G352" s="119" t="s">
        <v>54</v>
      </c>
      <c r="H352" s="117" t="s">
        <v>865</v>
      </c>
      <c r="I352" s="117" t="s">
        <v>1326</v>
      </c>
      <c r="J352" s="117"/>
      <c r="K352" s="117" t="s">
        <v>1059</v>
      </c>
      <c r="L352" s="117" t="s">
        <v>1150</v>
      </c>
      <c r="M352" s="111"/>
      <c r="N352" s="122">
        <v>7052013</v>
      </c>
      <c r="O352" s="140">
        <v>28498</v>
      </c>
      <c r="P352" s="227">
        <f t="shared" si="7"/>
        <v>14570.796030329835</v>
      </c>
      <c r="Q352" s="107">
        <v>712.45</v>
      </c>
      <c r="R352" s="107">
        <v>0</v>
      </c>
      <c r="S352" s="231"/>
      <c r="T352" s="236"/>
      <c r="U352" s="236"/>
    </row>
    <row r="353" spans="1:21" ht="72" x14ac:dyDescent="0.3">
      <c r="A353" s="117">
        <v>351</v>
      </c>
      <c r="B353" s="131">
        <v>1207</v>
      </c>
      <c r="C353" s="111">
        <v>2</v>
      </c>
      <c r="D353" s="111">
        <v>1</v>
      </c>
      <c r="E353" s="118" t="s">
        <v>1163</v>
      </c>
      <c r="F353" s="118" t="s">
        <v>191</v>
      </c>
      <c r="G353" s="119" t="s">
        <v>55</v>
      </c>
      <c r="H353" s="117" t="s">
        <v>775</v>
      </c>
      <c r="I353" s="117" t="s">
        <v>1102</v>
      </c>
      <c r="J353" s="117" t="s">
        <v>1083</v>
      </c>
      <c r="K353" s="117" t="s">
        <v>1063</v>
      </c>
      <c r="L353" s="117" t="s">
        <v>1149</v>
      </c>
      <c r="M353" s="111"/>
      <c r="N353" s="122">
        <v>7052013</v>
      </c>
      <c r="O353" s="140">
        <v>3847</v>
      </c>
      <c r="P353" s="227">
        <f t="shared" si="7"/>
        <v>1966.9398669618527</v>
      </c>
      <c r="Q353" s="107">
        <v>96.18</v>
      </c>
      <c r="R353" s="107">
        <v>0</v>
      </c>
      <c r="S353" s="231">
        <f>P353*0.4</f>
        <v>786.77594678474111</v>
      </c>
      <c r="T353" s="236"/>
      <c r="U353" s="236"/>
    </row>
    <row r="354" spans="1:21" ht="72" x14ac:dyDescent="0.3">
      <c r="A354" s="117">
        <v>352</v>
      </c>
      <c r="B354" s="131">
        <v>1208</v>
      </c>
      <c r="C354" s="111">
        <v>2</v>
      </c>
      <c r="D354" s="111">
        <v>1</v>
      </c>
      <c r="E354" s="118" t="s">
        <v>1163</v>
      </c>
      <c r="F354" s="118" t="s">
        <v>191</v>
      </c>
      <c r="G354" s="119" t="s">
        <v>55</v>
      </c>
      <c r="H354" s="119" t="s">
        <v>775</v>
      </c>
      <c r="I354" s="117" t="s">
        <v>1102</v>
      </c>
      <c r="J354" s="117" t="s">
        <v>1083</v>
      </c>
      <c r="K354" s="117" t="s">
        <v>1066</v>
      </c>
      <c r="L354" s="117" t="s">
        <v>1149</v>
      </c>
      <c r="M354" s="111"/>
      <c r="N354" s="122">
        <v>7052013</v>
      </c>
      <c r="O354" s="140">
        <v>3847</v>
      </c>
      <c r="P354" s="227">
        <f t="shared" si="7"/>
        <v>1966.9398669618527</v>
      </c>
      <c r="Q354" s="107">
        <v>96.18</v>
      </c>
      <c r="R354" s="107">
        <v>0</v>
      </c>
      <c r="S354" s="231">
        <f>P354*0.4</f>
        <v>786.77594678474111</v>
      </c>
      <c r="T354" s="236"/>
      <c r="U354" s="236"/>
    </row>
    <row r="355" spans="1:21" ht="72" x14ac:dyDescent="0.3">
      <c r="A355" s="117">
        <v>353</v>
      </c>
      <c r="B355" s="131">
        <v>1209</v>
      </c>
      <c r="C355" s="111">
        <v>2</v>
      </c>
      <c r="D355" s="111">
        <v>1</v>
      </c>
      <c r="E355" s="118" t="s">
        <v>1163</v>
      </c>
      <c r="F355" s="118" t="s">
        <v>191</v>
      </c>
      <c r="G355" s="119" t="s">
        <v>55</v>
      </c>
      <c r="H355" s="119" t="s">
        <v>775</v>
      </c>
      <c r="I355" s="117" t="s">
        <v>1102</v>
      </c>
      <c r="J355" s="117" t="s">
        <v>1083</v>
      </c>
      <c r="K355" s="117" t="s">
        <v>1063</v>
      </c>
      <c r="L355" s="117" t="s">
        <v>1149</v>
      </c>
      <c r="M355" s="111"/>
      <c r="N355" s="122">
        <v>7052013</v>
      </c>
      <c r="O355" s="140">
        <v>3847</v>
      </c>
      <c r="P355" s="227">
        <f t="shared" si="7"/>
        <v>1966.9398669618527</v>
      </c>
      <c r="Q355" s="107">
        <v>96.18</v>
      </c>
      <c r="R355" s="107">
        <v>0</v>
      </c>
      <c r="S355" s="231">
        <f>P355*0.4</f>
        <v>786.77594678474111</v>
      </c>
      <c r="T355" s="236"/>
      <c r="U355" s="236"/>
    </row>
    <row r="356" spans="1:21" ht="72" x14ac:dyDescent="0.3">
      <c r="A356" s="117">
        <v>354</v>
      </c>
      <c r="B356" s="131">
        <v>1210</v>
      </c>
      <c r="C356" s="111">
        <v>2</v>
      </c>
      <c r="D356" s="111">
        <v>1</v>
      </c>
      <c r="E356" s="118" t="s">
        <v>1163</v>
      </c>
      <c r="F356" s="118" t="s">
        <v>191</v>
      </c>
      <c r="G356" s="119" t="s">
        <v>65</v>
      </c>
      <c r="H356" s="117" t="s">
        <v>851</v>
      </c>
      <c r="I356" s="117" t="s">
        <v>1105</v>
      </c>
      <c r="J356" s="117" t="s">
        <v>1083</v>
      </c>
      <c r="K356" s="117" t="s">
        <v>1056</v>
      </c>
      <c r="L356" s="117" t="s">
        <v>1149</v>
      </c>
      <c r="M356" s="111"/>
      <c r="N356" s="122">
        <v>7052013</v>
      </c>
      <c r="O356" s="140">
        <v>4598</v>
      </c>
      <c r="P356" s="227">
        <f t="shared" si="7"/>
        <v>2350.9200697402125</v>
      </c>
      <c r="Q356" s="107">
        <v>114.95</v>
      </c>
      <c r="R356" s="107">
        <v>0</v>
      </c>
      <c r="S356" s="231">
        <f>P356*0.4</f>
        <v>940.3680278960851</v>
      </c>
      <c r="T356" s="236"/>
      <c r="U356" s="236"/>
    </row>
    <row r="357" spans="1:21" ht="72" x14ac:dyDescent="0.3">
      <c r="A357" s="117">
        <v>355</v>
      </c>
      <c r="B357" s="131">
        <v>1211</v>
      </c>
      <c r="C357" s="111">
        <v>13</v>
      </c>
      <c r="D357" s="111">
        <v>3</v>
      </c>
      <c r="E357" s="118" t="s">
        <v>1058</v>
      </c>
      <c r="F357" s="118" t="s">
        <v>198</v>
      </c>
      <c r="G357" s="119" t="s">
        <v>56</v>
      </c>
      <c r="H357" s="117" t="s">
        <v>852</v>
      </c>
      <c r="I357" s="117"/>
      <c r="J357" s="117"/>
      <c r="K357" s="117" t="s">
        <v>1066</v>
      </c>
      <c r="L357" s="117" t="s">
        <v>1149</v>
      </c>
      <c r="M357" s="111"/>
      <c r="N357" s="122">
        <v>7052013</v>
      </c>
      <c r="O357" s="140">
        <v>42489</v>
      </c>
      <c r="P357" s="227">
        <f t="shared" si="7"/>
        <v>21724.280740146129</v>
      </c>
      <c r="Q357" s="107">
        <v>1062.23</v>
      </c>
      <c r="R357" s="107">
        <v>0</v>
      </c>
      <c r="S357" s="231">
        <f t="shared" ref="S357:S365" si="8">P357*0.4</f>
        <v>8689.7122960584511</v>
      </c>
      <c r="T357" s="236"/>
      <c r="U357" s="236"/>
    </row>
    <row r="358" spans="1:21" ht="72" x14ac:dyDescent="0.3">
      <c r="A358" s="117">
        <v>356</v>
      </c>
      <c r="B358" s="131">
        <v>1212</v>
      </c>
      <c r="C358" s="111">
        <v>6</v>
      </c>
      <c r="D358" s="111">
        <v>2</v>
      </c>
      <c r="E358" s="118" t="s">
        <v>1151</v>
      </c>
      <c r="F358" s="118" t="s">
        <v>115</v>
      </c>
      <c r="G358" s="119" t="s">
        <v>1220</v>
      </c>
      <c r="H358" s="119" t="s">
        <v>853</v>
      </c>
      <c r="I358" s="117"/>
      <c r="J358" s="117"/>
      <c r="K358" s="117" t="s">
        <v>1066</v>
      </c>
      <c r="L358" s="117" t="s">
        <v>1149</v>
      </c>
      <c r="M358" s="111"/>
      <c r="N358" s="122">
        <v>7052013</v>
      </c>
      <c r="O358" s="140">
        <v>7997</v>
      </c>
      <c r="P358" s="227">
        <f t="shared" si="7"/>
        <v>4088.8011739261592</v>
      </c>
      <c r="Q358" s="107">
        <v>199.93</v>
      </c>
      <c r="R358" s="107">
        <v>0</v>
      </c>
      <c r="S358" s="231">
        <f t="shared" si="8"/>
        <v>1635.5204695704638</v>
      </c>
      <c r="T358" s="236"/>
      <c r="U358" s="236"/>
    </row>
    <row r="359" spans="1:21" ht="72" x14ac:dyDescent="0.3">
      <c r="A359" s="117">
        <v>357</v>
      </c>
      <c r="B359" s="131">
        <v>1213</v>
      </c>
      <c r="C359" s="111">
        <v>6</v>
      </c>
      <c r="D359" s="111">
        <v>2</v>
      </c>
      <c r="E359" s="118" t="s">
        <v>1151</v>
      </c>
      <c r="F359" s="118" t="s">
        <v>115</v>
      </c>
      <c r="G359" s="119" t="s">
        <v>1220</v>
      </c>
      <c r="H359" s="119" t="s">
        <v>853</v>
      </c>
      <c r="I359" s="117"/>
      <c r="J359" s="117"/>
      <c r="K359" s="117" t="s">
        <v>1066</v>
      </c>
      <c r="L359" s="117" t="s">
        <v>1149</v>
      </c>
      <c r="M359" s="111"/>
      <c r="N359" s="122">
        <v>7052013</v>
      </c>
      <c r="O359" s="140">
        <v>7997</v>
      </c>
      <c r="P359" s="227">
        <f t="shared" si="7"/>
        <v>4088.8011739261592</v>
      </c>
      <c r="Q359" s="107">
        <v>199.93</v>
      </c>
      <c r="R359" s="107">
        <v>0</v>
      </c>
      <c r="S359" s="231">
        <f t="shared" si="8"/>
        <v>1635.5204695704638</v>
      </c>
      <c r="T359" s="236"/>
      <c r="U359" s="236"/>
    </row>
    <row r="360" spans="1:21" ht="72" x14ac:dyDescent="0.3">
      <c r="A360" s="117">
        <v>358</v>
      </c>
      <c r="B360" s="131">
        <v>1214</v>
      </c>
      <c r="C360" s="111">
        <v>6</v>
      </c>
      <c r="D360" s="111">
        <v>2</v>
      </c>
      <c r="E360" s="118" t="s">
        <v>1151</v>
      </c>
      <c r="F360" s="118" t="s">
        <v>115</v>
      </c>
      <c r="G360" s="119" t="s">
        <v>1220</v>
      </c>
      <c r="H360" s="119" t="s">
        <v>854</v>
      </c>
      <c r="I360" s="117"/>
      <c r="J360" s="117"/>
      <c r="K360" s="117" t="s">
        <v>1063</v>
      </c>
      <c r="L360" s="117" t="s">
        <v>1149</v>
      </c>
      <c r="M360" s="111"/>
      <c r="N360" s="122">
        <v>7052013</v>
      </c>
      <c r="O360" s="140">
        <v>7997</v>
      </c>
      <c r="P360" s="227">
        <f t="shared" si="7"/>
        <v>4088.8011739261592</v>
      </c>
      <c r="Q360" s="107">
        <v>199.93</v>
      </c>
      <c r="R360" s="107">
        <v>0</v>
      </c>
      <c r="S360" s="231">
        <f t="shared" si="8"/>
        <v>1635.5204695704638</v>
      </c>
      <c r="T360" s="236"/>
      <c r="U360" s="236"/>
    </row>
    <row r="361" spans="1:21" ht="72" x14ac:dyDescent="0.3">
      <c r="A361" s="117">
        <v>359</v>
      </c>
      <c r="B361" s="131">
        <v>1215</v>
      </c>
      <c r="C361" s="111">
        <v>2</v>
      </c>
      <c r="D361" s="111">
        <v>1</v>
      </c>
      <c r="E361" s="118" t="s">
        <v>1163</v>
      </c>
      <c r="F361" s="118" t="s">
        <v>191</v>
      </c>
      <c r="G361" s="119" t="s">
        <v>8</v>
      </c>
      <c r="H361" s="117" t="s">
        <v>844</v>
      </c>
      <c r="I361" s="117" t="s">
        <v>1073</v>
      </c>
      <c r="J361" s="117" t="s">
        <v>1083</v>
      </c>
      <c r="K361" s="117" t="s">
        <v>1063</v>
      </c>
      <c r="L361" s="117" t="s">
        <v>1149</v>
      </c>
      <c r="M361" s="111"/>
      <c r="N361" s="122">
        <v>7052013</v>
      </c>
      <c r="O361" s="140">
        <v>3998</v>
      </c>
      <c r="P361" s="227">
        <f t="shared" si="7"/>
        <v>2044.1449410224816</v>
      </c>
      <c r="Q361" s="107">
        <v>99.95</v>
      </c>
      <c r="R361" s="107">
        <v>0</v>
      </c>
      <c r="S361" s="231">
        <f t="shared" si="8"/>
        <v>817.65797640899268</v>
      </c>
      <c r="T361" s="236"/>
      <c r="U361" s="236"/>
    </row>
    <row r="362" spans="1:21" ht="72" x14ac:dyDescent="0.3">
      <c r="A362" s="117">
        <v>360</v>
      </c>
      <c r="B362" s="131">
        <v>1216</v>
      </c>
      <c r="C362" s="111">
        <v>2</v>
      </c>
      <c r="D362" s="111">
        <v>1</v>
      </c>
      <c r="E362" s="118" t="s">
        <v>1163</v>
      </c>
      <c r="F362" s="118" t="s">
        <v>191</v>
      </c>
      <c r="G362" s="119" t="s">
        <v>8</v>
      </c>
      <c r="H362" s="119" t="s">
        <v>844</v>
      </c>
      <c r="I362" s="117" t="s">
        <v>1073</v>
      </c>
      <c r="J362" s="117" t="s">
        <v>1083</v>
      </c>
      <c r="K362" s="117" t="s">
        <v>1063</v>
      </c>
      <c r="L362" s="117" t="s">
        <v>1149</v>
      </c>
      <c r="M362" s="111"/>
      <c r="N362" s="122">
        <v>7052013</v>
      </c>
      <c r="O362" s="140">
        <v>3998</v>
      </c>
      <c r="P362" s="227">
        <f t="shared" si="7"/>
        <v>2044.1449410224816</v>
      </c>
      <c r="Q362" s="107">
        <v>99.95</v>
      </c>
      <c r="R362" s="107">
        <v>0</v>
      </c>
      <c r="S362" s="231">
        <f t="shared" si="8"/>
        <v>817.65797640899268</v>
      </c>
      <c r="T362" s="236"/>
      <c r="U362" s="236"/>
    </row>
    <row r="363" spans="1:21" ht="72" x14ac:dyDescent="0.3">
      <c r="A363" s="117">
        <v>361</v>
      </c>
      <c r="B363" s="131">
        <v>1217</v>
      </c>
      <c r="C363" s="111">
        <v>2</v>
      </c>
      <c r="D363" s="111">
        <v>1</v>
      </c>
      <c r="E363" s="118" t="s">
        <v>1163</v>
      </c>
      <c r="F363" s="118" t="s">
        <v>191</v>
      </c>
      <c r="G363" s="119" t="s">
        <v>8</v>
      </c>
      <c r="H363" s="119" t="s">
        <v>844</v>
      </c>
      <c r="I363" s="117" t="s">
        <v>1073</v>
      </c>
      <c r="J363" s="117" t="s">
        <v>1083</v>
      </c>
      <c r="K363" s="117" t="s">
        <v>1066</v>
      </c>
      <c r="L363" s="117" t="s">
        <v>1149</v>
      </c>
      <c r="M363" s="111"/>
      <c r="N363" s="122">
        <v>7052013</v>
      </c>
      <c r="O363" s="140">
        <v>3998</v>
      </c>
      <c r="P363" s="227">
        <f t="shared" si="7"/>
        <v>2044.1449410224816</v>
      </c>
      <c r="Q363" s="107">
        <v>99.95</v>
      </c>
      <c r="R363" s="107">
        <v>0</v>
      </c>
      <c r="S363" s="231">
        <f t="shared" si="8"/>
        <v>817.65797640899268</v>
      </c>
      <c r="T363" s="236"/>
      <c r="U363" s="236"/>
    </row>
    <row r="364" spans="1:21" ht="72" x14ac:dyDescent="0.3">
      <c r="A364" s="117">
        <v>362</v>
      </c>
      <c r="B364" s="131">
        <v>1218</v>
      </c>
      <c r="C364" s="111">
        <v>2</v>
      </c>
      <c r="D364" s="111">
        <v>1</v>
      </c>
      <c r="E364" s="118" t="s">
        <v>1163</v>
      </c>
      <c r="F364" s="118" t="s">
        <v>191</v>
      </c>
      <c r="G364" s="119" t="s">
        <v>8</v>
      </c>
      <c r="H364" s="119" t="s">
        <v>844</v>
      </c>
      <c r="I364" s="117" t="s">
        <v>1073</v>
      </c>
      <c r="J364" s="117" t="s">
        <v>1083</v>
      </c>
      <c r="K364" s="117" t="s">
        <v>1063</v>
      </c>
      <c r="L364" s="117" t="s">
        <v>1149</v>
      </c>
      <c r="M364" s="111"/>
      <c r="N364" s="122">
        <v>7052013</v>
      </c>
      <c r="O364" s="140">
        <v>3998</v>
      </c>
      <c r="P364" s="227">
        <f t="shared" si="7"/>
        <v>2044.1449410224816</v>
      </c>
      <c r="Q364" s="107">
        <v>99.95</v>
      </c>
      <c r="R364" s="107">
        <v>0</v>
      </c>
      <c r="S364" s="231">
        <f t="shared" si="8"/>
        <v>817.65797640899268</v>
      </c>
      <c r="T364" s="236"/>
      <c r="U364" s="236"/>
    </row>
    <row r="365" spans="1:21" ht="72" x14ac:dyDescent="0.3">
      <c r="A365" s="117">
        <v>363</v>
      </c>
      <c r="B365" s="131">
        <v>1219</v>
      </c>
      <c r="C365" s="111">
        <v>2</v>
      </c>
      <c r="D365" s="111">
        <v>1</v>
      </c>
      <c r="E365" s="118" t="s">
        <v>1163</v>
      </c>
      <c r="F365" s="118" t="s">
        <v>191</v>
      </c>
      <c r="G365" s="119" t="s">
        <v>8</v>
      </c>
      <c r="H365" s="119" t="s">
        <v>844</v>
      </c>
      <c r="I365" s="117" t="s">
        <v>1073</v>
      </c>
      <c r="J365" s="117" t="s">
        <v>1083</v>
      </c>
      <c r="K365" s="117" t="s">
        <v>1066</v>
      </c>
      <c r="L365" s="117" t="s">
        <v>1149</v>
      </c>
      <c r="M365" s="111"/>
      <c r="N365" s="122">
        <v>7052013</v>
      </c>
      <c r="O365" s="140">
        <v>3998</v>
      </c>
      <c r="P365" s="227">
        <f t="shared" si="7"/>
        <v>2044.1449410224816</v>
      </c>
      <c r="Q365" s="107">
        <v>99.95</v>
      </c>
      <c r="R365" s="107">
        <v>0</v>
      </c>
      <c r="S365" s="231">
        <f t="shared" si="8"/>
        <v>817.65797640899268</v>
      </c>
      <c r="T365" s="236"/>
      <c r="U365" s="236"/>
    </row>
    <row r="366" spans="1:21" ht="72" x14ac:dyDescent="0.3">
      <c r="A366" s="117">
        <v>364</v>
      </c>
      <c r="B366" s="131">
        <v>1220</v>
      </c>
      <c r="C366" s="111">
        <v>2</v>
      </c>
      <c r="D366" s="111">
        <v>1</v>
      </c>
      <c r="E366" s="118" t="s">
        <v>1163</v>
      </c>
      <c r="F366" s="118" t="s">
        <v>191</v>
      </c>
      <c r="G366" s="119" t="s">
        <v>8</v>
      </c>
      <c r="H366" s="119" t="s">
        <v>844</v>
      </c>
      <c r="I366" s="117" t="s">
        <v>1073</v>
      </c>
      <c r="J366" s="117" t="s">
        <v>1083</v>
      </c>
      <c r="K366" s="117" t="s">
        <v>1052</v>
      </c>
      <c r="L366" s="117" t="s">
        <v>1150</v>
      </c>
      <c r="M366" s="111"/>
      <c r="N366" s="122">
        <v>7052013</v>
      </c>
      <c r="O366" s="140">
        <v>3998</v>
      </c>
      <c r="P366" s="227">
        <f t="shared" si="7"/>
        <v>2044.1449410224816</v>
      </c>
      <c r="Q366" s="107">
        <v>99.95</v>
      </c>
      <c r="R366" s="107">
        <v>0</v>
      </c>
      <c r="S366" s="231"/>
      <c r="T366" s="236"/>
      <c r="U366" s="236"/>
    </row>
    <row r="367" spans="1:21" ht="72" x14ac:dyDescent="0.3">
      <c r="A367" s="117">
        <v>365</v>
      </c>
      <c r="B367" s="131">
        <v>1221</v>
      </c>
      <c r="C367" s="111">
        <v>2</v>
      </c>
      <c r="D367" s="111">
        <v>1</v>
      </c>
      <c r="E367" s="118" t="s">
        <v>1163</v>
      </c>
      <c r="F367" s="118" t="s">
        <v>191</v>
      </c>
      <c r="G367" s="119" t="s">
        <v>8</v>
      </c>
      <c r="H367" s="119" t="s">
        <v>844</v>
      </c>
      <c r="I367" s="117" t="s">
        <v>1073</v>
      </c>
      <c r="J367" s="117" t="s">
        <v>1083</v>
      </c>
      <c r="K367" s="117" t="s">
        <v>1066</v>
      </c>
      <c r="L367" s="117" t="s">
        <v>1149</v>
      </c>
      <c r="M367" s="111"/>
      <c r="N367" s="122">
        <v>7052013</v>
      </c>
      <c r="O367" s="140">
        <v>3998</v>
      </c>
      <c r="P367" s="227">
        <f t="shared" si="7"/>
        <v>2044.1449410224816</v>
      </c>
      <c r="Q367" s="107">
        <v>99.95</v>
      </c>
      <c r="R367" s="107">
        <v>0</v>
      </c>
      <c r="S367" s="231">
        <f>P367*0.4</f>
        <v>817.65797640899268</v>
      </c>
      <c r="T367" s="236"/>
      <c r="U367" s="236"/>
    </row>
    <row r="368" spans="1:21" ht="72" x14ac:dyDescent="0.3">
      <c r="A368" s="117">
        <v>366</v>
      </c>
      <c r="B368" s="131">
        <v>1222</v>
      </c>
      <c r="C368" s="111">
        <v>2</v>
      </c>
      <c r="D368" s="111">
        <v>1</v>
      </c>
      <c r="E368" s="118" t="s">
        <v>1163</v>
      </c>
      <c r="F368" s="118" t="s">
        <v>191</v>
      </c>
      <c r="G368" s="119" t="s">
        <v>8</v>
      </c>
      <c r="H368" s="119" t="s">
        <v>844</v>
      </c>
      <c r="I368" s="117" t="s">
        <v>1073</v>
      </c>
      <c r="J368" s="117" t="s">
        <v>1083</v>
      </c>
      <c r="K368" s="117" t="s">
        <v>1063</v>
      </c>
      <c r="L368" s="117" t="s">
        <v>1149</v>
      </c>
      <c r="M368" s="111"/>
      <c r="N368" s="122">
        <v>7052013</v>
      </c>
      <c r="O368" s="140">
        <v>3998</v>
      </c>
      <c r="P368" s="227">
        <f t="shared" si="7"/>
        <v>2044.1449410224816</v>
      </c>
      <c r="Q368" s="107">
        <v>99.95</v>
      </c>
      <c r="R368" s="107">
        <v>0</v>
      </c>
      <c r="S368" s="231">
        <f>P368*0.4</f>
        <v>817.65797640899268</v>
      </c>
      <c r="T368" s="236"/>
      <c r="U368" s="236"/>
    </row>
    <row r="369" spans="1:21" ht="72" x14ac:dyDescent="0.3">
      <c r="A369" s="117">
        <v>367</v>
      </c>
      <c r="B369" s="131">
        <v>1223</v>
      </c>
      <c r="C369" s="111">
        <v>9</v>
      </c>
      <c r="D369" s="111">
        <v>2</v>
      </c>
      <c r="E369" s="118" t="s">
        <v>1151</v>
      </c>
      <c r="F369" s="118" t="s">
        <v>195</v>
      </c>
      <c r="G369" s="119" t="s">
        <v>57</v>
      </c>
      <c r="H369" s="119" t="s">
        <v>1361</v>
      </c>
      <c r="I369" s="117" t="s">
        <v>1237</v>
      </c>
      <c r="J369" s="117" t="s">
        <v>1236</v>
      </c>
      <c r="K369" s="117" t="s">
        <v>1066</v>
      </c>
      <c r="L369" s="117" t="s">
        <v>1149</v>
      </c>
      <c r="M369" s="111"/>
      <c r="N369" s="122">
        <v>7052013</v>
      </c>
      <c r="O369" s="140">
        <v>26992</v>
      </c>
      <c r="P369" s="227">
        <f t="shared" si="7"/>
        <v>13800.790457248329</v>
      </c>
      <c r="Q369" s="107">
        <v>674.8</v>
      </c>
      <c r="R369" s="107">
        <v>0</v>
      </c>
      <c r="S369" s="231">
        <f>P369*0.3</f>
        <v>4140.2371371744985</v>
      </c>
      <c r="T369" s="236"/>
      <c r="U369" s="236"/>
    </row>
    <row r="370" spans="1:21" ht="72" x14ac:dyDescent="0.3">
      <c r="A370" s="117">
        <v>368</v>
      </c>
      <c r="B370" s="131">
        <v>1224</v>
      </c>
      <c r="C370" s="111">
        <v>1</v>
      </c>
      <c r="D370" s="111">
        <v>1</v>
      </c>
      <c r="E370" s="118" t="s">
        <v>1163</v>
      </c>
      <c r="F370" s="118" t="s">
        <v>190</v>
      </c>
      <c r="G370" s="119" t="s">
        <v>58</v>
      </c>
      <c r="H370" s="117" t="s">
        <v>855</v>
      </c>
      <c r="I370" s="117"/>
      <c r="J370" s="117" t="s">
        <v>1106</v>
      </c>
      <c r="K370" s="117" t="s">
        <v>1066</v>
      </c>
      <c r="L370" s="117" t="s">
        <v>1149</v>
      </c>
      <c r="M370" s="111"/>
      <c r="N370" s="122">
        <v>7052013</v>
      </c>
      <c r="O370" s="140">
        <v>8395</v>
      </c>
      <c r="P370" s="227">
        <f t="shared" si="7"/>
        <v>4292.2953426422546</v>
      </c>
      <c r="Q370" s="107">
        <v>209.88</v>
      </c>
      <c r="R370" s="107">
        <v>0</v>
      </c>
      <c r="S370" s="231">
        <f t="shared" ref="S370:S375" si="9">P370*0.5</f>
        <v>2146.1476713211273</v>
      </c>
      <c r="T370" s="236"/>
      <c r="U370" s="236"/>
    </row>
    <row r="371" spans="1:21" ht="72" x14ac:dyDescent="0.3">
      <c r="A371" s="117">
        <v>369</v>
      </c>
      <c r="B371" s="131">
        <v>1225</v>
      </c>
      <c r="C371" s="111">
        <v>1</v>
      </c>
      <c r="D371" s="111">
        <v>1</v>
      </c>
      <c r="E371" s="118" t="s">
        <v>1163</v>
      </c>
      <c r="F371" s="118" t="s">
        <v>190</v>
      </c>
      <c r="G371" s="119" t="s">
        <v>58</v>
      </c>
      <c r="H371" s="117" t="s">
        <v>855</v>
      </c>
      <c r="I371" s="117"/>
      <c r="J371" s="117" t="s">
        <v>1106</v>
      </c>
      <c r="K371" s="117" t="s">
        <v>1066</v>
      </c>
      <c r="L371" s="117" t="s">
        <v>1149</v>
      </c>
      <c r="M371" s="111"/>
      <c r="N371" s="122">
        <v>7052013</v>
      </c>
      <c r="O371" s="140">
        <v>8395</v>
      </c>
      <c r="P371" s="227">
        <f t="shared" si="7"/>
        <v>4292.2953426422546</v>
      </c>
      <c r="Q371" s="107">
        <v>209.88</v>
      </c>
      <c r="R371" s="107">
        <v>0</v>
      </c>
      <c r="S371" s="231">
        <f t="shared" si="9"/>
        <v>2146.1476713211273</v>
      </c>
      <c r="T371" s="236"/>
      <c r="U371" s="236"/>
    </row>
    <row r="372" spans="1:21" ht="72" x14ac:dyDescent="0.3">
      <c r="A372" s="117">
        <v>370</v>
      </c>
      <c r="B372" s="131">
        <v>1226</v>
      </c>
      <c r="C372" s="111">
        <v>1</v>
      </c>
      <c r="D372" s="111">
        <v>1</v>
      </c>
      <c r="E372" s="118" t="s">
        <v>1163</v>
      </c>
      <c r="F372" s="118" t="s">
        <v>190</v>
      </c>
      <c r="G372" s="119" t="s">
        <v>58</v>
      </c>
      <c r="H372" s="117" t="s">
        <v>855</v>
      </c>
      <c r="I372" s="117"/>
      <c r="J372" s="117" t="s">
        <v>1106</v>
      </c>
      <c r="K372" s="117" t="s">
        <v>1066</v>
      </c>
      <c r="L372" s="117" t="s">
        <v>1149</v>
      </c>
      <c r="M372" s="111"/>
      <c r="N372" s="122">
        <v>7052013</v>
      </c>
      <c r="O372" s="140">
        <v>8395</v>
      </c>
      <c r="P372" s="227">
        <f t="shared" si="7"/>
        <v>4292.2953426422546</v>
      </c>
      <c r="Q372" s="107">
        <v>209.88</v>
      </c>
      <c r="R372" s="107">
        <v>0</v>
      </c>
      <c r="S372" s="231">
        <f t="shared" si="9"/>
        <v>2146.1476713211273</v>
      </c>
      <c r="T372" s="236"/>
      <c r="U372" s="236"/>
    </row>
    <row r="373" spans="1:21" ht="72" x14ac:dyDescent="0.3">
      <c r="A373" s="117">
        <v>371</v>
      </c>
      <c r="B373" s="131">
        <v>1227</v>
      </c>
      <c r="C373" s="111">
        <v>1</v>
      </c>
      <c r="D373" s="111">
        <v>1</v>
      </c>
      <c r="E373" s="118" t="s">
        <v>1163</v>
      </c>
      <c r="F373" s="118" t="s">
        <v>190</v>
      </c>
      <c r="G373" s="119" t="s">
        <v>58</v>
      </c>
      <c r="H373" s="117" t="s">
        <v>855</v>
      </c>
      <c r="I373" s="117"/>
      <c r="J373" s="117" t="s">
        <v>1106</v>
      </c>
      <c r="K373" s="117" t="s">
        <v>1066</v>
      </c>
      <c r="L373" s="117" t="s">
        <v>1149</v>
      </c>
      <c r="M373" s="111"/>
      <c r="N373" s="122">
        <v>7052013</v>
      </c>
      <c r="O373" s="140">
        <v>8395</v>
      </c>
      <c r="P373" s="227">
        <f t="shared" si="7"/>
        <v>4292.2953426422546</v>
      </c>
      <c r="Q373" s="107">
        <v>209.88</v>
      </c>
      <c r="R373" s="107">
        <v>0</v>
      </c>
      <c r="S373" s="231">
        <f t="shared" si="9"/>
        <v>2146.1476713211273</v>
      </c>
      <c r="T373" s="236"/>
      <c r="U373" s="236"/>
    </row>
    <row r="374" spans="1:21" ht="72" x14ac:dyDescent="0.3">
      <c r="A374" s="117">
        <v>372</v>
      </c>
      <c r="B374" s="131">
        <v>1228</v>
      </c>
      <c r="C374" s="111">
        <v>1</v>
      </c>
      <c r="D374" s="111">
        <v>1</v>
      </c>
      <c r="E374" s="118" t="s">
        <v>1163</v>
      </c>
      <c r="F374" s="118" t="s">
        <v>190</v>
      </c>
      <c r="G374" s="119" t="s">
        <v>58</v>
      </c>
      <c r="H374" s="117" t="s">
        <v>855</v>
      </c>
      <c r="I374" s="117"/>
      <c r="J374" s="117" t="s">
        <v>1106</v>
      </c>
      <c r="K374" s="117" t="s">
        <v>1063</v>
      </c>
      <c r="L374" s="117" t="s">
        <v>1149</v>
      </c>
      <c r="M374" s="111"/>
      <c r="N374" s="122">
        <v>7052013</v>
      </c>
      <c r="O374" s="140">
        <v>8395</v>
      </c>
      <c r="P374" s="227">
        <f t="shared" si="7"/>
        <v>4292.2953426422546</v>
      </c>
      <c r="Q374" s="107">
        <v>209.88</v>
      </c>
      <c r="R374" s="107">
        <v>0</v>
      </c>
      <c r="S374" s="231">
        <f t="shared" si="9"/>
        <v>2146.1476713211273</v>
      </c>
      <c r="T374" s="236"/>
      <c r="U374" s="236"/>
    </row>
    <row r="375" spans="1:21" ht="72" x14ac:dyDescent="0.3">
      <c r="A375" s="117">
        <v>373</v>
      </c>
      <c r="B375" s="131">
        <v>1229</v>
      </c>
      <c r="C375" s="111">
        <v>1</v>
      </c>
      <c r="D375" s="111">
        <v>1</v>
      </c>
      <c r="E375" s="118" t="s">
        <v>1163</v>
      </c>
      <c r="F375" s="118" t="s">
        <v>190</v>
      </c>
      <c r="G375" s="119" t="s">
        <v>59</v>
      </c>
      <c r="H375" s="117" t="s">
        <v>856</v>
      </c>
      <c r="I375" s="117" t="s">
        <v>1107</v>
      </c>
      <c r="J375" s="117" t="s">
        <v>1106</v>
      </c>
      <c r="K375" s="117" t="s">
        <v>1066</v>
      </c>
      <c r="L375" s="117" t="s">
        <v>1149</v>
      </c>
      <c r="M375" s="111"/>
      <c r="N375" s="122">
        <v>7082013</v>
      </c>
      <c r="O375" s="140">
        <v>10415</v>
      </c>
      <c r="P375" s="227">
        <f t="shared" si="7"/>
        <v>5325.104942658616</v>
      </c>
      <c r="Q375" s="107">
        <v>260.38</v>
      </c>
      <c r="R375" s="107">
        <v>0</v>
      </c>
      <c r="S375" s="231">
        <f t="shared" si="9"/>
        <v>2662.552471329308</v>
      </c>
      <c r="T375" s="236"/>
      <c r="U375" s="236"/>
    </row>
    <row r="376" spans="1:21" ht="72" x14ac:dyDescent="0.3">
      <c r="A376" s="117">
        <v>374</v>
      </c>
      <c r="B376" s="131">
        <v>1230</v>
      </c>
      <c r="C376" s="111">
        <v>7</v>
      </c>
      <c r="D376" s="111">
        <v>3</v>
      </c>
      <c r="E376" s="118" t="s">
        <v>1058</v>
      </c>
      <c r="F376" s="118" t="s">
        <v>193</v>
      </c>
      <c r="G376" s="123" t="s">
        <v>86</v>
      </c>
      <c r="H376" s="117" t="s">
        <v>857</v>
      </c>
      <c r="I376" s="117" t="s">
        <v>1108</v>
      </c>
      <c r="J376" s="117" t="s">
        <v>1095</v>
      </c>
      <c r="K376" s="117" t="s">
        <v>1066</v>
      </c>
      <c r="L376" s="117" t="s">
        <v>1149</v>
      </c>
      <c r="M376" s="111"/>
      <c r="N376" s="122">
        <v>2092013</v>
      </c>
      <c r="O376" s="140">
        <v>4991</v>
      </c>
      <c r="P376" s="227">
        <f t="shared" si="7"/>
        <v>2551.8577790503264</v>
      </c>
      <c r="Q376" s="107">
        <v>124.78</v>
      </c>
      <c r="R376" s="107">
        <v>0</v>
      </c>
      <c r="S376" s="231">
        <f>P376*0.4</f>
        <v>1020.7431116201305</v>
      </c>
      <c r="T376" s="236"/>
      <c r="U376" s="236"/>
    </row>
    <row r="377" spans="1:21" ht="72" x14ac:dyDescent="0.3">
      <c r="A377" s="117">
        <v>375</v>
      </c>
      <c r="B377" s="131">
        <v>1231</v>
      </c>
      <c r="C377" s="111">
        <v>7</v>
      </c>
      <c r="D377" s="111">
        <v>3</v>
      </c>
      <c r="E377" s="118" t="s">
        <v>1058</v>
      </c>
      <c r="F377" s="118" t="s">
        <v>193</v>
      </c>
      <c r="G377" s="123" t="s">
        <v>86</v>
      </c>
      <c r="H377" s="117" t="s">
        <v>857</v>
      </c>
      <c r="I377" s="117" t="s">
        <v>1108</v>
      </c>
      <c r="J377" s="117" t="s">
        <v>1095</v>
      </c>
      <c r="K377" s="117" t="s">
        <v>1059</v>
      </c>
      <c r="L377" s="117" t="s">
        <v>1150</v>
      </c>
      <c r="M377" s="111"/>
      <c r="N377" s="122">
        <v>2092013</v>
      </c>
      <c r="O377" s="140">
        <v>4991</v>
      </c>
      <c r="P377" s="227">
        <f t="shared" si="7"/>
        <v>2551.8577790503264</v>
      </c>
      <c r="Q377" s="107">
        <v>124.78</v>
      </c>
      <c r="R377" s="107">
        <v>0</v>
      </c>
      <c r="S377" s="231"/>
      <c r="T377" s="236"/>
      <c r="U377" s="236"/>
    </row>
    <row r="378" spans="1:21" ht="72" x14ac:dyDescent="0.3">
      <c r="A378" s="117">
        <v>376</v>
      </c>
      <c r="B378" s="131">
        <v>1232</v>
      </c>
      <c r="C378" s="111">
        <v>8</v>
      </c>
      <c r="D378" s="111">
        <v>2</v>
      </c>
      <c r="E378" s="118" t="s">
        <v>1151</v>
      </c>
      <c r="F378" s="118" t="s">
        <v>194</v>
      </c>
      <c r="G378" s="119" t="s">
        <v>60</v>
      </c>
      <c r="H378" s="117" t="s">
        <v>858</v>
      </c>
      <c r="I378" s="117" t="s">
        <v>1109</v>
      </c>
      <c r="J378" s="117"/>
      <c r="K378" s="117" t="s">
        <v>1063</v>
      </c>
      <c r="L378" s="117" t="s">
        <v>1149</v>
      </c>
      <c r="M378" s="111"/>
      <c r="N378" s="122">
        <v>2092013</v>
      </c>
      <c r="O378" s="140">
        <v>8212</v>
      </c>
      <c r="P378" s="227">
        <f t="shared" si="7"/>
        <v>4198.7289283833461</v>
      </c>
      <c r="Q378" s="107">
        <v>205.3</v>
      </c>
      <c r="R378" s="107">
        <v>0</v>
      </c>
      <c r="S378" s="231">
        <f>P378*0.4</f>
        <v>1679.4915713533385</v>
      </c>
      <c r="T378" s="236"/>
      <c r="U378" s="236"/>
    </row>
    <row r="379" spans="1:21" ht="72" x14ac:dyDescent="0.3">
      <c r="A379" s="117">
        <v>377</v>
      </c>
      <c r="B379" s="131">
        <v>1233</v>
      </c>
      <c r="C379" s="111">
        <v>8</v>
      </c>
      <c r="D379" s="111">
        <v>2</v>
      </c>
      <c r="E379" s="118" t="s">
        <v>1151</v>
      </c>
      <c r="F379" s="118" t="s">
        <v>194</v>
      </c>
      <c r="G379" s="119" t="s">
        <v>60</v>
      </c>
      <c r="H379" s="117" t="s">
        <v>858</v>
      </c>
      <c r="I379" s="117" t="s">
        <v>1109</v>
      </c>
      <c r="J379" s="117"/>
      <c r="K379" s="117" t="s">
        <v>1059</v>
      </c>
      <c r="L379" s="117" t="s">
        <v>1150</v>
      </c>
      <c r="M379" s="111"/>
      <c r="N379" s="122">
        <v>2092013</v>
      </c>
      <c r="O379" s="140">
        <v>8212</v>
      </c>
      <c r="P379" s="227">
        <f t="shared" si="7"/>
        <v>4198.7289283833461</v>
      </c>
      <c r="Q379" s="107">
        <v>205.3</v>
      </c>
      <c r="R379" s="107">
        <v>0</v>
      </c>
      <c r="S379" s="231"/>
      <c r="T379" s="236"/>
      <c r="U379" s="236"/>
    </row>
    <row r="380" spans="1:21" ht="72" x14ac:dyDescent="0.3">
      <c r="A380" s="117">
        <v>378</v>
      </c>
      <c r="B380" s="131">
        <v>1234</v>
      </c>
      <c r="C380" s="111">
        <v>8</v>
      </c>
      <c r="D380" s="111">
        <v>2</v>
      </c>
      <c r="E380" s="118" t="s">
        <v>1151</v>
      </c>
      <c r="F380" s="118" t="s">
        <v>194</v>
      </c>
      <c r="G380" s="119" t="s">
        <v>60</v>
      </c>
      <c r="H380" s="117" t="s">
        <v>858</v>
      </c>
      <c r="I380" s="117" t="s">
        <v>1109</v>
      </c>
      <c r="J380" s="117"/>
      <c r="K380" s="117" t="s">
        <v>1059</v>
      </c>
      <c r="L380" s="117" t="s">
        <v>1150</v>
      </c>
      <c r="M380" s="111"/>
      <c r="N380" s="122">
        <v>2092013</v>
      </c>
      <c r="O380" s="140">
        <v>8212</v>
      </c>
      <c r="P380" s="227">
        <f t="shared" si="7"/>
        <v>4198.7289283833461</v>
      </c>
      <c r="Q380" s="107">
        <v>205.3</v>
      </c>
      <c r="R380" s="107">
        <v>0</v>
      </c>
      <c r="S380" s="231"/>
      <c r="T380" s="236"/>
      <c r="U380" s="236"/>
    </row>
    <row r="381" spans="1:21" ht="72" x14ac:dyDescent="0.3">
      <c r="A381" s="117">
        <v>379</v>
      </c>
      <c r="B381" s="131">
        <v>1235</v>
      </c>
      <c r="C381" s="111">
        <v>24</v>
      </c>
      <c r="D381" s="111">
        <v>1</v>
      </c>
      <c r="E381" s="118" t="s">
        <v>1163</v>
      </c>
      <c r="F381" s="118" t="s">
        <v>225</v>
      </c>
      <c r="G381" s="119" t="s">
        <v>603</v>
      </c>
      <c r="H381" s="117" t="s">
        <v>859</v>
      </c>
      <c r="I381" s="117" t="s">
        <v>1345</v>
      </c>
      <c r="J381" s="117" t="s">
        <v>1292</v>
      </c>
      <c r="K381" s="117" t="s">
        <v>1055</v>
      </c>
      <c r="L381" s="117" t="s">
        <v>1148</v>
      </c>
      <c r="M381" s="111"/>
      <c r="N381" s="122">
        <v>2092013</v>
      </c>
      <c r="O381" s="140">
        <v>6800</v>
      </c>
      <c r="P381" s="227">
        <f t="shared" si="7"/>
        <v>3476.7847921342859</v>
      </c>
      <c r="Q381" s="107">
        <v>170</v>
      </c>
      <c r="R381" s="107">
        <v>0</v>
      </c>
      <c r="S381" s="231"/>
      <c r="T381" s="236"/>
      <c r="U381" s="236"/>
    </row>
    <row r="382" spans="1:21" ht="158.4" x14ac:dyDescent="0.3">
      <c r="A382" s="117">
        <v>380</v>
      </c>
      <c r="B382" s="131">
        <v>1237</v>
      </c>
      <c r="C382" s="111">
        <v>33</v>
      </c>
      <c r="D382" s="111">
        <v>6</v>
      </c>
      <c r="E382" s="118" t="s">
        <v>1158</v>
      </c>
      <c r="F382" s="118" t="s">
        <v>1053</v>
      </c>
      <c r="G382" s="118" t="s">
        <v>606</v>
      </c>
      <c r="H382" s="117" t="s">
        <v>860</v>
      </c>
      <c r="I382" s="117" t="s">
        <v>1311</v>
      </c>
      <c r="J382" s="117" t="s">
        <v>1312</v>
      </c>
      <c r="K382" s="117" t="s">
        <v>1110</v>
      </c>
      <c r="L382" s="117" t="s">
        <v>1149</v>
      </c>
      <c r="M382" s="111"/>
      <c r="N382" s="122">
        <v>18122013</v>
      </c>
      <c r="O382" s="140">
        <v>3750</v>
      </c>
      <c r="P382" s="227">
        <f t="shared" si="7"/>
        <v>1917.3445544858193</v>
      </c>
      <c r="Q382" s="107">
        <v>93.75</v>
      </c>
      <c r="R382" s="107">
        <v>0</v>
      </c>
      <c r="S382" s="231">
        <v>100</v>
      </c>
      <c r="T382" s="236"/>
      <c r="U382" s="236"/>
    </row>
    <row r="383" spans="1:21" ht="72" x14ac:dyDescent="0.3">
      <c r="A383" s="117">
        <v>381</v>
      </c>
      <c r="B383" s="131">
        <v>1238</v>
      </c>
      <c r="C383" s="111">
        <v>11</v>
      </c>
      <c r="D383" s="111">
        <v>3</v>
      </c>
      <c r="E383" s="118" t="s">
        <v>1058</v>
      </c>
      <c r="F383" s="118" t="s">
        <v>196</v>
      </c>
      <c r="G383" s="119" t="s">
        <v>576</v>
      </c>
      <c r="H383" s="119" t="s">
        <v>861</v>
      </c>
      <c r="I383" s="117"/>
      <c r="J383" s="117"/>
      <c r="K383" s="117" t="s">
        <v>1056</v>
      </c>
      <c r="L383" s="117" t="s">
        <v>1153</v>
      </c>
      <c r="M383" s="111"/>
      <c r="N383" s="122">
        <v>30122013</v>
      </c>
      <c r="O383" s="140">
        <v>5642.78</v>
      </c>
      <c r="P383" s="227">
        <f t="shared" si="7"/>
        <v>2885.1076013763977</v>
      </c>
      <c r="Q383" s="107">
        <v>141.07</v>
      </c>
      <c r="R383" s="107">
        <v>0</v>
      </c>
      <c r="S383" s="231"/>
      <c r="T383" s="236"/>
      <c r="U383" s="236"/>
    </row>
    <row r="384" spans="1:21" ht="72" x14ac:dyDescent="0.3">
      <c r="A384" s="117">
        <v>382</v>
      </c>
      <c r="B384" s="131">
        <v>1239</v>
      </c>
      <c r="C384" s="111">
        <v>11</v>
      </c>
      <c r="D384" s="111">
        <v>3</v>
      </c>
      <c r="E384" s="118" t="s">
        <v>1058</v>
      </c>
      <c r="F384" s="118" t="s">
        <v>196</v>
      </c>
      <c r="G384" s="119" t="s">
        <v>576</v>
      </c>
      <c r="H384" s="119" t="s">
        <v>861</v>
      </c>
      <c r="I384" s="117"/>
      <c r="J384" s="117"/>
      <c r="K384" s="117" t="s">
        <v>1063</v>
      </c>
      <c r="L384" s="117" t="s">
        <v>1149</v>
      </c>
      <c r="M384" s="111"/>
      <c r="N384" s="122">
        <v>30122013</v>
      </c>
      <c r="O384" s="140">
        <v>5642.78</v>
      </c>
      <c r="P384" s="227">
        <f t="shared" si="7"/>
        <v>2885.1076013763977</v>
      </c>
      <c r="Q384" s="107">
        <v>141.07</v>
      </c>
      <c r="R384" s="107">
        <v>0</v>
      </c>
      <c r="S384" s="231">
        <f>P384*0.4</f>
        <v>1154.0430405505592</v>
      </c>
      <c r="T384" s="236"/>
      <c r="U384" s="236"/>
    </row>
    <row r="385" spans="1:21" ht="72" x14ac:dyDescent="0.3">
      <c r="A385" s="117">
        <v>383</v>
      </c>
      <c r="B385" s="131">
        <v>1240</v>
      </c>
      <c r="C385" s="111">
        <v>11</v>
      </c>
      <c r="D385" s="111">
        <v>3</v>
      </c>
      <c r="E385" s="118" t="s">
        <v>1058</v>
      </c>
      <c r="F385" s="118" t="s">
        <v>196</v>
      </c>
      <c r="G385" s="119" t="s">
        <v>576</v>
      </c>
      <c r="H385" s="119" t="s">
        <v>861</v>
      </c>
      <c r="I385" s="117"/>
      <c r="J385" s="117"/>
      <c r="K385" s="117" t="s">
        <v>1063</v>
      </c>
      <c r="L385" s="117" t="s">
        <v>1149</v>
      </c>
      <c r="M385" s="111"/>
      <c r="N385" s="122">
        <v>30122013</v>
      </c>
      <c r="O385" s="140">
        <v>5642.77</v>
      </c>
      <c r="P385" s="227">
        <f t="shared" si="7"/>
        <v>2885.1024884575859</v>
      </c>
      <c r="Q385" s="107">
        <v>141.07</v>
      </c>
      <c r="R385" s="107">
        <v>0</v>
      </c>
      <c r="S385" s="231">
        <f>P385*0.4</f>
        <v>1154.0409953830344</v>
      </c>
      <c r="T385" s="236"/>
      <c r="U385" s="236"/>
    </row>
    <row r="386" spans="1:21" ht="72" x14ac:dyDescent="0.3">
      <c r="A386" s="117">
        <v>384</v>
      </c>
      <c r="B386" s="131">
        <v>1241</v>
      </c>
      <c r="C386" s="111">
        <v>11</v>
      </c>
      <c r="D386" s="111">
        <v>3</v>
      </c>
      <c r="E386" s="118" t="s">
        <v>1058</v>
      </c>
      <c r="F386" s="118" t="s">
        <v>196</v>
      </c>
      <c r="G386" s="119" t="s">
        <v>576</v>
      </c>
      <c r="H386" s="119" t="s">
        <v>861</v>
      </c>
      <c r="I386" s="117"/>
      <c r="J386" s="117"/>
      <c r="K386" s="117" t="s">
        <v>1063</v>
      </c>
      <c r="L386" s="117" t="s">
        <v>1149</v>
      </c>
      <c r="M386" s="111"/>
      <c r="N386" s="122">
        <v>30122013</v>
      </c>
      <c r="O386" s="140">
        <v>5642.77</v>
      </c>
      <c r="P386" s="227">
        <f t="shared" si="7"/>
        <v>2885.1024884575859</v>
      </c>
      <c r="Q386" s="107">
        <v>141.07</v>
      </c>
      <c r="R386" s="107">
        <v>0</v>
      </c>
      <c r="S386" s="231">
        <f>P386*0.4</f>
        <v>1154.0409953830344</v>
      </c>
      <c r="T386" s="236"/>
      <c r="U386" s="236"/>
    </row>
    <row r="387" spans="1:21" ht="72" x14ac:dyDescent="0.3">
      <c r="A387" s="117">
        <v>385</v>
      </c>
      <c r="B387" s="131">
        <v>1242</v>
      </c>
      <c r="C387" s="111">
        <v>28</v>
      </c>
      <c r="D387" s="111">
        <v>3</v>
      </c>
      <c r="E387" s="118" t="s">
        <v>1058</v>
      </c>
      <c r="F387" s="118" t="s">
        <v>205</v>
      </c>
      <c r="G387" s="119" t="s">
        <v>1302</v>
      </c>
      <c r="H387" s="119" t="s">
        <v>1362</v>
      </c>
      <c r="I387" s="117" t="s">
        <v>1347</v>
      </c>
      <c r="J387" s="117" t="s">
        <v>1301</v>
      </c>
      <c r="K387" s="117" t="s">
        <v>1059</v>
      </c>
      <c r="L387" s="117" t="s">
        <v>1150</v>
      </c>
      <c r="M387" s="111"/>
      <c r="N387" s="122">
        <v>12022014</v>
      </c>
      <c r="O387" s="140">
        <v>911.67</v>
      </c>
      <c r="P387" s="227">
        <f t="shared" si="7"/>
        <v>466.1294693301565</v>
      </c>
      <c r="Q387" s="107">
        <v>22.79</v>
      </c>
      <c r="R387" s="107">
        <v>0</v>
      </c>
      <c r="S387" s="231"/>
      <c r="T387" s="236"/>
      <c r="U387" s="236"/>
    </row>
    <row r="388" spans="1:21" ht="72" x14ac:dyDescent="0.3">
      <c r="A388" s="117">
        <v>386</v>
      </c>
      <c r="B388" s="131">
        <v>1243</v>
      </c>
      <c r="C388" s="111">
        <v>28</v>
      </c>
      <c r="D388" s="111">
        <v>3</v>
      </c>
      <c r="E388" s="118" t="s">
        <v>1058</v>
      </c>
      <c r="F388" s="118" t="s">
        <v>205</v>
      </c>
      <c r="G388" s="119" t="s">
        <v>1303</v>
      </c>
      <c r="H388" s="117" t="s">
        <v>862</v>
      </c>
      <c r="I388" s="117" t="s">
        <v>1346</v>
      </c>
      <c r="J388" s="117" t="s">
        <v>1301</v>
      </c>
      <c r="K388" s="117" t="s">
        <v>1066</v>
      </c>
      <c r="L388" s="117" t="s">
        <v>1149</v>
      </c>
      <c r="M388" s="111"/>
      <c r="N388" s="122">
        <v>26022014</v>
      </c>
      <c r="O388" s="140">
        <v>875</v>
      </c>
      <c r="P388" s="227">
        <f t="shared" ref="P388:P451" si="10">O388/$P$1</f>
        <v>447.3803960466912</v>
      </c>
      <c r="Q388" s="107">
        <v>21.88</v>
      </c>
      <c r="R388" s="107">
        <v>0</v>
      </c>
      <c r="S388" s="231">
        <v>100</v>
      </c>
      <c r="T388" s="236"/>
      <c r="U388" s="236"/>
    </row>
    <row r="389" spans="1:21" ht="72" x14ac:dyDescent="0.3">
      <c r="A389" s="117">
        <v>387</v>
      </c>
      <c r="B389" s="131">
        <v>1244</v>
      </c>
      <c r="C389" s="111">
        <v>28</v>
      </c>
      <c r="D389" s="111">
        <v>3</v>
      </c>
      <c r="E389" s="118" t="s">
        <v>1058</v>
      </c>
      <c r="F389" s="118" t="s">
        <v>205</v>
      </c>
      <c r="G389" s="119" t="s">
        <v>1303</v>
      </c>
      <c r="H389" s="119" t="s">
        <v>862</v>
      </c>
      <c r="I389" s="117" t="s">
        <v>1346</v>
      </c>
      <c r="J389" s="117" t="s">
        <v>1301</v>
      </c>
      <c r="K389" s="117" t="s">
        <v>1056</v>
      </c>
      <c r="L389" s="117" t="s">
        <v>1153</v>
      </c>
      <c r="M389" s="111"/>
      <c r="N389" s="122">
        <v>26022014</v>
      </c>
      <c r="O389" s="140">
        <v>875</v>
      </c>
      <c r="P389" s="227">
        <f t="shared" si="10"/>
        <v>447.3803960466912</v>
      </c>
      <c r="Q389" s="107">
        <v>21.88</v>
      </c>
      <c r="R389" s="107">
        <v>0</v>
      </c>
      <c r="S389" s="231"/>
      <c r="T389" s="236"/>
      <c r="U389" s="236"/>
    </row>
    <row r="390" spans="1:21" ht="72" x14ac:dyDescent="0.3">
      <c r="A390" s="117">
        <v>388</v>
      </c>
      <c r="B390" s="131">
        <v>1245</v>
      </c>
      <c r="C390" s="111">
        <v>2</v>
      </c>
      <c r="D390" s="111">
        <v>1</v>
      </c>
      <c r="E390" s="118" t="s">
        <v>1163</v>
      </c>
      <c r="F390" s="118" t="s">
        <v>191</v>
      </c>
      <c r="G390" s="119" t="s">
        <v>62</v>
      </c>
      <c r="H390" s="119" t="s">
        <v>863</v>
      </c>
      <c r="I390" s="117" t="s">
        <v>1100</v>
      </c>
      <c r="J390" s="117" t="s">
        <v>1083</v>
      </c>
      <c r="K390" s="117" t="s">
        <v>1056</v>
      </c>
      <c r="L390" s="117" t="s">
        <v>1153</v>
      </c>
      <c r="M390" s="111"/>
      <c r="N390" s="122">
        <v>10042014</v>
      </c>
      <c r="O390" s="140">
        <v>2355.0500000000002</v>
      </c>
      <c r="P390" s="227">
        <f t="shared" si="10"/>
        <v>1204.1179448111545</v>
      </c>
      <c r="Q390" s="107">
        <v>58.88</v>
      </c>
      <c r="R390" s="107">
        <v>0</v>
      </c>
      <c r="S390" s="231"/>
      <c r="T390" s="236"/>
      <c r="U390" s="236"/>
    </row>
    <row r="391" spans="1:21" ht="72" x14ac:dyDescent="0.3">
      <c r="A391" s="117">
        <v>389</v>
      </c>
      <c r="B391" s="131">
        <v>1246</v>
      </c>
      <c r="C391" s="111">
        <v>2</v>
      </c>
      <c r="D391" s="111">
        <v>1</v>
      </c>
      <c r="E391" s="118" t="s">
        <v>1163</v>
      </c>
      <c r="F391" s="118" t="s">
        <v>191</v>
      </c>
      <c r="G391" s="119" t="s">
        <v>55</v>
      </c>
      <c r="H391" s="119" t="s">
        <v>775</v>
      </c>
      <c r="I391" s="117" t="s">
        <v>1102</v>
      </c>
      <c r="J391" s="117" t="s">
        <v>1083</v>
      </c>
      <c r="K391" s="117" t="s">
        <v>1052</v>
      </c>
      <c r="L391" s="117" t="s">
        <v>1150</v>
      </c>
      <c r="M391" s="111"/>
      <c r="N391" s="122">
        <v>10042014</v>
      </c>
      <c r="O391" s="140">
        <v>2331.3000000000002</v>
      </c>
      <c r="P391" s="227">
        <f t="shared" si="10"/>
        <v>1191.9747626327444</v>
      </c>
      <c r="Q391" s="107">
        <v>58.28</v>
      </c>
      <c r="R391" s="107">
        <v>0</v>
      </c>
      <c r="S391" s="231"/>
      <c r="T391" s="236"/>
      <c r="U391" s="236"/>
    </row>
    <row r="392" spans="1:21" ht="72" x14ac:dyDescent="0.3">
      <c r="A392" s="117">
        <v>390</v>
      </c>
      <c r="B392" s="131">
        <v>1247</v>
      </c>
      <c r="C392" s="111">
        <v>2</v>
      </c>
      <c r="D392" s="111">
        <v>1</v>
      </c>
      <c r="E392" s="118" t="s">
        <v>1163</v>
      </c>
      <c r="F392" s="118" t="s">
        <v>191</v>
      </c>
      <c r="G392" s="119" t="s">
        <v>55</v>
      </c>
      <c r="H392" s="119" t="s">
        <v>775</v>
      </c>
      <c r="I392" s="117" t="s">
        <v>1102</v>
      </c>
      <c r="J392" s="117" t="s">
        <v>1083</v>
      </c>
      <c r="K392" s="117" t="s">
        <v>1052</v>
      </c>
      <c r="L392" s="117" t="s">
        <v>1150</v>
      </c>
      <c r="M392" s="111"/>
      <c r="N392" s="122">
        <v>10042014</v>
      </c>
      <c r="O392" s="140">
        <v>2331.3000000000002</v>
      </c>
      <c r="P392" s="227">
        <f t="shared" si="10"/>
        <v>1191.9747626327444</v>
      </c>
      <c r="Q392" s="107">
        <v>58.28</v>
      </c>
      <c r="R392" s="107">
        <v>0</v>
      </c>
      <c r="S392" s="231"/>
      <c r="T392" s="236"/>
      <c r="U392" s="236"/>
    </row>
    <row r="393" spans="1:21" ht="72" x14ac:dyDescent="0.3">
      <c r="A393" s="117">
        <v>391</v>
      </c>
      <c r="B393" s="131">
        <v>1248</v>
      </c>
      <c r="C393" s="111">
        <v>2</v>
      </c>
      <c r="D393" s="111">
        <v>1</v>
      </c>
      <c r="E393" s="118" t="s">
        <v>1163</v>
      </c>
      <c r="F393" s="118" t="s">
        <v>191</v>
      </c>
      <c r="G393" s="119" t="s">
        <v>8</v>
      </c>
      <c r="H393" s="117" t="s">
        <v>864</v>
      </c>
      <c r="I393" s="117" t="s">
        <v>1073</v>
      </c>
      <c r="J393" s="117" t="s">
        <v>1083</v>
      </c>
      <c r="K393" s="117" t="s">
        <v>1061</v>
      </c>
      <c r="L393" s="117" t="s">
        <v>1150</v>
      </c>
      <c r="M393" s="111"/>
      <c r="N393" s="122">
        <v>10042014</v>
      </c>
      <c r="O393" s="140">
        <v>2461.4499999999998</v>
      </c>
      <c r="P393" s="227">
        <f t="shared" si="10"/>
        <v>1258.5194009704319</v>
      </c>
      <c r="Q393" s="107">
        <v>61.54</v>
      </c>
      <c r="R393" s="107">
        <v>0</v>
      </c>
      <c r="S393" s="231"/>
      <c r="T393" s="236"/>
      <c r="U393" s="236"/>
    </row>
    <row r="394" spans="1:21" ht="72" x14ac:dyDescent="0.3">
      <c r="A394" s="117">
        <v>392</v>
      </c>
      <c r="B394" s="131">
        <v>1249</v>
      </c>
      <c r="C394" s="111">
        <v>2</v>
      </c>
      <c r="D394" s="111">
        <v>1</v>
      </c>
      <c r="E394" s="118" t="s">
        <v>1163</v>
      </c>
      <c r="F394" s="118" t="s">
        <v>191</v>
      </c>
      <c r="G394" s="119" t="s">
        <v>8</v>
      </c>
      <c r="H394" s="119" t="s">
        <v>864</v>
      </c>
      <c r="I394" s="117" t="s">
        <v>1073</v>
      </c>
      <c r="J394" s="117" t="s">
        <v>1083</v>
      </c>
      <c r="K394" s="117" t="s">
        <v>1057</v>
      </c>
      <c r="L394" s="117" t="s">
        <v>1154</v>
      </c>
      <c r="M394" s="111"/>
      <c r="N394" s="122">
        <v>10042014</v>
      </c>
      <c r="O394" s="140">
        <v>2461.4499999999998</v>
      </c>
      <c r="P394" s="227">
        <f t="shared" si="10"/>
        <v>1258.5194009704319</v>
      </c>
      <c r="Q394" s="107">
        <v>61.54</v>
      </c>
      <c r="R394" s="107">
        <v>0</v>
      </c>
      <c r="S394" s="231"/>
      <c r="T394" s="236"/>
      <c r="U394" s="236"/>
    </row>
    <row r="395" spans="1:21" ht="72" x14ac:dyDescent="0.3">
      <c r="A395" s="117">
        <v>393</v>
      </c>
      <c r="B395" s="131">
        <v>1250</v>
      </c>
      <c r="C395" s="111">
        <v>2</v>
      </c>
      <c r="D395" s="111">
        <v>1</v>
      </c>
      <c r="E395" s="118" t="s">
        <v>1163</v>
      </c>
      <c r="F395" s="118" t="s">
        <v>191</v>
      </c>
      <c r="G395" s="119" t="s">
        <v>8</v>
      </c>
      <c r="H395" s="119" t="s">
        <v>864</v>
      </c>
      <c r="I395" s="117" t="s">
        <v>1073</v>
      </c>
      <c r="J395" s="117" t="s">
        <v>1083</v>
      </c>
      <c r="K395" s="117" t="s">
        <v>1067</v>
      </c>
      <c r="L395" s="117" t="s">
        <v>1150</v>
      </c>
      <c r="M395" s="111"/>
      <c r="N395" s="122">
        <v>10042014</v>
      </c>
      <c r="O395" s="140">
        <v>2461.4499999999998</v>
      </c>
      <c r="P395" s="227">
        <f t="shared" si="10"/>
        <v>1258.5194009704319</v>
      </c>
      <c r="Q395" s="107">
        <v>61.54</v>
      </c>
      <c r="R395" s="107">
        <v>0</v>
      </c>
      <c r="S395" s="231"/>
      <c r="T395" s="236"/>
      <c r="U395" s="236"/>
    </row>
    <row r="396" spans="1:21" ht="72" x14ac:dyDescent="0.3">
      <c r="A396" s="117">
        <v>394</v>
      </c>
      <c r="B396" s="131">
        <v>1251</v>
      </c>
      <c r="C396" s="111">
        <v>2</v>
      </c>
      <c r="D396" s="111">
        <v>1</v>
      </c>
      <c r="E396" s="118" t="s">
        <v>1163</v>
      </c>
      <c r="F396" s="118" t="s">
        <v>191</v>
      </c>
      <c r="G396" s="119" t="s">
        <v>8</v>
      </c>
      <c r="H396" s="119" t="s">
        <v>864</v>
      </c>
      <c r="I396" s="117" t="s">
        <v>1073</v>
      </c>
      <c r="J396" s="117" t="s">
        <v>1083</v>
      </c>
      <c r="K396" s="117" t="s">
        <v>1067</v>
      </c>
      <c r="L396" s="117" t="s">
        <v>1150</v>
      </c>
      <c r="M396" s="111"/>
      <c r="N396" s="122">
        <v>10042014</v>
      </c>
      <c r="O396" s="140">
        <v>2461.4499999999998</v>
      </c>
      <c r="P396" s="227">
        <f t="shared" si="10"/>
        <v>1258.5194009704319</v>
      </c>
      <c r="Q396" s="107">
        <v>61.54</v>
      </c>
      <c r="R396" s="107">
        <v>0</v>
      </c>
      <c r="S396" s="231"/>
      <c r="T396" s="236"/>
      <c r="U396" s="236"/>
    </row>
    <row r="397" spans="1:21" ht="72" x14ac:dyDescent="0.3">
      <c r="A397" s="117">
        <v>395</v>
      </c>
      <c r="B397" s="131">
        <v>1252</v>
      </c>
      <c r="C397" s="111">
        <v>2</v>
      </c>
      <c r="D397" s="111">
        <v>1</v>
      </c>
      <c r="E397" s="118" t="s">
        <v>1163</v>
      </c>
      <c r="F397" s="118" t="s">
        <v>191</v>
      </c>
      <c r="G397" s="119" t="s">
        <v>8</v>
      </c>
      <c r="H397" s="119" t="s">
        <v>864</v>
      </c>
      <c r="I397" s="117" t="s">
        <v>1073</v>
      </c>
      <c r="J397" s="117" t="s">
        <v>1083</v>
      </c>
      <c r="K397" s="117" t="s">
        <v>1052</v>
      </c>
      <c r="L397" s="117" t="s">
        <v>1150</v>
      </c>
      <c r="M397" s="111"/>
      <c r="N397" s="122">
        <v>10042014</v>
      </c>
      <c r="O397" s="140">
        <v>2461.4499999999998</v>
      </c>
      <c r="P397" s="227">
        <f t="shared" si="10"/>
        <v>1258.5194009704319</v>
      </c>
      <c r="Q397" s="107">
        <v>61.54</v>
      </c>
      <c r="R397" s="107">
        <v>0</v>
      </c>
      <c r="S397" s="231"/>
      <c r="T397" s="236"/>
      <c r="U397" s="236"/>
    </row>
    <row r="398" spans="1:21" ht="72" x14ac:dyDescent="0.3">
      <c r="A398" s="117">
        <v>396</v>
      </c>
      <c r="B398" s="131">
        <v>1253</v>
      </c>
      <c r="C398" s="111">
        <v>2</v>
      </c>
      <c r="D398" s="111">
        <v>1</v>
      </c>
      <c r="E398" s="118" t="s">
        <v>1163</v>
      </c>
      <c r="F398" s="118" t="s">
        <v>191</v>
      </c>
      <c r="G398" s="119" t="s">
        <v>8</v>
      </c>
      <c r="H398" s="119" t="s">
        <v>864</v>
      </c>
      <c r="I398" s="117" t="s">
        <v>1073</v>
      </c>
      <c r="J398" s="117" t="s">
        <v>1083</v>
      </c>
      <c r="K398" s="117" t="s">
        <v>1052</v>
      </c>
      <c r="L398" s="117" t="s">
        <v>1150</v>
      </c>
      <c r="M398" s="111"/>
      <c r="N398" s="122">
        <v>10042014</v>
      </c>
      <c r="O398" s="140">
        <v>2461.4499999999998</v>
      </c>
      <c r="P398" s="227">
        <f t="shared" si="10"/>
        <v>1258.5194009704319</v>
      </c>
      <c r="Q398" s="107">
        <v>61.54</v>
      </c>
      <c r="R398" s="107">
        <v>0</v>
      </c>
      <c r="S398" s="231"/>
      <c r="T398" s="236"/>
      <c r="U398" s="236"/>
    </row>
    <row r="399" spans="1:21" ht="72" x14ac:dyDescent="0.3">
      <c r="A399" s="117">
        <v>397</v>
      </c>
      <c r="B399" s="131">
        <v>1254</v>
      </c>
      <c r="C399" s="111">
        <v>1</v>
      </c>
      <c r="D399" s="111">
        <v>1</v>
      </c>
      <c r="E399" s="118" t="s">
        <v>1163</v>
      </c>
      <c r="F399" s="118" t="s">
        <v>190</v>
      </c>
      <c r="G399" s="119" t="s">
        <v>23</v>
      </c>
      <c r="H399" s="119" t="s">
        <v>866</v>
      </c>
      <c r="I399" s="117"/>
      <c r="J399" s="117"/>
      <c r="K399" s="117" t="s">
        <v>1061</v>
      </c>
      <c r="L399" s="117" t="s">
        <v>1150</v>
      </c>
      <c r="M399" s="111"/>
      <c r="N399" s="122">
        <v>10042014</v>
      </c>
      <c r="O399" s="140">
        <v>1554.88</v>
      </c>
      <c r="P399" s="227">
        <f t="shared" si="10"/>
        <v>794.99752023437622</v>
      </c>
      <c r="Q399" s="107">
        <v>38.869999999999997</v>
      </c>
      <c r="R399" s="107">
        <v>0</v>
      </c>
      <c r="S399" s="231"/>
      <c r="T399" s="236"/>
      <c r="U399" s="236"/>
    </row>
    <row r="400" spans="1:21" ht="72" x14ac:dyDescent="0.3">
      <c r="A400" s="117">
        <v>398</v>
      </c>
      <c r="B400" s="131">
        <v>1256</v>
      </c>
      <c r="C400" s="111">
        <v>1</v>
      </c>
      <c r="D400" s="111">
        <v>1</v>
      </c>
      <c r="E400" s="118" t="s">
        <v>1163</v>
      </c>
      <c r="F400" s="118" t="s">
        <v>190</v>
      </c>
      <c r="G400" s="119" t="s">
        <v>23</v>
      </c>
      <c r="H400" s="117" t="s">
        <v>866</v>
      </c>
      <c r="I400" s="117"/>
      <c r="J400" s="117"/>
      <c r="K400" s="117" t="s">
        <v>1063</v>
      </c>
      <c r="L400" s="117" t="s">
        <v>1149</v>
      </c>
      <c r="M400" s="111"/>
      <c r="N400" s="122">
        <v>10042014</v>
      </c>
      <c r="O400" s="140">
        <v>1554.88</v>
      </c>
      <c r="P400" s="227">
        <f t="shared" si="10"/>
        <v>794.99752023437622</v>
      </c>
      <c r="Q400" s="107">
        <v>38.869999999999997</v>
      </c>
      <c r="R400" s="107">
        <v>0</v>
      </c>
      <c r="S400" s="231">
        <v>205</v>
      </c>
      <c r="T400" s="236"/>
      <c r="U400" s="236"/>
    </row>
    <row r="401" spans="1:21" ht="72" x14ac:dyDescent="0.3">
      <c r="A401" s="117">
        <v>399</v>
      </c>
      <c r="B401" s="131">
        <v>1257</v>
      </c>
      <c r="C401" s="111">
        <v>1</v>
      </c>
      <c r="D401" s="111">
        <v>1</v>
      </c>
      <c r="E401" s="118" t="s">
        <v>1163</v>
      </c>
      <c r="F401" s="118" t="s">
        <v>190</v>
      </c>
      <c r="G401" s="119" t="s">
        <v>23</v>
      </c>
      <c r="H401" s="117" t="s">
        <v>866</v>
      </c>
      <c r="I401" s="117"/>
      <c r="J401" s="117"/>
      <c r="K401" s="117" t="s">
        <v>1063</v>
      </c>
      <c r="L401" s="117" t="s">
        <v>1149</v>
      </c>
      <c r="M401" s="111"/>
      <c r="N401" s="122">
        <v>10042014</v>
      </c>
      <c r="O401" s="140">
        <v>1554.88</v>
      </c>
      <c r="P401" s="227">
        <f t="shared" si="10"/>
        <v>794.99752023437622</v>
      </c>
      <c r="Q401" s="107">
        <v>38.869999999999997</v>
      </c>
      <c r="R401" s="107">
        <v>0</v>
      </c>
      <c r="S401" s="231">
        <v>205</v>
      </c>
      <c r="T401" s="236"/>
      <c r="U401" s="236"/>
    </row>
    <row r="402" spans="1:21" ht="72" x14ac:dyDescent="0.3">
      <c r="A402" s="117">
        <v>400</v>
      </c>
      <c r="B402" s="131">
        <v>1258</v>
      </c>
      <c r="C402" s="111">
        <v>1</v>
      </c>
      <c r="D402" s="111">
        <v>1</v>
      </c>
      <c r="E402" s="118" t="s">
        <v>1163</v>
      </c>
      <c r="F402" s="118" t="s">
        <v>190</v>
      </c>
      <c r="G402" s="119" t="s">
        <v>23</v>
      </c>
      <c r="H402" s="117" t="s">
        <v>866</v>
      </c>
      <c r="I402" s="117"/>
      <c r="J402" s="117"/>
      <c r="K402" s="117" t="s">
        <v>1066</v>
      </c>
      <c r="L402" s="117" t="s">
        <v>1149</v>
      </c>
      <c r="M402" s="111"/>
      <c r="N402" s="122">
        <v>10042014</v>
      </c>
      <c r="O402" s="140">
        <v>1554.88</v>
      </c>
      <c r="P402" s="227">
        <f t="shared" si="10"/>
        <v>794.99752023437622</v>
      </c>
      <c r="Q402" s="107">
        <v>38.869999999999997</v>
      </c>
      <c r="R402" s="107">
        <v>0</v>
      </c>
      <c r="S402" s="231">
        <v>205</v>
      </c>
      <c r="T402" s="236"/>
      <c r="U402" s="236"/>
    </row>
    <row r="403" spans="1:21" ht="72" x14ac:dyDescent="0.3">
      <c r="A403" s="117">
        <v>401</v>
      </c>
      <c r="B403" s="131">
        <v>1259</v>
      </c>
      <c r="C403" s="111">
        <v>1</v>
      </c>
      <c r="D403" s="111">
        <v>1</v>
      </c>
      <c r="E403" s="118" t="s">
        <v>1163</v>
      </c>
      <c r="F403" s="118" t="s">
        <v>190</v>
      </c>
      <c r="G403" s="119" t="s">
        <v>23</v>
      </c>
      <c r="H403" s="117" t="s">
        <v>866</v>
      </c>
      <c r="I403" s="117"/>
      <c r="J403" s="117"/>
      <c r="K403" s="117" t="s">
        <v>1063</v>
      </c>
      <c r="L403" s="117" t="s">
        <v>1149</v>
      </c>
      <c r="M403" s="111"/>
      <c r="N403" s="122">
        <v>10042014</v>
      </c>
      <c r="O403" s="140">
        <v>1554.88</v>
      </c>
      <c r="P403" s="227">
        <f t="shared" si="10"/>
        <v>794.99752023437622</v>
      </c>
      <c r="Q403" s="107">
        <v>38.869999999999997</v>
      </c>
      <c r="R403" s="107">
        <v>0</v>
      </c>
      <c r="S403" s="231">
        <v>205</v>
      </c>
      <c r="T403" s="236"/>
      <c r="U403" s="236"/>
    </row>
    <row r="404" spans="1:21" ht="72" x14ac:dyDescent="0.3">
      <c r="A404" s="117">
        <v>402</v>
      </c>
      <c r="B404" s="131">
        <v>1260</v>
      </c>
      <c r="C404" s="111">
        <v>1</v>
      </c>
      <c r="D404" s="111">
        <v>1</v>
      </c>
      <c r="E404" s="118" t="s">
        <v>1163</v>
      </c>
      <c r="F404" s="118" t="s">
        <v>190</v>
      </c>
      <c r="G404" s="119" t="s">
        <v>23</v>
      </c>
      <c r="H404" s="117" t="s">
        <v>866</v>
      </c>
      <c r="I404" s="117"/>
      <c r="J404" s="117"/>
      <c r="K404" s="117" t="s">
        <v>1063</v>
      </c>
      <c r="L404" s="117" t="s">
        <v>1149</v>
      </c>
      <c r="M404" s="111"/>
      <c r="N404" s="122">
        <v>10042014</v>
      </c>
      <c r="O404" s="140">
        <v>1554.88</v>
      </c>
      <c r="P404" s="227">
        <f t="shared" si="10"/>
        <v>794.99752023437622</v>
      </c>
      <c r="Q404" s="107">
        <v>38.869999999999997</v>
      </c>
      <c r="R404" s="107">
        <v>0</v>
      </c>
      <c r="S404" s="231">
        <v>205</v>
      </c>
      <c r="T404" s="236"/>
      <c r="U404" s="236"/>
    </row>
    <row r="405" spans="1:21" ht="72" x14ac:dyDescent="0.3">
      <c r="A405" s="117">
        <v>403</v>
      </c>
      <c r="B405" s="131">
        <v>1261</v>
      </c>
      <c r="C405" s="111">
        <v>1</v>
      </c>
      <c r="D405" s="111">
        <v>1</v>
      </c>
      <c r="E405" s="118" t="s">
        <v>1163</v>
      </c>
      <c r="F405" s="118" t="s">
        <v>190</v>
      </c>
      <c r="G405" s="119" t="s">
        <v>23</v>
      </c>
      <c r="H405" s="117" t="s">
        <v>866</v>
      </c>
      <c r="I405" s="117"/>
      <c r="J405" s="117"/>
      <c r="K405" s="117" t="s">
        <v>1059</v>
      </c>
      <c r="L405" s="117" t="s">
        <v>1150</v>
      </c>
      <c r="M405" s="111"/>
      <c r="N405" s="122">
        <v>10042014</v>
      </c>
      <c r="O405" s="140">
        <v>1554.88</v>
      </c>
      <c r="P405" s="227">
        <f t="shared" si="10"/>
        <v>794.99752023437622</v>
      </c>
      <c r="Q405" s="107">
        <v>38.869999999999997</v>
      </c>
      <c r="R405" s="107">
        <v>0</v>
      </c>
      <c r="S405" s="231"/>
      <c r="T405" s="236"/>
      <c r="U405" s="236"/>
    </row>
    <row r="406" spans="1:21" ht="72" x14ac:dyDescent="0.3">
      <c r="A406" s="117">
        <v>404</v>
      </c>
      <c r="B406" s="131">
        <v>1262</v>
      </c>
      <c r="C406" s="111">
        <v>1</v>
      </c>
      <c r="D406" s="111">
        <v>1</v>
      </c>
      <c r="E406" s="118" t="s">
        <v>1163</v>
      </c>
      <c r="F406" s="118" t="s">
        <v>190</v>
      </c>
      <c r="G406" s="119" t="s">
        <v>23</v>
      </c>
      <c r="H406" s="117" t="s">
        <v>866</v>
      </c>
      <c r="I406" s="117"/>
      <c r="J406" s="117"/>
      <c r="K406" s="117" t="s">
        <v>1063</v>
      </c>
      <c r="L406" s="117" t="s">
        <v>1149</v>
      </c>
      <c r="M406" s="111"/>
      <c r="N406" s="122">
        <v>10042014</v>
      </c>
      <c r="O406" s="140">
        <v>1554.88</v>
      </c>
      <c r="P406" s="227">
        <f t="shared" si="10"/>
        <v>794.99752023437622</v>
      </c>
      <c r="Q406" s="107">
        <v>38.869999999999997</v>
      </c>
      <c r="R406" s="107">
        <v>0</v>
      </c>
      <c r="S406" s="231">
        <v>205</v>
      </c>
      <c r="T406" s="236"/>
      <c r="U406" s="236"/>
    </row>
    <row r="407" spans="1:21" ht="72" x14ac:dyDescent="0.3">
      <c r="A407" s="117">
        <v>405</v>
      </c>
      <c r="B407" s="131">
        <v>1263</v>
      </c>
      <c r="C407" s="111">
        <v>1</v>
      </c>
      <c r="D407" s="111">
        <v>1</v>
      </c>
      <c r="E407" s="118" t="s">
        <v>1163</v>
      </c>
      <c r="F407" s="118" t="s">
        <v>190</v>
      </c>
      <c r="G407" s="119" t="s">
        <v>23</v>
      </c>
      <c r="H407" s="117" t="s">
        <v>866</v>
      </c>
      <c r="I407" s="117"/>
      <c r="J407" s="117"/>
      <c r="K407" s="117" t="s">
        <v>1059</v>
      </c>
      <c r="L407" s="117" t="s">
        <v>1150</v>
      </c>
      <c r="M407" s="111"/>
      <c r="N407" s="122">
        <v>10042014</v>
      </c>
      <c r="O407" s="140">
        <v>1554.88</v>
      </c>
      <c r="P407" s="227">
        <f t="shared" si="10"/>
        <v>794.99752023437622</v>
      </c>
      <c r="Q407" s="107">
        <v>38.869999999999997</v>
      </c>
      <c r="R407" s="107">
        <v>0</v>
      </c>
      <c r="S407" s="231"/>
      <c r="T407" s="236"/>
      <c r="U407" s="236"/>
    </row>
    <row r="408" spans="1:21" ht="72" x14ac:dyDescent="0.3">
      <c r="A408" s="117">
        <v>406</v>
      </c>
      <c r="B408" s="131">
        <v>1264</v>
      </c>
      <c r="C408" s="111">
        <v>1</v>
      </c>
      <c r="D408" s="111">
        <v>1</v>
      </c>
      <c r="E408" s="118" t="s">
        <v>1163</v>
      </c>
      <c r="F408" s="118" t="s">
        <v>190</v>
      </c>
      <c r="G408" s="119" t="s">
        <v>23</v>
      </c>
      <c r="H408" s="117" t="s">
        <v>866</v>
      </c>
      <c r="I408" s="117"/>
      <c r="J408" s="117"/>
      <c r="K408" s="117" t="s">
        <v>11</v>
      </c>
      <c r="L408" s="117" t="s">
        <v>1149</v>
      </c>
      <c r="M408" s="111"/>
      <c r="N408" s="122">
        <v>10042014</v>
      </c>
      <c r="O408" s="140">
        <v>1554.88</v>
      </c>
      <c r="P408" s="227">
        <f t="shared" si="10"/>
        <v>794.99752023437622</v>
      </c>
      <c r="Q408" s="107">
        <v>38.869999999999997</v>
      </c>
      <c r="R408" s="107">
        <v>0</v>
      </c>
      <c r="S408" s="231">
        <v>205</v>
      </c>
      <c r="T408" s="236"/>
      <c r="U408" s="236"/>
    </row>
    <row r="409" spans="1:21" ht="72" x14ac:dyDescent="0.3">
      <c r="A409" s="117">
        <v>407</v>
      </c>
      <c r="B409" s="131">
        <v>1265</v>
      </c>
      <c r="C409" s="111">
        <v>1</v>
      </c>
      <c r="D409" s="111">
        <v>1</v>
      </c>
      <c r="E409" s="118" t="s">
        <v>1163</v>
      </c>
      <c r="F409" s="118" t="s">
        <v>190</v>
      </c>
      <c r="G409" s="119" t="s">
        <v>23</v>
      </c>
      <c r="H409" s="117" t="s">
        <v>866</v>
      </c>
      <c r="I409" s="117"/>
      <c r="J409" s="117"/>
      <c r="K409" s="117" t="s">
        <v>1067</v>
      </c>
      <c r="L409" s="117" t="s">
        <v>1150</v>
      </c>
      <c r="M409" s="111"/>
      <c r="N409" s="122">
        <v>10042014</v>
      </c>
      <c r="O409" s="140">
        <v>1554.88</v>
      </c>
      <c r="P409" s="227">
        <f t="shared" si="10"/>
        <v>794.99752023437622</v>
      </c>
      <c r="Q409" s="107">
        <v>38.869999999999997</v>
      </c>
      <c r="R409" s="107">
        <v>0</v>
      </c>
      <c r="S409" s="231"/>
      <c r="T409" s="236"/>
      <c r="U409" s="236"/>
    </row>
    <row r="410" spans="1:21" ht="72" x14ac:dyDescent="0.3">
      <c r="A410" s="117">
        <v>408</v>
      </c>
      <c r="B410" s="131">
        <v>1267</v>
      </c>
      <c r="C410" s="111">
        <v>1</v>
      </c>
      <c r="D410" s="111">
        <v>1</v>
      </c>
      <c r="E410" s="118" t="s">
        <v>1163</v>
      </c>
      <c r="F410" s="118" t="s">
        <v>190</v>
      </c>
      <c r="G410" s="119" t="s">
        <v>23</v>
      </c>
      <c r="H410" s="117" t="s">
        <v>866</v>
      </c>
      <c r="I410" s="117"/>
      <c r="J410" s="117"/>
      <c r="K410" s="117" t="s">
        <v>1066</v>
      </c>
      <c r="L410" s="117" t="s">
        <v>1149</v>
      </c>
      <c r="M410" s="111"/>
      <c r="N410" s="122">
        <v>10042014</v>
      </c>
      <c r="O410" s="140">
        <v>1554.88</v>
      </c>
      <c r="P410" s="227">
        <f t="shared" si="10"/>
        <v>794.99752023437622</v>
      </c>
      <c r="Q410" s="107">
        <v>38.869999999999997</v>
      </c>
      <c r="R410" s="107">
        <v>0</v>
      </c>
      <c r="S410" s="231">
        <v>205</v>
      </c>
      <c r="T410" s="236"/>
      <c r="U410" s="236"/>
    </row>
    <row r="411" spans="1:21" ht="72" x14ac:dyDescent="0.3">
      <c r="A411" s="117">
        <v>409</v>
      </c>
      <c r="B411" s="131">
        <v>1268</v>
      </c>
      <c r="C411" s="111">
        <v>1</v>
      </c>
      <c r="D411" s="111">
        <v>1</v>
      </c>
      <c r="E411" s="118" t="s">
        <v>1163</v>
      </c>
      <c r="F411" s="118" t="s">
        <v>190</v>
      </c>
      <c r="G411" s="119" t="s">
        <v>23</v>
      </c>
      <c r="H411" s="117" t="s">
        <v>866</v>
      </c>
      <c r="I411" s="117"/>
      <c r="J411" s="117"/>
      <c r="K411" s="117" t="s">
        <v>1063</v>
      </c>
      <c r="L411" s="117" t="s">
        <v>1149</v>
      </c>
      <c r="M411" s="111"/>
      <c r="N411" s="122">
        <v>10042014</v>
      </c>
      <c r="O411" s="140">
        <v>1554.88</v>
      </c>
      <c r="P411" s="227">
        <f t="shared" si="10"/>
        <v>794.99752023437622</v>
      </c>
      <c r="Q411" s="107">
        <v>38.869999999999997</v>
      </c>
      <c r="R411" s="107">
        <v>0</v>
      </c>
      <c r="S411" s="231">
        <v>205</v>
      </c>
      <c r="T411" s="236"/>
      <c r="U411" s="236"/>
    </row>
    <row r="412" spans="1:21" ht="72" x14ac:dyDescent="0.3">
      <c r="A412" s="117">
        <v>410</v>
      </c>
      <c r="B412" s="131">
        <v>1269</v>
      </c>
      <c r="C412" s="111">
        <v>1</v>
      </c>
      <c r="D412" s="111">
        <v>1</v>
      </c>
      <c r="E412" s="118" t="s">
        <v>1163</v>
      </c>
      <c r="F412" s="118" t="s">
        <v>190</v>
      </c>
      <c r="G412" s="119" t="s">
        <v>23</v>
      </c>
      <c r="H412" s="117" t="s">
        <v>866</v>
      </c>
      <c r="I412" s="117"/>
      <c r="J412" s="117"/>
      <c r="K412" s="117" t="s">
        <v>1063</v>
      </c>
      <c r="L412" s="117" t="s">
        <v>1149</v>
      </c>
      <c r="M412" s="111"/>
      <c r="N412" s="122">
        <v>10042014</v>
      </c>
      <c r="O412" s="140">
        <v>1554.88</v>
      </c>
      <c r="P412" s="227">
        <f t="shared" si="10"/>
        <v>794.99752023437622</v>
      </c>
      <c r="Q412" s="107">
        <v>38.869999999999997</v>
      </c>
      <c r="R412" s="107">
        <v>0</v>
      </c>
      <c r="S412" s="231">
        <v>205</v>
      </c>
      <c r="T412" s="236"/>
      <c r="U412" s="236"/>
    </row>
    <row r="413" spans="1:21" ht="72" x14ac:dyDescent="0.3">
      <c r="A413" s="117">
        <v>411</v>
      </c>
      <c r="B413" s="131">
        <v>1270</v>
      </c>
      <c r="C413" s="111">
        <v>1</v>
      </c>
      <c r="D413" s="111">
        <v>1</v>
      </c>
      <c r="E413" s="118" t="s">
        <v>1163</v>
      </c>
      <c r="F413" s="118" t="s">
        <v>190</v>
      </c>
      <c r="G413" s="119" t="s">
        <v>23</v>
      </c>
      <c r="H413" s="117" t="s">
        <v>866</v>
      </c>
      <c r="I413" s="117"/>
      <c r="J413" s="117"/>
      <c r="K413" s="117" t="s">
        <v>1066</v>
      </c>
      <c r="L413" s="117" t="s">
        <v>1149</v>
      </c>
      <c r="M413" s="111"/>
      <c r="N413" s="122">
        <v>10042014</v>
      </c>
      <c r="O413" s="140">
        <v>1554.88</v>
      </c>
      <c r="P413" s="227">
        <f t="shared" si="10"/>
        <v>794.99752023437622</v>
      </c>
      <c r="Q413" s="107">
        <v>38.869999999999997</v>
      </c>
      <c r="R413" s="107">
        <v>0</v>
      </c>
      <c r="S413" s="231">
        <v>205</v>
      </c>
      <c r="T413" s="236"/>
      <c r="U413" s="236"/>
    </row>
    <row r="414" spans="1:21" ht="72" x14ac:dyDescent="0.3">
      <c r="A414" s="117">
        <v>412</v>
      </c>
      <c r="B414" s="131">
        <v>1271</v>
      </c>
      <c r="C414" s="111">
        <v>1</v>
      </c>
      <c r="D414" s="111">
        <v>1</v>
      </c>
      <c r="E414" s="118" t="s">
        <v>1163</v>
      </c>
      <c r="F414" s="118" t="s">
        <v>190</v>
      </c>
      <c r="G414" s="119" t="s">
        <v>23</v>
      </c>
      <c r="H414" s="117" t="s">
        <v>866</v>
      </c>
      <c r="I414" s="117"/>
      <c r="J414" s="117"/>
      <c r="K414" s="117" t="s">
        <v>1061</v>
      </c>
      <c r="L414" s="117" t="s">
        <v>1150</v>
      </c>
      <c r="M414" s="111"/>
      <c r="N414" s="122">
        <v>10042014</v>
      </c>
      <c r="O414" s="140">
        <v>1554.88</v>
      </c>
      <c r="P414" s="227">
        <f t="shared" si="10"/>
        <v>794.99752023437622</v>
      </c>
      <c r="Q414" s="107">
        <v>38.869999999999997</v>
      </c>
      <c r="R414" s="107">
        <v>0</v>
      </c>
      <c r="S414" s="231"/>
      <c r="T414" s="236"/>
      <c r="U414" s="236"/>
    </row>
    <row r="415" spans="1:21" ht="72" x14ac:dyDescent="0.3">
      <c r="A415" s="117">
        <v>413</v>
      </c>
      <c r="B415" s="131">
        <v>1272</v>
      </c>
      <c r="C415" s="111">
        <v>1</v>
      </c>
      <c r="D415" s="111">
        <v>1</v>
      </c>
      <c r="E415" s="118" t="s">
        <v>1163</v>
      </c>
      <c r="F415" s="118" t="s">
        <v>190</v>
      </c>
      <c r="G415" s="119" t="s">
        <v>23</v>
      </c>
      <c r="H415" s="117" t="s">
        <v>866</v>
      </c>
      <c r="I415" s="117"/>
      <c r="J415" s="117"/>
      <c r="K415" s="117" t="s">
        <v>1052</v>
      </c>
      <c r="L415" s="117" t="s">
        <v>1150</v>
      </c>
      <c r="M415" s="111"/>
      <c r="N415" s="122">
        <v>10042014</v>
      </c>
      <c r="O415" s="140">
        <v>1554.88</v>
      </c>
      <c r="P415" s="227">
        <f t="shared" si="10"/>
        <v>794.99752023437622</v>
      </c>
      <c r="Q415" s="107">
        <v>38.869999999999997</v>
      </c>
      <c r="R415" s="107">
        <v>0</v>
      </c>
      <c r="S415" s="231"/>
      <c r="T415" s="236"/>
      <c r="U415" s="236"/>
    </row>
    <row r="416" spans="1:21" ht="72" x14ac:dyDescent="0.3">
      <c r="A416" s="117">
        <v>414</v>
      </c>
      <c r="B416" s="131">
        <v>1273</v>
      </c>
      <c r="C416" s="111">
        <v>1</v>
      </c>
      <c r="D416" s="111">
        <v>1</v>
      </c>
      <c r="E416" s="118" t="s">
        <v>1163</v>
      </c>
      <c r="F416" s="118" t="s">
        <v>190</v>
      </c>
      <c r="G416" s="119" t="s">
        <v>23</v>
      </c>
      <c r="H416" s="117" t="s">
        <v>866</v>
      </c>
      <c r="I416" s="117"/>
      <c r="J416" s="117"/>
      <c r="K416" s="117" t="s">
        <v>1063</v>
      </c>
      <c r="L416" s="117" t="s">
        <v>1149</v>
      </c>
      <c r="M416" s="111"/>
      <c r="N416" s="122">
        <v>10042014</v>
      </c>
      <c r="O416" s="140">
        <v>1554.88</v>
      </c>
      <c r="P416" s="227">
        <f t="shared" si="10"/>
        <v>794.99752023437622</v>
      </c>
      <c r="Q416" s="107">
        <v>38.869999999999997</v>
      </c>
      <c r="R416" s="107">
        <v>0</v>
      </c>
      <c r="S416" s="231">
        <v>205</v>
      </c>
      <c r="T416" s="236"/>
      <c r="U416" s="236"/>
    </row>
    <row r="417" spans="1:21" ht="72" x14ac:dyDescent="0.3">
      <c r="A417" s="117">
        <v>415</v>
      </c>
      <c r="B417" s="131">
        <v>1274</v>
      </c>
      <c r="C417" s="111">
        <v>8</v>
      </c>
      <c r="D417" s="111">
        <v>2</v>
      </c>
      <c r="E417" s="118" t="s">
        <v>1151</v>
      </c>
      <c r="F417" s="118" t="s">
        <v>194</v>
      </c>
      <c r="G417" s="119" t="s">
        <v>24</v>
      </c>
      <c r="H417" s="117" t="s">
        <v>756</v>
      </c>
      <c r="I417" s="117" t="s">
        <v>1087</v>
      </c>
      <c r="J417" s="117" t="s">
        <v>1229</v>
      </c>
      <c r="K417" s="117" t="s">
        <v>1066</v>
      </c>
      <c r="L417" s="117" t="s">
        <v>1149</v>
      </c>
      <c r="M417" s="111"/>
      <c r="N417" s="122">
        <v>10042014</v>
      </c>
      <c r="O417" s="140">
        <v>10000.16</v>
      </c>
      <c r="P417" s="227">
        <f t="shared" si="10"/>
        <v>5113.0006186631763</v>
      </c>
      <c r="Q417" s="107">
        <v>250</v>
      </c>
      <c r="R417" s="107">
        <v>0</v>
      </c>
      <c r="S417" s="231">
        <f>P417*0.4</f>
        <v>2045.2002474652706</v>
      </c>
      <c r="T417" s="236"/>
      <c r="U417" s="236"/>
    </row>
    <row r="418" spans="1:21" ht="72" x14ac:dyDescent="0.3">
      <c r="A418" s="117">
        <v>416</v>
      </c>
      <c r="B418" s="131">
        <v>1275</v>
      </c>
      <c r="C418" s="111">
        <v>8</v>
      </c>
      <c r="D418" s="111">
        <v>2</v>
      </c>
      <c r="E418" s="118" t="s">
        <v>1151</v>
      </c>
      <c r="F418" s="118" t="s">
        <v>194</v>
      </c>
      <c r="G418" s="119" t="s">
        <v>24</v>
      </c>
      <c r="H418" s="117" t="s">
        <v>756</v>
      </c>
      <c r="I418" s="117" t="s">
        <v>1087</v>
      </c>
      <c r="J418" s="117" t="s">
        <v>1229</v>
      </c>
      <c r="K418" s="117" t="s">
        <v>1056</v>
      </c>
      <c r="L418" s="117" t="s">
        <v>1153</v>
      </c>
      <c r="M418" s="111"/>
      <c r="N418" s="122">
        <v>10042014</v>
      </c>
      <c r="O418" s="140">
        <v>10000.16</v>
      </c>
      <c r="P418" s="227">
        <f t="shared" si="10"/>
        <v>5113.0006186631763</v>
      </c>
      <c r="Q418" s="107">
        <v>250</v>
      </c>
      <c r="R418" s="107">
        <v>0</v>
      </c>
      <c r="S418" s="231"/>
      <c r="T418" s="236"/>
      <c r="U418" s="236"/>
    </row>
    <row r="419" spans="1:21" ht="72" x14ac:dyDescent="0.3">
      <c r="A419" s="117">
        <v>417</v>
      </c>
      <c r="B419" s="131">
        <v>1276</v>
      </c>
      <c r="C419" s="111">
        <v>1</v>
      </c>
      <c r="D419" s="111">
        <v>1</v>
      </c>
      <c r="E419" s="118" t="s">
        <v>1163</v>
      </c>
      <c r="F419" s="118" t="s">
        <v>190</v>
      </c>
      <c r="G419" s="119" t="s">
        <v>63</v>
      </c>
      <c r="H419" s="117" t="s">
        <v>867</v>
      </c>
      <c r="I419" s="117"/>
      <c r="J419" s="117" t="s">
        <v>1049</v>
      </c>
      <c r="K419" s="117" t="s">
        <v>1059</v>
      </c>
      <c r="L419" s="117" t="s">
        <v>1150</v>
      </c>
      <c r="M419" s="111"/>
      <c r="N419" s="122">
        <v>10042014</v>
      </c>
      <c r="O419" s="140">
        <v>4694</v>
      </c>
      <c r="P419" s="227">
        <f t="shared" si="10"/>
        <v>2400.0040903350496</v>
      </c>
      <c r="Q419" s="107">
        <v>117.35</v>
      </c>
      <c r="R419" s="107">
        <v>0</v>
      </c>
      <c r="S419" s="231"/>
      <c r="T419" s="236"/>
      <c r="U419" s="236"/>
    </row>
    <row r="420" spans="1:21" ht="72" x14ac:dyDescent="0.3">
      <c r="A420" s="117">
        <v>418</v>
      </c>
      <c r="B420" s="131">
        <v>1277</v>
      </c>
      <c r="C420" s="111">
        <v>1</v>
      </c>
      <c r="D420" s="111">
        <v>1</v>
      </c>
      <c r="E420" s="118" t="s">
        <v>1163</v>
      </c>
      <c r="F420" s="118" t="s">
        <v>190</v>
      </c>
      <c r="G420" s="119" t="s">
        <v>63</v>
      </c>
      <c r="H420" s="117" t="s">
        <v>867</v>
      </c>
      <c r="I420" s="117"/>
      <c r="J420" s="117" t="s">
        <v>1049</v>
      </c>
      <c r="K420" s="117" t="s">
        <v>1059</v>
      </c>
      <c r="L420" s="117" t="s">
        <v>1150</v>
      </c>
      <c r="M420" s="111"/>
      <c r="N420" s="122">
        <v>10042014</v>
      </c>
      <c r="O420" s="140">
        <v>4694</v>
      </c>
      <c r="P420" s="227">
        <f t="shared" si="10"/>
        <v>2400.0040903350496</v>
      </c>
      <c r="Q420" s="107">
        <v>117.35</v>
      </c>
      <c r="R420" s="107">
        <v>0</v>
      </c>
      <c r="S420" s="231"/>
      <c r="T420" s="236"/>
      <c r="U420" s="236"/>
    </row>
    <row r="421" spans="1:21" ht="72" x14ac:dyDescent="0.3">
      <c r="A421" s="117">
        <v>419</v>
      </c>
      <c r="B421" s="131">
        <v>1278</v>
      </c>
      <c r="C421" s="111">
        <v>1</v>
      </c>
      <c r="D421" s="111">
        <v>1</v>
      </c>
      <c r="E421" s="118" t="s">
        <v>1163</v>
      </c>
      <c r="F421" s="118" t="s">
        <v>190</v>
      </c>
      <c r="G421" s="119" t="s">
        <v>63</v>
      </c>
      <c r="H421" s="119" t="s">
        <v>867</v>
      </c>
      <c r="I421" s="117"/>
      <c r="J421" s="117" t="s">
        <v>1049</v>
      </c>
      <c r="K421" s="117" t="s">
        <v>1059</v>
      </c>
      <c r="L421" s="117" t="s">
        <v>1150</v>
      </c>
      <c r="M421" s="111"/>
      <c r="N421" s="122">
        <v>10042014</v>
      </c>
      <c r="O421" s="140">
        <v>4694</v>
      </c>
      <c r="P421" s="227">
        <f t="shared" si="10"/>
        <v>2400.0040903350496</v>
      </c>
      <c r="Q421" s="107">
        <v>117.35</v>
      </c>
      <c r="R421" s="107">
        <v>0</v>
      </c>
      <c r="S421" s="231"/>
      <c r="T421" s="236"/>
      <c r="U421" s="236"/>
    </row>
    <row r="422" spans="1:21" ht="72" x14ac:dyDescent="0.3">
      <c r="A422" s="117">
        <v>420</v>
      </c>
      <c r="B422" s="131">
        <v>1279</v>
      </c>
      <c r="C422" s="111">
        <v>1</v>
      </c>
      <c r="D422" s="111">
        <v>1</v>
      </c>
      <c r="E422" s="118" t="s">
        <v>1163</v>
      </c>
      <c r="F422" s="118" t="s">
        <v>190</v>
      </c>
      <c r="G422" s="119" t="s">
        <v>63</v>
      </c>
      <c r="H422" s="119" t="s">
        <v>867</v>
      </c>
      <c r="I422" s="117"/>
      <c r="J422" s="117" t="s">
        <v>1049</v>
      </c>
      <c r="K422" s="117" t="s">
        <v>1059</v>
      </c>
      <c r="L422" s="117" t="s">
        <v>1150</v>
      </c>
      <c r="M422" s="111"/>
      <c r="N422" s="122">
        <v>10042014</v>
      </c>
      <c r="O422" s="140">
        <v>4694</v>
      </c>
      <c r="P422" s="227">
        <f t="shared" si="10"/>
        <v>2400.0040903350496</v>
      </c>
      <c r="Q422" s="107">
        <v>117.35</v>
      </c>
      <c r="R422" s="107">
        <v>0</v>
      </c>
      <c r="S422" s="231"/>
      <c r="T422" s="236"/>
      <c r="U422" s="236"/>
    </row>
    <row r="423" spans="1:21" ht="72" x14ac:dyDescent="0.3">
      <c r="A423" s="117">
        <v>421</v>
      </c>
      <c r="B423" s="131">
        <v>1280</v>
      </c>
      <c r="C423" s="111">
        <v>1</v>
      </c>
      <c r="D423" s="111">
        <v>1</v>
      </c>
      <c r="E423" s="118" t="s">
        <v>1163</v>
      </c>
      <c r="F423" s="118" t="s">
        <v>190</v>
      </c>
      <c r="G423" s="119" t="s">
        <v>15</v>
      </c>
      <c r="H423" s="119" t="s">
        <v>868</v>
      </c>
      <c r="I423" s="117" t="s">
        <v>6</v>
      </c>
      <c r="J423" s="117" t="s">
        <v>1050</v>
      </c>
      <c r="K423" s="117" t="s">
        <v>1056</v>
      </c>
      <c r="L423" s="117" t="s">
        <v>1153</v>
      </c>
      <c r="M423" s="111"/>
      <c r="N423" s="122">
        <v>10042014</v>
      </c>
      <c r="O423" s="140">
        <v>9974.73</v>
      </c>
      <c r="P423" s="227">
        <f t="shared" si="10"/>
        <v>5099.9984661243561</v>
      </c>
      <c r="Q423" s="107">
        <v>249.37</v>
      </c>
      <c r="R423" s="107">
        <v>0</v>
      </c>
      <c r="S423" s="231"/>
      <c r="T423" s="236"/>
      <c r="U423" s="236"/>
    </row>
    <row r="424" spans="1:21" ht="72" x14ac:dyDescent="0.3">
      <c r="A424" s="117">
        <v>422</v>
      </c>
      <c r="B424" s="131">
        <v>1281</v>
      </c>
      <c r="C424" s="111">
        <v>1</v>
      </c>
      <c r="D424" s="111">
        <v>1</v>
      </c>
      <c r="E424" s="118" t="s">
        <v>1163</v>
      </c>
      <c r="F424" s="118" t="s">
        <v>190</v>
      </c>
      <c r="G424" s="119" t="s">
        <v>15</v>
      </c>
      <c r="H424" s="119" t="s">
        <v>868</v>
      </c>
      <c r="I424" s="117" t="s">
        <v>6</v>
      </c>
      <c r="J424" s="117" t="s">
        <v>1050</v>
      </c>
      <c r="K424" s="117" t="s">
        <v>1063</v>
      </c>
      <c r="L424" s="117" t="s">
        <v>1149</v>
      </c>
      <c r="M424" s="111"/>
      <c r="N424" s="122">
        <v>10042014</v>
      </c>
      <c r="O424" s="140">
        <v>9974.73</v>
      </c>
      <c r="P424" s="227">
        <f t="shared" si="10"/>
        <v>5099.9984661243561</v>
      </c>
      <c r="Q424" s="107">
        <v>249.37</v>
      </c>
      <c r="R424" s="107">
        <v>0</v>
      </c>
      <c r="S424" s="231">
        <f>P424*0.4</f>
        <v>2039.9993864497426</v>
      </c>
      <c r="T424" s="236"/>
      <c r="U424" s="236"/>
    </row>
    <row r="425" spans="1:21" ht="57.6" x14ac:dyDescent="0.3">
      <c r="A425" s="117">
        <v>423</v>
      </c>
      <c r="B425" s="131">
        <v>1282</v>
      </c>
      <c r="C425" s="111">
        <v>16</v>
      </c>
      <c r="D425" s="111">
        <v>4</v>
      </c>
      <c r="E425" s="118" t="s">
        <v>1353</v>
      </c>
      <c r="F425" s="118" t="s">
        <v>201</v>
      </c>
      <c r="G425" s="119" t="s">
        <v>1202</v>
      </c>
      <c r="H425" s="119" t="s">
        <v>869</v>
      </c>
      <c r="I425" s="117" t="s">
        <v>1171</v>
      </c>
      <c r="J425" s="117" t="s">
        <v>1196</v>
      </c>
      <c r="K425" s="117" t="s">
        <v>1052</v>
      </c>
      <c r="L425" s="117" t="s">
        <v>1150</v>
      </c>
      <c r="M425" s="111"/>
      <c r="N425" s="122">
        <v>10042014</v>
      </c>
      <c r="O425" s="140">
        <v>6271.05</v>
      </c>
      <c r="P425" s="227">
        <f t="shared" si="10"/>
        <v>3206.3369515755462</v>
      </c>
      <c r="Q425" s="107">
        <v>156.78</v>
      </c>
      <c r="R425" s="107">
        <v>0</v>
      </c>
      <c r="S425" s="231"/>
      <c r="T425" s="236"/>
      <c r="U425" s="236"/>
    </row>
    <row r="426" spans="1:21" ht="57.6" x14ac:dyDescent="0.3">
      <c r="A426" s="117">
        <v>424</v>
      </c>
      <c r="B426" s="131">
        <v>1283</v>
      </c>
      <c r="C426" s="111">
        <v>16</v>
      </c>
      <c r="D426" s="111">
        <v>4</v>
      </c>
      <c r="E426" s="118" t="s">
        <v>1353</v>
      </c>
      <c r="F426" s="118" t="s">
        <v>201</v>
      </c>
      <c r="G426" s="119" t="s">
        <v>1177</v>
      </c>
      <c r="H426" s="119" t="s">
        <v>870</v>
      </c>
      <c r="I426" s="117" t="s">
        <v>1060</v>
      </c>
      <c r="J426" s="117" t="s">
        <v>1176</v>
      </c>
      <c r="K426" s="117" t="s">
        <v>1056</v>
      </c>
      <c r="L426" s="117" t="s">
        <v>1153</v>
      </c>
      <c r="M426" s="111"/>
      <c r="N426" s="122">
        <v>10042014</v>
      </c>
      <c r="O426" s="140">
        <v>6271.05</v>
      </c>
      <c r="P426" s="227">
        <f t="shared" si="10"/>
        <v>3206.3369515755462</v>
      </c>
      <c r="Q426" s="107">
        <v>156.78</v>
      </c>
      <c r="R426" s="107">
        <v>0</v>
      </c>
      <c r="S426" s="231"/>
      <c r="T426" s="236"/>
      <c r="U426" s="236"/>
    </row>
    <row r="427" spans="1:21" ht="57.6" x14ac:dyDescent="0.3">
      <c r="A427" s="117">
        <v>425</v>
      </c>
      <c r="B427" s="131">
        <v>1284</v>
      </c>
      <c r="C427" s="111">
        <v>16</v>
      </c>
      <c r="D427" s="111">
        <v>4</v>
      </c>
      <c r="E427" s="118" t="s">
        <v>1353</v>
      </c>
      <c r="F427" s="118" t="s">
        <v>201</v>
      </c>
      <c r="G427" s="119" t="s">
        <v>1177</v>
      </c>
      <c r="H427" s="119" t="s">
        <v>871</v>
      </c>
      <c r="I427" s="117" t="s">
        <v>1060</v>
      </c>
      <c r="J427" s="117" t="s">
        <v>1176</v>
      </c>
      <c r="K427" s="117" t="s">
        <v>1059</v>
      </c>
      <c r="L427" s="117" t="s">
        <v>1150</v>
      </c>
      <c r="M427" s="111"/>
      <c r="N427" s="122">
        <v>10042014</v>
      </c>
      <c r="O427" s="140">
        <v>6271.05</v>
      </c>
      <c r="P427" s="227">
        <f t="shared" si="10"/>
        <v>3206.3369515755462</v>
      </c>
      <c r="Q427" s="107">
        <v>156.78</v>
      </c>
      <c r="R427" s="107">
        <v>0</v>
      </c>
      <c r="S427" s="231"/>
      <c r="T427" s="236"/>
      <c r="U427" s="236"/>
    </row>
    <row r="428" spans="1:21" ht="57.6" x14ac:dyDescent="0.3">
      <c r="A428" s="117">
        <v>426</v>
      </c>
      <c r="B428" s="131">
        <v>1285</v>
      </c>
      <c r="C428" s="111">
        <v>16</v>
      </c>
      <c r="D428" s="111">
        <v>4</v>
      </c>
      <c r="E428" s="118" t="s">
        <v>1353</v>
      </c>
      <c r="F428" s="118" t="s">
        <v>201</v>
      </c>
      <c r="G428" s="119" t="s">
        <v>1173</v>
      </c>
      <c r="H428" s="119" t="s">
        <v>872</v>
      </c>
      <c r="I428" s="117" t="s">
        <v>1171</v>
      </c>
      <c r="J428" s="117" t="s">
        <v>1176</v>
      </c>
      <c r="K428" s="117" t="s">
        <v>1059</v>
      </c>
      <c r="L428" s="117" t="s">
        <v>1150</v>
      </c>
      <c r="M428" s="111"/>
      <c r="N428" s="122">
        <v>10042014</v>
      </c>
      <c r="O428" s="140">
        <v>5693.43</v>
      </c>
      <c r="P428" s="227">
        <f t="shared" si="10"/>
        <v>2911.0045351589865</v>
      </c>
      <c r="Q428" s="107">
        <v>142.34</v>
      </c>
      <c r="R428" s="107">
        <v>0</v>
      </c>
      <c r="S428" s="231"/>
      <c r="T428" s="236"/>
      <c r="U428" s="236"/>
    </row>
    <row r="429" spans="1:21" ht="57.6" x14ac:dyDescent="0.3">
      <c r="A429" s="117">
        <v>427</v>
      </c>
      <c r="B429" s="131">
        <v>1286</v>
      </c>
      <c r="C429" s="111">
        <v>16</v>
      </c>
      <c r="D429" s="111">
        <v>4</v>
      </c>
      <c r="E429" s="118" t="s">
        <v>1353</v>
      </c>
      <c r="F429" s="118" t="s">
        <v>201</v>
      </c>
      <c r="G429" s="119" t="s">
        <v>1178</v>
      </c>
      <c r="H429" s="119" t="s">
        <v>873</v>
      </c>
      <c r="I429" s="117" t="s">
        <v>1060</v>
      </c>
      <c r="J429" s="117" t="s">
        <v>1196</v>
      </c>
      <c r="K429" s="117" t="s">
        <v>1052</v>
      </c>
      <c r="L429" s="117" t="s">
        <v>1150</v>
      </c>
      <c r="M429" s="111"/>
      <c r="N429" s="122">
        <v>10042014</v>
      </c>
      <c r="O429" s="140">
        <v>5693.43</v>
      </c>
      <c r="P429" s="227">
        <f t="shared" si="10"/>
        <v>2911.0045351589865</v>
      </c>
      <c r="Q429" s="107">
        <v>142.34</v>
      </c>
      <c r="R429" s="107">
        <v>0</v>
      </c>
      <c r="S429" s="231"/>
      <c r="T429" s="236"/>
      <c r="U429" s="236"/>
    </row>
    <row r="430" spans="1:21" ht="57.6" x14ac:dyDescent="0.3">
      <c r="A430" s="117">
        <v>428</v>
      </c>
      <c r="B430" s="131">
        <v>1287</v>
      </c>
      <c r="C430" s="111">
        <v>16</v>
      </c>
      <c r="D430" s="111">
        <v>4</v>
      </c>
      <c r="E430" s="118" t="s">
        <v>1353</v>
      </c>
      <c r="F430" s="118" t="s">
        <v>201</v>
      </c>
      <c r="G430" s="119" t="s">
        <v>1173</v>
      </c>
      <c r="H430" s="119" t="s">
        <v>872</v>
      </c>
      <c r="I430" s="117" t="s">
        <v>1171</v>
      </c>
      <c r="J430" s="117" t="s">
        <v>1176</v>
      </c>
      <c r="K430" s="117" t="s">
        <v>1059</v>
      </c>
      <c r="L430" s="117" t="s">
        <v>1150</v>
      </c>
      <c r="M430" s="111"/>
      <c r="N430" s="122">
        <v>10042014</v>
      </c>
      <c r="O430" s="140">
        <v>5693.43</v>
      </c>
      <c r="P430" s="227">
        <f t="shared" si="10"/>
        <v>2911.0045351589865</v>
      </c>
      <c r="Q430" s="107">
        <v>142.34</v>
      </c>
      <c r="R430" s="107">
        <v>0</v>
      </c>
      <c r="S430" s="231"/>
      <c r="T430" s="236"/>
      <c r="U430" s="236"/>
    </row>
    <row r="431" spans="1:21" ht="57.6" x14ac:dyDescent="0.3">
      <c r="A431" s="117">
        <v>429</v>
      </c>
      <c r="B431" s="131">
        <v>1288</v>
      </c>
      <c r="C431" s="111">
        <v>16</v>
      </c>
      <c r="D431" s="111">
        <v>4</v>
      </c>
      <c r="E431" s="118" t="s">
        <v>1353</v>
      </c>
      <c r="F431" s="118" t="s">
        <v>201</v>
      </c>
      <c r="G431" s="119" t="s">
        <v>1173</v>
      </c>
      <c r="H431" s="119" t="s">
        <v>872</v>
      </c>
      <c r="I431" s="117" t="s">
        <v>1171</v>
      </c>
      <c r="J431" s="117" t="s">
        <v>1176</v>
      </c>
      <c r="K431" s="117" t="s">
        <v>1059</v>
      </c>
      <c r="L431" s="117" t="s">
        <v>1150</v>
      </c>
      <c r="M431" s="111"/>
      <c r="N431" s="122">
        <v>10042014</v>
      </c>
      <c r="O431" s="140">
        <v>5693.43</v>
      </c>
      <c r="P431" s="227">
        <f t="shared" si="10"/>
        <v>2911.0045351589865</v>
      </c>
      <c r="Q431" s="107">
        <v>142.34</v>
      </c>
      <c r="R431" s="107">
        <v>0</v>
      </c>
      <c r="S431" s="231"/>
      <c r="T431" s="236"/>
      <c r="U431" s="236"/>
    </row>
    <row r="432" spans="1:21" ht="57.6" x14ac:dyDescent="0.3">
      <c r="A432" s="117">
        <v>430</v>
      </c>
      <c r="B432" s="131">
        <v>1289</v>
      </c>
      <c r="C432" s="111">
        <v>16</v>
      </c>
      <c r="D432" s="111">
        <v>4</v>
      </c>
      <c r="E432" s="118" t="s">
        <v>1353</v>
      </c>
      <c r="F432" s="118" t="s">
        <v>201</v>
      </c>
      <c r="G432" s="119" t="s">
        <v>379</v>
      </c>
      <c r="H432" s="119" t="s">
        <v>874</v>
      </c>
      <c r="I432" s="117" t="s">
        <v>1171</v>
      </c>
      <c r="J432" s="117" t="s">
        <v>1197</v>
      </c>
      <c r="K432" s="117" t="s">
        <v>1077</v>
      </c>
      <c r="L432" s="117" t="s">
        <v>1150</v>
      </c>
      <c r="M432" s="111"/>
      <c r="N432" s="122">
        <v>10042014</v>
      </c>
      <c r="O432" s="140">
        <v>5928.12</v>
      </c>
      <c r="P432" s="227">
        <f t="shared" si="10"/>
        <v>3030.9996267569268</v>
      </c>
      <c r="Q432" s="107">
        <v>148.19999999999999</v>
      </c>
      <c r="R432" s="107">
        <v>0</v>
      </c>
      <c r="S432" s="231"/>
      <c r="T432" s="236"/>
      <c r="U432" s="236"/>
    </row>
    <row r="433" spans="1:21" ht="57.6" x14ac:dyDescent="0.3">
      <c r="A433" s="117">
        <v>431</v>
      </c>
      <c r="B433" s="131">
        <v>1290</v>
      </c>
      <c r="C433" s="111">
        <v>16</v>
      </c>
      <c r="D433" s="111">
        <v>4</v>
      </c>
      <c r="E433" s="118" t="s">
        <v>1353</v>
      </c>
      <c r="F433" s="118" t="s">
        <v>201</v>
      </c>
      <c r="G433" s="119" t="s">
        <v>1188</v>
      </c>
      <c r="H433" s="119" t="s">
        <v>875</v>
      </c>
      <c r="I433" s="117" t="s">
        <v>1171</v>
      </c>
      <c r="J433" s="117" t="s">
        <v>1176</v>
      </c>
      <c r="K433" s="117" t="s">
        <v>1063</v>
      </c>
      <c r="L433" s="117" t="s">
        <v>1149</v>
      </c>
      <c r="M433" s="111"/>
      <c r="N433" s="122">
        <v>10042014</v>
      </c>
      <c r="O433" s="140">
        <v>5928.12</v>
      </c>
      <c r="P433" s="227">
        <f t="shared" si="10"/>
        <v>3030.9996267569268</v>
      </c>
      <c r="Q433" s="107">
        <v>148.19999999999999</v>
      </c>
      <c r="R433" s="107">
        <v>0</v>
      </c>
      <c r="S433" s="231">
        <f>P433*0.4</f>
        <v>1212.3998507027707</v>
      </c>
      <c r="T433" s="236"/>
      <c r="U433" s="236"/>
    </row>
    <row r="434" spans="1:21" ht="72" x14ac:dyDescent="0.3">
      <c r="A434" s="117">
        <v>432</v>
      </c>
      <c r="B434" s="131">
        <v>1291</v>
      </c>
      <c r="C434" s="111">
        <v>9</v>
      </c>
      <c r="D434" s="111">
        <v>2</v>
      </c>
      <c r="E434" s="118" t="s">
        <v>1151</v>
      </c>
      <c r="F434" s="118" t="s">
        <v>195</v>
      </c>
      <c r="G434" s="119" t="s">
        <v>12</v>
      </c>
      <c r="H434" s="119" t="s">
        <v>876</v>
      </c>
      <c r="I434" s="117" t="s">
        <v>1078</v>
      </c>
      <c r="J434" s="117" t="s">
        <v>1239</v>
      </c>
      <c r="K434" s="117" t="s">
        <v>1063</v>
      </c>
      <c r="L434" s="117" t="s">
        <v>1149</v>
      </c>
      <c r="M434" s="111"/>
      <c r="N434" s="122">
        <v>10042014</v>
      </c>
      <c r="O434" s="140">
        <v>12712.9</v>
      </c>
      <c r="P434" s="227">
        <f t="shared" si="10"/>
        <v>6500.0025564594062</v>
      </c>
      <c r="Q434" s="107">
        <v>317.82</v>
      </c>
      <c r="R434" s="107">
        <v>0</v>
      </c>
      <c r="S434" s="231">
        <f>P434*0.3</f>
        <v>1950.0007669378217</v>
      </c>
      <c r="T434" s="236"/>
      <c r="U434" s="236"/>
    </row>
    <row r="435" spans="1:21" ht="72" x14ac:dyDescent="0.3">
      <c r="A435" s="117">
        <v>433</v>
      </c>
      <c r="B435" s="131">
        <v>1292</v>
      </c>
      <c r="C435" s="111">
        <v>9</v>
      </c>
      <c r="D435" s="111">
        <v>2</v>
      </c>
      <c r="E435" s="118" t="s">
        <v>1151</v>
      </c>
      <c r="F435" s="118" t="s">
        <v>195</v>
      </c>
      <c r="G435" s="119" t="s">
        <v>64</v>
      </c>
      <c r="H435" s="119" t="s">
        <v>877</v>
      </c>
      <c r="I435" s="117" t="s">
        <v>1111</v>
      </c>
      <c r="J435" s="117" t="s">
        <v>1238</v>
      </c>
      <c r="K435" s="117" t="s">
        <v>1063</v>
      </c>
      <c r="L435" s="117" t="s">
        <v>1149</v>
      </c>
      <c r="M435" s="111"/>
      <c r="N435" s="122">
        <v>10042014</v>
      </c>
      <c r="O435" s="140">
        <v>12468.42</v>
      </c>
      <c r="P435" s="227">
        <f t="shared" si="10"/>
        <v>6375.0019173445544</v>
      </c>
      <c r="Q435" s="107">
        <v>311.70999999999998</v>
      </c>
      <c r="R435" s="107">
        <v>0</v>
      </c>
      <c r="S435" s="231">
        <f>P435*0.3</f>
        <v>1912.5005752033662</v>
      </c>
      <c r="T435" s="236"/>
      <c r="U435" s="236"/>
    </row>
    <row r="436" spans="1:21" ht="72" x14ac:dyDescent="0.3">
      <c r="A436" s="117">
        <v>434</v>
      </c>
      <c r="B436" s="131">
        <v>1293</v>
      </c>
      <c r="C436" s="111">
        <v>6</v>
      </c>
      <c r="D436" s="111">
        <v>2</v>
      </c>
      <c r="E436" s="118" t="s">
        <v>1151</v>
      </c>
      <c r="F436" s="118" t="s">
        <v>115</v>
      </c>
      <c r="G436" s="119" t="s">
        <v>1222</v>
      </c>
      <c r="H436" s="119" t="s">
        <v>750</v>
      </c>
      <c r="I436" s="117"/>
      <c r="J436" s="117"/>
      <c r="K436" s="117" t="s">
        <v>1112</v>
      </c>
      <c r="L436" s="117" t="s">
        <v>1149</v>
      </c>
      <c r="M436" s="111"/>
      <c r="N436" s="122">
        <v>10042014</v>
      </c>
      <c r="O436" s="140">
        <v>6610.7</v>
      </c>
      <c r="P436" s="227">
        <f t="shared" si="10"/>
        <v>3379.9972390238413</v>
      </c>
      <c r="Q436" s="107">
        <v>165.27</v>
      </c>
      <c r="R436" s="107">
        <v>0</v>
      </c>
      <c r="S436" s="231">
        <f>P436*0.4</f>
        <v>1351.9988956095367</v>
      </c>
      <c r="T436" s="236"/>
      <c r="U436" s="236"/>
    </row>
    <row r="437" spans="1:21" ht="57.6" x14ac:dyDescent="0.3">
      <c r="A437" s="117">
        <v>435</v>
      </c>
      <c r="B437" s="131">
        <v>1294</v>
      </c>
      <c r="C437" s="111">
        <v>17</v>
      </c>
      <c r="D437" s="111">
        <v>4</v>
      </c>
      <c r="E437" s="118" t="s">
        <v>1353</v>
      </c>
      <c r="F437" s="118" t="s">
        <v>202</v>
      </c>
      <c r="G437" s="119" t="s">
        <v>385</v>
      </c>
      <c r="H437" s="117" t="s">
        <v>878</v>
      </c>
      <c r="I437" s="117" t="s">
        <v>1285</v>
      </c>
      <c r="J437" s="117"/>
      <c r="K437" s="117" t="s">
        <v>1077</v>
      </c>
      <c r="L437" s="117" t="s">
        <v>1150</v>
      </c>
      <c r="M437" s="111"/>
      <c r="N437" s="122">
        <v>21052014</v>
      </c>
      <c r="O437" s="140">
        <v>23274.38</v>
      </c>
      <c r="P437" s="227">
        <f t="shared" si="10"/>
        <v>11900.001533875644</v>
      </c>
      <c r="Q437" s="107">
        <v>581.86</v>
      </c>
      <c r="R437" s="107">
        <v>0</v>
      </c>
      <c r="S437" s="231"/>
      <c r="T437" s="236"/>
      <c r="U437" s="236"/>
    </row>
    <row r="438" spans="1:21" ht="72" x14ac:dyDescent="0.3">
      <c r="A438" s="117">
        <v>436</v>
      </c>
      <c r="B438" s="131">
        <v>1295</v>
      </c>
      <c r="C438" s="111">
        <v>2</v>
      </c>
      <c r="D438" s="111">
        <v>1</v>
      </c>
      <c r="E438" s="118" t="s">
        <v>1163</v>
      </c>
      <c r="F438" s="118" t="s">
        <v>191</v>
      </c>
      <c r="G438" s="119" t="s">
        <v>55</v>
      </c>
      <c r="H438" s="117" t="s">
        <v>806</v>
      </c>
      <c r="I438" s="117" t="s">
        <v>1102</v>
      </c>
      <c r="J438" s="117" t="s">
        <v>1083</v>
      </c>
      <c r="K438" s="117" t="s">
        <v>1067</v>
      </c>
      <c r="L438" s="117" t="s">
        <v>1150</v>
      </c>
      <c r="M438" s="111"/>
      <c r="N438" s="122">
        <v>3092014</v>
      </c>
      <c r="O438" s="140">
        <v>2331.3000000000002</v>
      </c>
      <c r="P438" s="227">
        <f t="shared" si="10"/>
        <v>1191.9747626327444</v>
      </c>
      <c r="Q438" s="107">
        <v>58.28</v>
      </c>
      <c r="R438" s="107">
        <v>0</v>
      </c>
      <c r="S438" s="231"/>
      <c r="T438" s="236"/>
      <c r="U438" s="236"/>
    </row>
    <row r="439" spans="1:21" ht="72" x14ac:dyDescent="0.3">
      <c r="A439" s="117">
        <v>437</v>
      </c>
      <c r="B439" s="131">
        <v>1296</v>
      </c>
      <c r="C439" s="111">
        <v>2</v>
      </c>
      <c r="D439" s="111">
        <v>1</v>
      </c>
      <c r="E439" s="118" t="s">
        <v>1163</v>
      </c>
      <c r="F439" s="118" t="s">
        <v>191</v>
      </c>
      <c r="G439" s="119" t="s">
        <v>55</v>
      </c>
      <c r="H439" s="117" t="s">
        <v>806</v>
      </c>
      <c r="I439" s="117" t="s">
        <v>1102</v>
      </c>
      <c r="J439" s="117" t="s">
        <v>1083</v>
      </c>
      <c r="K439" s="117" t="s">
        <v>1061</v>
      </c>
      <c r="L439" s="117" t="s">
        <v>1150</v>
      </c>
      <c r="M439" s="111"/>
      <c r="N439" s="122">
        <v>3092014</v>
      </c>
      <c r="O439" s="140">
        <v>2331.3000000000002</v>
      </c>
      <c r="P439" s="227">
        <f t="shared" si="10"/>
        <v>1191.9747626327444</v>
      </c>
      <c r="Q439" s="107">
        <v>58.28</v>
      </c>
      <c r="R439" s="107">
        <v>0</v>
      </c>
      <c r="S439" s="231"/>
      <c r="T439" s="236"/>
      <c r="U439" s="236"/>
    </row>
    <row r="440" spans="1:21" ht="72" x14ac:dyDescent="0.3">
      <c r="A440" s="117">
        <v>438</v>
      </c>
      <c r="B440" s="131">
        <v>1297</v>
      </c>
      <c r="C440" s="111">
        <v>2</v>
      </c>
      <c r="D440" s="111">
        <v>1</v>
      </c>
      <c r="E440" s="118" t="s">
        <v>1163</v>
      </c>
      <c r="F440" s="118" t="s">
        <v>191</v>
      </c>
      <c r="G440" s="119" t="s">
        <v>65</v>
      </c>
      <c r="H440" s="117" t="s">
        <v>648</v>
      </c>
      <c r="I440" s="117" t="s">
        <v>1105</v>
      </c>
      <c r="J440" s="117" t="s">
        <v>1074</v>
      </c>
      <c r="K440" s="117" t="s">
        <v>1059</v>
      </c>
      <c r="L440" s="117" t="s">
        <v>1150</v>
      </c>
      <c r="M440" s="111"/>
      <c r="N440" s="122">
        <v>3092014</v>
      </c>
      <c r="O440" s="140">
        <v>3215.75</v>
      </c>
      <c r="P440" s="227">
        <f t="shared" si="10"/>
        <v>1644.1868669567396</v>
      </c>
      <c r="Q440" s="107">
        <v>80.39</v>
      </c>
      <c r="R440" s="107">
        <v>0</v>
      </c>
      <c r="S440" s="231"/>
      <c r="T440" s="236"/>
      <c r="U440" s="236"/>
    </row>
    <row r="441" spans="1:21" ht="72" x14ac:dyDescent="0.3">
      <c r="A441" s="117">
        <v>439</v>
      </c>
      <c r="B441" s="131">
        <v>1298</v>
      </c>
      <c r="C441" s="111">
        <v>2</v>
      </c>
      <c r="D441" s="111">
        <v>1</v>
      </c>
      <c r="E441" s="118" t="s">
        <v>1163</v>
      </c>
      <c r="F441" s="118" t="s">
        <v>191</v>
      </c>
      <c r="G441" s="119" t="s">
        <v>65</v>
      </c>
      <c r="H441" s="119" t="s">
        <v>648</v>
      </c>
      <c r="I441" s="117" t="s">
        <v>1105</v>
      </c>
      <c r="J441" s="117" t="s">
        <v>1074</v>
      </c>
      <c r="K441" s="117" t="s">
        <v>1059</v>
      </c>
      <c r="L441" s="117" t="s">
        <v>1150</v>
      </c>
      <c r="M441" s="111"/>
      <c r="N441" s="122">
        <v>3092014</v>
      </c>
      <c r="O441" s="140">
        <v>3215.75</v>
      </c>
      <c r="P441" s="227">
        <f t="shared" si="10"/>
        <v>1644.1868669567396</v>
      </c>
      <c r="Q441" s="107">
        <v>80.39</v>
      </c>
      <c r="R441" s="107">
        <v>0</v>
      </c>
      <c r="S441" s="231"/>
      <c r="T441" s="236"/>
      <c r="U441" s="236"/>
    </row>
    <row r="442" spans="1:21" ht="72" x14ac:dyDescent="0.3">
      <c r="A442" s="117">
        <v>440</v>
      </c>
      <c r="B442" s="131">
        <v>1299</v>
      </c>
      <c r="C442" s="111">
        <v>2</v>
      </c>
      <c r="D442" s="111">
        <v>1</v>
      </c>
      <c r="E442" s="118" t="s">
        <v>1163</v>
      </c>
      <c r="F442" s="118" t="s">
        <v>191</v>
      </c>
      <c r="G442" s="119" t="s">
        <v>65</v>
      </c>
      <c r="H442" s="119" t="s">
        <v>648</v>
      </c>
      <c r="I442" s="117" t="s">
        <v>1105</v>
      </c>
      <c r="J442" s="117" t="s">
        <v>1074</v>
      </c>
      <c r="K442" s="117" t="s">
        <v>1066</v>
      </c>
      <c r="L442" s="117" t="s">
        <v>1149</v>
      </c>
      <c r="M442" s="111"/>
      <c r="N442" s="122">
        <v>3092014</v>
      </c>
      <c r="O442" s="140">
        <v>3215.75</v>
      </c>
      <c r="P442" s="227">
        <f t="shared" si="10"/>
        <v>1644.1868669567396</v>
      </c>
      <c r="Q442" s="107">
        <v>80.39</v>
      </c>
      <c r="R442" s="107">
        <v>0</v>
      </c>
      <c r="S442" s="231">
        <f>P442*0.4</f>
        <v>657.67474678269582</v>
      </c>
      <c r="T442" s="236"/>
      <c r="U442" s="236"/>
    </row>
    <row r="443" spans="1:21" ht="72" x14ac:dyDescent="0.3">
      <c r="A443" s="117">
        <v>441</v>
      </c>
      <c r="B443" s="131">
        <v>1300</v>
      </c>
      <c r="C443" s="111">
        <v>2</v>
      </c>
      <c r="D443" s="111">
        <v>1</v>
      </c>
      <c r="E443" s="118" t="s">
        <v>1163</v>
      </c>
      <c r="F443" s="118" t="s">
        <v>191</v>
      </c>
      <c r="G443" s="119" t="s">
        <v>65</v>
      </c>
      <c r="H443" s="119" t="s">
        <v>648</v>
      </c>
      <c r="I443" s="117" t="s">
        <v>1105</v>
      </c>
      <c r="J443" s="117" t="s">
        <v>1074</v>
      </c>
      <c r="K443" s="117" t="s">
        <v>1059</v>
      </c>
      <c r="L443" s="117" t="s">
        <v>1150</v>
      </c>
      <c r="M443" s="111"/>
      <c r="N443" s="122">
        <v>3092014</v>
      </c>
      <c r="O443" s="140">
        <v>3215.75</v>
      </c>
      <c r="P443" s="227">
        <f t="shared" si="10"/>
        <v>1644.1868669567396</v>
      </c>
      <c r="Q443" s="107">
        <v>80.39</v>
      </c>
      <c r="R443" s="107">
        <v>0</v>
      </c>
      <c r="S443" s="231"/>
      <c r="T443" s="236"/>
      <c r="U443" s="236"/>
    </row>
    <row r="444" spans="1:21" ht="72" x14ac:dyDescent="0.3">
      <c r="A444" s="117">
        <v>442</v>
      </c>
      <c r="B444" s="131">
        <v>1301</v>
      </c>
      <c r="C444" s="111">
        <v>2</v>
      </c>
      <c r="D444" s="111">
        <v>1</v>
      </c>
      <c r="E444" s="118" t="s">
        <v>1163</v>
      </c>
      <c r="F444" s="118" t="s">
        <v>191</v>
      </c>
      <c r="G444" s="119" t="s">
        <v>62</v>
      </c>
      <c r="H444" s="119" t="s">
        <v>879</v>
      </c>
      <c r="I444" s="117" t="s">
        <v>1100</v>
      </c>
      <c r="J444" s="117" t="s">
        <v>1083</v>
      </c>
      <c r="K444" s="117" t="s">
        <v>1067</v>
      </c>
      <c r="L444" s="117" t="s">
        <v>1150</v>
      </c>
      <c r="M444" s="111"/>
      <c r="N444" s="122">
        <v>3092014</v>
      </c>
      <c r="O444" s="140">
        <v>2355.0500000000002</v>
      </c>
      <c r="P444" s="227">
        <f t="shared" si="10"/>
        <v>1204.1179448111545</v>
      </c>
      <c r="Q444" s="107">
        <v>58.88</v>
      </c>
      <c r="R444" s="107">
        <v>0</v>
      </c>
      <c r="S444" s="231"/>
      <c r="T444" s="236"/>
      <c r="U444" s="236"/>
    </row>
    <row r="445" spans="1:21" ht="72" x14ac:dyDescent="0.3">
      <c r="A445" s="117">
        <v>443</v>
      </c>
      <c r="B445" s="131">
        <v>1302</v>
      </c>
      <c r="C445" s="111">
        <v>2</v>
      </c>
      <c r="D445" s="111">
        <v>1</v>
      </c>
      <c r="E445" s="118" t="s">
        <v>1163</v>
      </c>
      <c r="F445" s="118" t="s">
        <v>191</v>
      </c>
      <c r="G445" s="119" t="s">
        <v>66</v>
      </c>
      <c r="H445" s="117" t="s">
        <v>880</v>
      </c>
      <c r="I445" s="117" t="s">
        <v>1113</v>
      </c>
      <c r="J445" s="117" t="s">
        <v>1096</v>
      </c>
      <c r="K445" s="117" t="s">
        <v>1056</v>
      </c>
      <c r="L445" s="117" t="s">
        <v>1153</v>
      </c>
      <c r="M445" s="111"/>
      <c r="N445" s="122">
        <v>3092014</v>
      </c>
      <c r="O445" s="140">
        <v>6412.5</v>
      </c>
      <c r="P445" s="227">
        <f t="shared" si="10"/>
        <v>3278.6591881707509</v>
      </c>
      <c r="Q445" s="107">
        <v>160.31</v>
      </c>
      <c r="R445" s="107">
        <v>0</v>
      </c>
      <c r="S445" s="231"/>
      <c r="T445" s="236"/>
      <c r="U445" s="236"/>
    </row>
    <row r="446" spans="1:21" ht="72" x14ac:dyDescent="0.3">
      <c r="A446" s="117">
        <v>444</v>
      </c>
      <c r="B446" s="131">
        <v>1303</v>
      </c>
      <c r="C446" s="111">
        <v>2</v>
      </c>
      <c r="D446" s="111">
        <v>1</v>
      </c>
      <c r="E446" s="118" t="s">
        <v>1163</v>
      </c>
      <c r="F446" s="118" t="s">
        <v>191</v>
      </c>
      <c r="G446" s="119" t="s">
        <v>66</v>
      </c>
      <c r="H446" s="119" t="s">
        <v>880</v>
      </c>
      <c r="I446" s="117" t="s">
        <v>1113</v>
      </c>
      <c r="J446" s="117" t="s">
        <v>1096</v>
      </c>
      <c r="K446" s="117" t="s">
        <v>1067</v>
      </c>
      <c r="L446" s="117" t="s">
        <v>1150</v>
      </c>
      <c r="M446" s="111"/>
      <c r="N446" s="122">
        <v>3092014</v>
      </c>
      <c r="O446" s="140">
        <v>6412.5</v>
      </c>
      <c r="P446" s="227">
        <f t="shared" si="10"/>
        <v>3278.6591881707509</v>
      </c>
      <c r="Q446" s="107">
        <v>160.31</v>
      </c>
      <c r="R446" s="107">
        <v>0</v>
      </c>
      <c r="S446" s="231"/>
      <c r="T446" s="236"/>
      <c r="U446" s="236"/>
    </row>
    <row r="447" spans="1:21" ht="72" x14ac:dyDescent="0.3">
      <c r="A447" s="117">
        <v>445</v>
      </c>
      <c r="B447" s="131">
        <v>1304</v>
      </c>
      <c r="C447" s="111">
        <v>8</v>
      </c>
      <c r="D447" s="111">
        <v>2</v>
      </c>
      <c r="E447" s="118" t="s">
        <v>1151</v>
      </c>
      <c r="F447" s="118" t="s">
        <v>194</v>
      </c>
      <c r="G447" s="119" t="s">
        <v>24</v>
      </c>
      <c r="H447" s="119" t="s">
        <v>881</v>
      </c>
      <c r="I447" s="117" t="s">
        <v>1087</v>
      </c>
      <c r="J447" s="117" t="s">
        <v>1229</v>
      </c>
      <c r="K447" s="117" t="s">
        <v>1066</v>
      </c>
      <c r="L447" s="117" t="s">
        <v>1149</v>
      </c>
      <c r="M447" s="111"/>
      <c r="N447" s="122">
        <v>26082014</v>
      </c>
      <c r="O447" s="140">
        <v>10000.16</v>
      </c>
      <c r="P447" s="227">
        <f t="shared" si="10"/>
        <v>5113.0006186631763</v>
      </c>
      <c r="Q447" s="107">
        <v>250</v>
      </c>
      <c r="R447" s="107">
        <v>0</v>
      </c>
      <c r="S447" s="231">
        <f>P447*0.4</f>
        <v>2045.2002474652706</v>
      </c>
      <c r="T447" s="236"/>
      <c r="U447" s="236"/>
    </row>
    <row r="448" spans="1:21" ht="72" x14ac:dyDescent="0.3">
      <c r="A448" s="117">
        <v>446</v>
      </c>
      <c r="B448" s="131">
        <v>1305</v>
      </c>
      <c r="C448" s="111">
        <v>8</v>
      </c>
      <c r="D448" s="111">
        <v>2</v>
      </c>
      <c r="E448" s="118" t="s">
        <v>1151</v>
      </c>
      <c r="F448" s="118" t="s">
        <v>194</v>
      </c>
      <c r="G448" s="119" t="s">
        <v>24</v>
      </c>
      <c r="H448" s="119" t="s">
        <v>881</v>
      </c>
      <c r="I448" s="117" t="s">
        <v>1087</v>
      </c>
      <c r="J448" s="117" t="s">
        <v>1229</v>
      </c>
      <c r="K448" s="117" t="s">
        <v>1059</v>
      </c>
      <c r="L448" s="117" t="s">
        <v>1150</v>
      </c>
      <c r="M448" s="111"/>
      <c r="N448" s="122">
        <v>26082014</v>
      </c>
      <c r="O448" s="140">
        <v>10000.16</v>
      </c>
      <c r="P448" s="227">
        <f t="shared" si="10"/>
        <v>5113.0006186631763</v>
      </c>
      <c r="Q448" s="107">
        <v>250</v>
      </c>
      <c r="R448" s="107">
        <v>0</v>
      </c>
      <c r="S448" s="231"/>
      <c r="T448" s="236"/>
      <c r="U448" s="236"/>
    </row>
    <row r="449" spans="1:21" ht="72" x14ac:dyDescent="0.3">
      <c r="A449" s="117">
        <v>447</v>
      </c>
      <c r="B449" s="131">
        <v>1306</v>
      </c>
      <c r="C449" s="111">
        <v>1</v>
      </c>
      <c r="D449" s="111">
        <v>1</v>
      </c>
      <c r="E449" s="118" t="s">
        <v>1163</v>
      </c>
      <c r="F449" s="118" t="s">
        <v>190</v>
      </c>
      <c r="G449" s="119" t="s">
        <v>23</v>
      </c>
      <c r="H449" s="117" t="s">
        <v>882</v>
      </c>
      <c r="I449" s="117"/>
      <c r="J449" s="117" t="s">
        <v>1049</v>
      </c>
      <c r="K449" s="117" t="s">
        <v>1059</v>
      </c>
      <c r="L449" s="117" t="s">
        <v>1150</v>
      </c>
      <c r="M449" s="111"/>
      <c r="N449" s="122">
        <v>26082014</v>
      </c>
      <c r="O449" s="140">
        <v>4693.99</v>
      </c>
      <c r="P449" s="227">
        <f t="shared" si="10"/>
        <v>2399.9989774162377</v>
      </c>
      <c r="Q449" s="107">
        <v>117.35</v>
      </c>
      <c r="R449" s="107">
        <v>0</v>
      </c>
      <c r="S449" s="231"/>
      <c r="T449" s="236"/>
      <c r="U449" s="236"/>
    </row>
    <row r="450" spans="1:21" ht="72" x14ac:dyDescent="0.3">
      <c r="A450" s="117">
        <v>448</v>
      </c>
      <c r="B450" s="131">
        <v>1307</v>
      </c>
      <c r="C450" s="111">
        <v>9</v>
      </c>
      <c r="D450" s="111">
        <v>2</v>
      </c>
      <c r="E450" s="118" t="s">
        <v>1151</v>
      </c>
      <c r="F450" s="118" t="s">
        <v>195</v>
      </c>
      <c r="G450" s="119" t="s">
        <v>12</v>
      </c>
      <c r="H450" s="119" t="s">
        <v>876</v>
      </c>
      <c r="I450" s="117" t="s">
        <v>1078</v>
      </c>
      <c r="J450" s="117" t="s">
        <v>1239</v>
      </c>
      <c r="K450" s="117" t="s">
        <v>1063</v>
      </c>
      <c r="L450" s="117" t="s">
        <v>1149</v>
      </c>
      <c r="M450" s="111"/>
      <c r="N450" s="122">
        <v>26082014</v>
      </c>
      <c r="O450" s="140">
        <v>12712.9</v>
      </c>
      <c r="P450" s="227">
        <f t="shared" si="10"/>
        <v>6500.0025564594062</v>
      </c>
      <c r="Q450" s="107">
        <v>317.82</v>
      </c>
      <c r="R450" s="107">
        <v>0</v>
      </c>
      <c r="S450" s="231">
        <f>P450*0.3</f>
        <v>1950.0007669378217</v>
      </c>
      <c r="T450" s="236"/>
      <c r="U450" s="236"/>
    </row>
    <row r="451" spans="1:21" ht="72" x14ac:dyDescent="0.3">
      <c r="A451" s="117">
        <v>449</v>
      </c>
      <c r="B451" s="131">
        <v>1308</v>
      </c>
      <c r="C451" s="111">
        <v>9</v>
      </c>
      <c r="D451" s="111">
        <v>2</v>
      </c>
      <c r="E451" s="118" t="s">
        <v>1151</v>
      </c>
      <c r="F451" s="118" t="s">
        <v>195</v>
      </c>
      <c r="G451" s="118" t="s">
        <v>232</v>
      </c>
      <c r="H451" s="117" t="s">
        <v>883</v>
      </c>
      <c r="I451" s="117" t="s">
        <v>1114</v>
      </c>
      <c r="J451" s="117" t="s">
        <v>1239</v>
      </c>
      <c r="K451" s="117" t="s">
        <v>1059</v>
      </c>
      <c r="L451" s="117" t="s">
        <v>1150</v>
      </c>
      <c r="M451" s="111"/>
      <c r="N451" s="122">
        <v>26082014</v>
      </c>
      <c r="O451" s="140">
        <v>9564</v>
      </c>
      <c r="P451" s="227">
        <f t="shared" si="10"/>
        <v>4889.995551760634</v>
      </c>
      <c r="Q451" s="107">
        <v>239.1</v>
      </c>
      <c r="R451" s="107">
        <v>0</v>
      </c>
      <c r="S451" s="231"/>
      <c r="T451" s="236"/>
      <c r="U451" s="236"/>
    </row>
    <row r="452" spans="1:21" ht="72" x14ac:dyDescent="0.3">
      <c r="A452" s="117">
        <v>450</v>
      </c>
      <c r="B452" s="131">
        <v>1309</v>
      </c>
      <c r="C452" s="111">
        <v>6</v>
      </c>
      <c r="D452" s="111">
        <v>2</v>
      </c>
      <c r="E452" s="118" t="s">
        <v>1151</v>
      </c>
      <c r="F452" s="118" t="s">
        <v>115</v>
      </c>
      <c r="G452" s="119" t="s">
        <v>1222</v>
      </c>
      <c r="H452" s="119" t="s">
        <v>750</v>
      </c>
      <c r="I452" s="117"/>
      <c r="J452" s="117"/>
      <c r="K452" s="117" t="s">
        <v>1059</v>
      </c>
      <c r="L452" s="117" t="s">
        <v>1150</v>
      </c>
      <c r="M452" s="111"/>
      <c r="N452" s="122">
        <v>26082014</v>
      </c>
      <c r="O452" s="140">
        <v>6610.7</v>
      </c>
      <c r="P452" s="227">
        <f t="shared" ref="P452:P515" si="11">O452/$P$1</f>
        <v>3379.9972390238413</v>
      </c>
      <c r="Q452" s="107">
        <v>165.27</v>
      </c>
      <c r="R452" s="107">
        <v>0</v>
      </c>
      <c r="S452" s="231"/>
      <c r="T452" s="236"/>
      <c r="U452" s="236"/>
    </row>
    <row r="453" spans="1:21" ht="57.6" x14ac:dyDescent="0.3">
      <c r="A453" s="117">
        <v>451</v>
      </c>
      <c r="B453" s="131">
        <v>1310</v>
      </c>
      <c r="C453" s="111">
        <v>16</v>
      </c>
      <c r="D453" s="111">
        <v>4</v>
      </c>
      <c r="E453" s="118" t="s">
        <v>1353</v>
      </c>
      <c r="F453" s="118" t="s">
        <v>201</v>
      </c>
      <c r="G453" s="119" t="s">
        <v>1177</v>
      </c>
      <c r="H453" s="117" t="s">
        <v>884</v>
      </c>
      <c r="I453" s="117" t="s">
        <v>1060</v>
      </c>
      <c r="J453" s="117" t="s">
        <v>1176</v>
      </c>
      <c r="K453" s="117" t="s">
        <v>1059</v>
      </c>
      <c r="L453" s="117" t="s">
        <v>1150</v>
      </c>
      <c r="M453" s="111"/>
      <c r="N453" s="122">
        <v>26082014</v>
      </c>
      <c r="O453" s="140">
        <v>6271.04</v>
      </c>
      <c r="P453" s="227">
        <f t="shared" si="11"/>
        <v>3206.3318386567339</v>
      </c>
      <c r="Q453" s="107">
        <v>156.78</v>
      </c>
      <c r="R453" s="107">
        <v>0</v>
      </c>
      <c r="S453" s="231"/>
      <c r="T453" s="236"/>
      <c r="U453" s="236"/>
    </row>
    <row r="454" spans="1:21" ht="57.6" x14ac:dyDescent="0.3">
      <c r="A454" s="117">
        <v>452</v>
      </c>
      <c r="B454" s="131">
        <v>1311</v>
      </c>
      <c r="C454" s="111">
        <v>16</v>
      </c>
      <c r="D454" s="111">
        <v>4</v>
      </c>
      <c r="E454" s="118" t="s">
        <v>1353</v>
      </c>
      <c r="F454" s="118" t="s">
        <v>201</v>
      </c>
      <c r="G454" s="119" t="s">
        <v>25</v>
      </c>
      <c r="H454" s="119" t="s">
        <v>884</v>
      </c>
      <c r="I454" s="117" t="s">
        <v>1171</v>
      </c>
      <c r="J454" s="117" t="s">
        <v>1176</v>
      </c>
      <c r="K454" s="117" t="s">
        <v>1059</v>
      </c>
      <c r="L454" s="117" t="s">
        <v>1150</v>
      </c>
      <c r="M454" s="111"/>
      <c r="N454" s="122">
        <v>26082014</v>
      </c>
      <c r="O454" s="140">
        <v>6271.04</v>
      </c>
      <c r="P454" s="227">
        <f t="shared" si="11"/>
        <v>3206.3318386567339</v>
      </c>
      <c r="Q454" s="107">
        <v>156.78</v>
      </c>
      <c r="R454" s="107">
        <v>0</v>
      </c>
      <c r="S454" s="231"/>
      <c r="T454" s="236"/>
      <c r="U454" s="236"/>
    </row>
    <row r="455" spans="1:21" ht="57.6" x14ac:dyDescent="0.3">
      <c r="A455" s="117">
        <v>453</v>
      </c>
      <c r="B455" s="131">
        <v>1312</v>
      </c>
      <c r="C455" s="111">
        <v>16</v>
      </c>
      <c r="D455" s="111">
        <v>4</v>
      </c>
      <c r="E455" s="118" t="s">
        <v>1353</v>
      </c>
      <c r="F455" s="118" t="s">
        <v>201</v>
      </c>
      <c r="G455" s="119" t="s">
        <v>1178</v>
      </c>
      <c r="H455" s="117" t="s">
        <v>885</v>
      </c>
      <c r="I455" s="117" t="s">
        <v>1060</v>
      </c>
      <c r="J455" s="117" t="s">
        <v>1196</v>
      </c>
      <c r="K455" s="117" t="s">
        <v>1061</v>
      </c>
      <c r="L455" s="117" t="s">
        <v>1150</v>
      </c>
      <c r="M455" s="111"/>
      <c r="N455" s="122">
        <v>26082014</v>
      </c>
      <c r="O455" s="140">
        <v>6271.04</v>
      </c>
      <c r="P455" s="227">
        <f t="shared" si="11"/>
        <v>3206.3318386567339</v>
      </c>
      <c r="Q455" s="107">
        <v>156.78</v>
      </c>
      <c r="R455" s="107">
        <v>0</v>
      </c>
      <c r="S455" s="231"/>
      <c r="T455" s="236"/>
      <c r="U455" s="236"/>
    </row>
    <row r="456" spans="1:21" ht="57.6" x14ac:dyDescent="0.3">
      <c r="A456" s="117">
        <v>454</v>
      </c>
      <c r="B456" s="131">
        <v>1313</v>
      </c>
      <c r="C456" s="111">
        <v>16</v>
      </c>
      <c r="D456" s="111">
        <v>4</v>
      </c>
      <c r="E456" s="118" t="s">
        <v>1353</v>
      </c>
      <c r="F456" s="118" t="s">
        <v>201</v>
      </c>
      <c r="G456" s="119" t="s">
        <v>1173</v>
      </c>
      <c r="H456" s="117" t="s">
        <v>886</v>
      </c>
      <c r="I456" s="117" t="s">
        <v>1171</v>
      </c>
      <c r="J456" s="117" t="s">
        <v>1176</v>
      </c>
      <c r="K456" s="117" t="s">
        <v>1059</v>
      </c>
      <c r="L456" s="117" t="s">
        <v>1150</v>
      </c>
      <c r="M456" s="111"/>
      <c r="N456" s="122">
        <v>26082014</v>
      </c>
      <c r="O456" s="140">
        <v>5693.42</v>
      </c>
      <c r="P456" s="227">
        <f t="shared" si="11"/>
        <v>2910.9994222401742</v>
      </c>
      <c r="Q456" s="107">
        <v>142.34</v>
      </c>
      <c r="R456" s="107">
        <v>0</v>
      </c>
      <c r="S456" s="231"/>
      <c r="T456" s="236"/>
      <c r="U456" s="236"/>
    </row>
    <row r="457" spans="1:21" ht="57.6" x14ac:dyDescent="0.3">
      <c r="A457" s="117">
        <v>455</v>
      </c>
      <c r="B457" s="131">
        <v>1314</v>
      </c>
      <c r="C457" s="111">
        <v>16</v>
      </c>
      <c r="D457" s="111">
        <v>4</v>
      </c>
      <c r="E457" s="118" t="s">
        <v>1353</v>
      </c>
      <c r="F457" s="118" t="s">
        <v>201</v>
      </c>
      <c r="G457" s="119" t="s">
        <v>1173</v>
      </c>
      <c r="H457" s="117" t="s">
        <v>886</v>
      </c>
      <c r="I457" s="117" t="s">
        <v>1171</v>
      </c>
      <c r="J457" s="117" t="s">
        <v>1176</v>
      </c>
      <c r="K457" s="117" t="s">
        <v>1057</v>
      </c>
      <c r="L457" s="117" t="s">
        <v>1154</v>
      </c>
      <c r="M457" s="111"/>
      <c r="N457" s="122">
        <v>26082014</v>
      </c>
      <c r="O457" s="140">
        <v>5693.42</v>
      </c>
      <c r="P457" s="227">
        <f t="shared" si="11"/>
        <v>2910.9994222401742</v>
      </c>
      <c r="Q457" s="107">
        <v>142.34</v>
      </c>
      <c r="R457" s="107">
        <v>0</v>
      </c>
      <c r="S457" s="231"/>
      <c r="T457" s="236"/>
      <c r="U457" s="236"/>
    </row>
    <row r="458" spans="1:21" ht="72" x14ac:dyDescent="0.3">
      <c r="A458" s="117">
        <v>456</v>
      </c>
      <c r="B458" s="131">
        <v>1315</v>
      </c>
      <c r="C458" s="111">
        <v>8</v>
      </c>
      <c r="D458" s="111">
        <v>2</v>
      </c>
      <c r="E458" s="118" t="s">
        <v>1151</v>
      </c>
      <c r="F458" s="118" t="s">
        <v>194</v>
      </c>
      <c r="G458" s="119" t="s">
        <v>67</v>
      </c>
      <c r="H458" s="117" t="s">
        <v>887</v>
      </c>
      <c r="I458" s="117" t="s">
        <v>1087</v>
      </c>
      <c r="J458" s="117" t="s">
        <v>1115</v>
      </c>
      <c r="K458" s="117" t="s">
        <v>1059</v>
      </c>
      <c r="L458" s="117" t="s">
        <v>1150</v>
      </c>
      <c r="M458" s="111"/>
      <c r="N458" s="122">
        <v>11082014</v>
      </c>
      <c r="O458" s="140">
        <v>8933.7999999999993</v>
      </c>
      <c r="P458" s="227">
        <f t="shared" si="11"/>
        <v>4567.7794082307764</v>
      </c>
      <c r="Q458" s="107">
        <v>223.35</v>
      </c>
      <c r="R458" s="107">
        <v>0</v>
      </c>
      <c r="S458" s="231"/>
      <c r="T458" s="236"/>
      <c r="U458" s="236"/>
    </row>
    <row r="459" spans="1:21" ht="72" x14ac:dyDescent="0.3">
      <c r="A459" s="117">
        <v>457</v>
      </c>
      <c r="B459" s="131">
        <v>1316</v>
      </c>
      <c r="C459" s="111">
        <v>8</v>
      </c>
      <c r="D459" s="111">
        <v>2</v>
      </c>
      <c r="E459" s="118" t="s">
        <v>1151</v>
      </c>
      <c r="F459" s="118" t="s">
        <v>194</v>
      </c>
      <c r="G459" s="119" t="s">
        <v>68</v>
      </c>
      <c r="H459" s="117" t="s">
        <v>888</v>
      </c>
      <c r="I459" s="117" t="s">
        <v>1087</v>
      </c>
      <c r="J459" s="117" t="s">
        <v>1233</v>
      </c>
      <c r="K459" s="117" t="s">
        <v>1063</v>
      </c>
      <c r="L459" s="117" t="s">
        <v>1149</v>
      </c>
      <c r="M459" s="111"/>
      <c r="N459" s="122">
        <v>12082014</v>
      </c>
      <c r="O459" s="140">
        <v>9485.7800000000007</v>
      </c>
      <c r="P459" s="227">
        <f t="shared" si="11"/>
        <v>4850.0023008134658</v>
      </c>
      <c r="Q459" s="107">
        <v>237.14</v>
      </c>
      <c r="R459" s="107">
        <v>0</v>
      </c>
      <c r="S459" s="231">
        <f>P459*0.4</f>
        <v>1940.0009203253865</v>
      </c>
      <c r="T459" s="236"/>
      <c r="U459" s="236"/>
    </row>
    <row r="460" spans="1:21" ht="72" x14ac:dyDescent="0.3">
      <c r="A460" s="117">
        <v>458</v>
      </c>
      <c r="B460" s="131">
        <v>1317</v>
      </c>
      <c r="C460" s="111">
        <v>19</v>
      </c>
      <c r="D460" s="111">
        <v>1</v>
      </c>
      <c r="E460" s="118" t="s">
        <v>1163</v>
      </c>
      <c r="F460" s="118" t="s">
        <v>69</v>
      </c>
      <c r="G460" s="119" t="s">
        <v>37</v>
      </c>
      <c r="H460" s="117" t="s">
        <v>655</v>
      </c>
      <c r="I460" s="117"/>
      <c r="J460" s="117"/>
      <c r="K460" s="117" t="s">
        <v>1055</v>
      </c>
      <c r="L460" s="117" t="s">
        <v>1148</v>
      </c>
      <c r="M460" s="111"/>
      <c r="N460" s="122">
        <v>15082014</v>
      </c>
      <c r="O460" s="140">
        <v>2800</v>
      </c>
      <c r="P460" s="227">
        <f t="shared" si="11"/>
        <v>1431.6172673494118</v>
      </c>
      <c r="Q460" s="107">
        <v>70</v>
      </c>
      <c r="R460" s="107">
        <v>0</v>
      </c>
      <c r="S460" s="231"/>
      <c r="T460" s="236"/>
      <c r="U460" s="236"/>
    </row>
    <row r="461" spans="1:21" ht="72" x14ac:dyDescent="0.3">
      <c r="A461" s="117">
        <v>459</v>
      </c>
      <c r="B461" s="131">
        <v>1318</v>
      </c>
      <c r="C461" s="111">
        <v>1</v>
      </c>
      <c r="D461" s="111">
        <v>1</v>
      </c>
      <c r="E461" s="118" t="s">
        <v>1163</v>
      </c>
      <c r="F461" s="118" t="s">
        <v>190</v>
      </c>
      <c r="G461" s="119" t="s">
        <v>23</v>
      </c>
      <c r="H461" s="117" t="s">
        <v>889</v>
      </c>
      <c r="I461" s="117"/>
      <c r="J461" s="117"/>
      <c r="K461" s="117" t="s">
        <v>1063</v>
      </c>
      <c r="L461" s="117" t="s">
        <v>1149</v>
      </c>
      <c r="M461" s="111"/>
      <c r="N461" s="122">
        <v>26082014</v>
      </c>
      <c r="O461" s="140">
        <v>1554.88</v>
      </c>
      <c r="P461" s="227">
        <f t="shared" si="11"/>
        <v>794.99752023437622</v>
      </c>
      <c r="Q461" s="107">
        <v>38.869999999999997</v>
      </c>
      <c r="R461" s="107">
        <v>0</v>
      </c>
      <c r="S461" s="231">
        <v>205</v>
      </c>
      <c r="T461" s="236"/>
      <c r="U461" s="236"/>
    </row>
    <row r="462" spans="1:21" ht="72" x14ac:dyDescent="0.3">
      <c r="A462" s="117">
        <v>460</v>
      </c>
      <c r="B462" s="131">
        <v>1319</v>
      </c>
      <c r="C462" s="111">
        <v>1</v>
      </c>
      <c r="D462" s="111">
        <v>1</v>
      </c>
      <c r="E462" s="118" t="s">
        <v>1163</v>
      </c>
      <c r="F462" s="118" t="s">
        <v>190</v>
      </c>
      <c r="G462" s="119" t="s">
        <v>23</v>
      </c>
      <c r="H462" s="119" t="s">
        <v>889</v>
      </c>
      <c r="I462" s="117"/>
      <c r="J462" s="117"/>
      <c r="K462" s="117" t="s">
        <v>1063</v>
      </c>
      <c r="L462" s="117" t="s">
        <v>1149</v>
      </c>
      <c r="M462" s="111"/>
      <c r="N462" s="122">
        <v>26082014</v>
      </c>
      <c r="O462" s="140">
        <v>1554.88</v>
      </c>
      <c r="P462" s="227">
        <f t="shared" si="11"/>
        <v>794.99752023437622</v>
      </c>
      <c r="Q462" s="107">
        <v>38.869999999999997</v>
      </c>
      <c r="R462" s="107">
        <v>0</v>
      </c>
      <c r="S462" s="231">
        <v>205</v>
      </c>
      <c r="T462" s="236"/>
      <c r="U462" s="236"/>
    </row>
    <row r="463" spans="1:21" ht="72" x14ac:dyDescent="0.3">
      <c r="A463" s="117">
        <v>461</v>
      </c>
      <c r="B463" s="131">
        <v>1320</v>
      </c>
      <c r="C463" s="111">
        <v>1</v>
      </c>
      <c r="D463" s="111">
        <v>1</v>
      </c>
      <c r="E463" s="118" t="s">
        <v>1163</v>
      </c>
      <c r="F463" s="118" t="s">
        <v>190</v>
      </c>
      <c r="G463" s="119" t="s">
        <v>23</v>
      </c>
      <c r="H463" s="119" t="s">
        <v>889</v>
      </c>
      <c r="I463" s="117"/>
      <c r="J463" s="117"/>
      <c r="K463" s="117" t="s">
        <v>1059</v>
      </c>
      <c r="L463" s="117" t="s">
        <v>1150</v>
      </c>
      <c r="M463" s="111"/>
      <c r="N463" s="122">
        <v>26082014</v>
      </c>
      <c r="O463" s="140">
        <v>1554.88</v>
      </c>
      <c r="P463" s="227">
        <f t="shared" si="11"/>
        <v>794.99752023437622</v>
      </c>
      <c r="Q463" s="107">
        <v>38.869999999999997</v>
      </c>
      <c r="R463" s="107">
        <v>0</v>
      </c>
      <c r="S463" s="231"/>
      <c r="T463" s="236"/>
      <c r="U463" s="236"/>
    </row>
    <row r="464" spans="1:21" ht="72" x14ac:dyDescent="0.3">
      <c r="A464" s="117">
        <v>462</v>
      </c>
      <c r="B464" s="131">
        <v>1321</v>
      </c>
      <c r="C464" s="111">
        <v>1</v>
      </c>
      <c r="D464" s="111">
        <v>1</v>
      </c>
      <c r="E464" s="118" t="s">
        <v>1163</v>
      </c>
      <c r="F464" s="118" t="s">
        <v>190</v>
      </c>
      <c r="G464" s="119" t="s">
        <v>23</v>
      </c>
      <c r="H464" s="119" t="s">
        <v>889</v>
      </c>
      <c r="I464" s="117"/>
      <c r="J464" s="117"/>
      <c r="K464" s="117" t="s">
        <v>1059</v>
      </c>
      <c r="L464" s="117" t="s">
        <v>1150</v>
      </c>
      <c r="M464" s="111"/>
      <c r="N464" s="122">
        <v>26082014</v>
      </c>
      <c r="O464" s="140">
        <v>1554.88</v>
      </c>
      <c r="P464" s="227">
        <f t="shared" si="11"/>
        <v>794.99752023437622</v>
      </c>
      <c r="Q464" s="107">
        <v>38.869999999999997</v>
      </c>
      <c r="R464" s="107">
        <v>0</v>
      </c>
      <c r="S464" s="231"/>
      <c r="T464" s="236"/>
      <c r="U464" s="236"/>
    </row>
    <row r="465" spans="1:21" ht="72" x14ac:dyDescent="0.3">
      <c r="A465" s="117">
        <v>463</v>
      </c>
      <c r="B465" s="131">
        <v>1322</v>
      </c>
      <c r="C465" s="111">
        <v>1</v>
      </c>
      <c r="D465" s="111">
        <v>1</v>
      </c>
      <c r="E465" s="118" t="s">
        <v>1163</v>
      </c>
      <c r="F465" s="118" t="s">
        <v>190</v>
      </c>
      <c r="G465" s="119" t="s">
        <v>23</v>
      </c>
      <c r="H465" s="119" t="s">
        <v>889</v>
      </c>
      <c r="I465" s="117"/>
      <c r="J465" s="117"/>
      <c r="K465" s="117" t="s">
        <v>1067</v>
      </c>
      <c r="L465" s="117" t="s">
        <v>1150</v>
      </c>
      <c r="M465" s="111"/>
      <c r="N465" s="122">
        <v>26082014</v>
      </c>
      <c r="O465" s="140">
        <v>1554.88</v>
      </c>
      <c r="P465" s="227">
        <f t="shared" si="11"/>
        <v>794.99752023437622</v>
      </c>
      <c r="Q465" s="107">
        <v>38.869999999999997</v>
      </c>
      <c r="R465" s="107">
        <v>0</v>
      </c>
      <c r="S465" s="231"/>
      <c r="T465" s="236"/>
      <c r="U465" s="236"/>
    </row>
    <row r="466" spans="1:21" ht="72" x14ac:dyDescent="0.3">
      <c r="A466" s="117">
        <v>464</v>
      </c>
      <c r="B466" s="131">
        <v>1323</v>
      </c>
      <c r="C466" s="111">
        <v>1</v>
      </c>
      <c r="D466" s="111">
        <v>1</v>
      </c>
      <c r="E466" s="118" t="s">
        <v>1163</v>
      </c>
      <c r="F466" s="118" t="s">
        <v>190</v>
      </c>
      <c r="G466" s="119" t="s">
        <v>23</v>
      </c>
      <c r="H466" s="119" t="s">
        <v>889</v>
      </c>
      <c r="I466" s="117"/>
      <c r="J466" s="117"/>
      <c r="K466" s="117" t="s">
        <v>1059</v>
      </c>
      <c r="L466" s="117" t="s">
        <v>1150</v>
      </c>
      <c r="M466" s="111"/>
      <c r="N466" s="122">
        <v>26082014</v>
      </c>
      <c r="O466" s="140">
        <v>1554.88</v>
      </c>
      <c r="P466" s="227">
        <f t="shared" si="11"/>
        <v>794.99752023437622</v>
      </c>
      <c r="Q466" s="107">
        <v>38.869999999999997</v>
      </c>
      <c r="R466" s="107">
        <v>0</v>
      </c>
      <c r="S466" s="231"/>
      <c r="T466" s="236"/>
      <c r="U466" s="236"/>
    </row>
    <row r="467" spans="1:21" ht="72" x14ac:dyDescent="0.3">
      <c r="A467" s="117">
        <v>465</v>
      </c>
      <c r="B467" s="131">
        <v>1324</v>
      </c>
      <c r="C467" s="111">
        <v>1</v>
      </c>
      <c r="D467" s="111">
        <v>1</v>
      </c>
      <c r="E467" s="118" t="s">
        <v>1163</v>
      </c>
      <c r="F467" s="118" t="s">
        <v>190</v>
      </c>
      <c r="G467" s="119" t="s">
        <v>23</v>
      </c>
      <c r="H467" s="119" t="s">
        <v>889</v>
      </c>
      <c r="I467" s="117"/>
      <c r="J467" s="117"/>
      <c r="K467" s="117" t="s">
        <v>1063</v>
      </c>
      <c r="L467" s="117" t="s">
        <v>1149</v>
      </c>
      <c r="M467" s="111"/>
      <c r="N467" s="122">
        <v>26082014</v>
      </c>
      <c r="O467" s="140">
        <v>1554.88</v>
      </c>
      <c r="P467" s="227">
        <f t="shared" si="11"/>
        <v>794.99752023437622</v>
      </c>
      <c r="Q467" s="107">
        <v>38.869999999999997</v>
      </c>
      <c r="R467" s="107">
        <v>0</v>
      </c>
      <c r="S467" s="231">
        <v>205</v>
      </c>
      <c r="T467" s="236"/>
      <c r="U467" s="236"/>
    </row>
    <row r="468" spans="1:21" ht="72" x14ac:dyDescent="0.3">
      <c r="A468" s="117">
        <v>466</v>
      </c>
      <c r="B468" s="131">
        <v>1325</v>
      </c>
      <c r="C468" s="111">
        <v>1</v>
      </c>
      <c r="D468" s="111">
        <v>1</v>
      </c>
      <c r="E468" s="118" t="s">
        <v>1163</v>
      </c>
      <c r="F468" s="118" t="s">
        <v>190</v>
      </c>
      <c r="G468" s="119" t="s">
        <v>23</v>
      </c>
      <c r="H468" s="119" t="s">
        <v>889</v>
      </c>
      <c r="I468" s="117"/>
      <c r="J468" s="117"/>
      <c r="K468" s="117" t="s">
        <v>1052</v>
      </c>
      <c r="L468" s="117" t="s">
        <v>1150</v>
      </c>
      <c r="M468" s="111"/>
      <c r="N468" s="122">
        <v>26082014</v>
      </c>
      <c r="O468" s="140">
        <v>1554.88</v>
      </c>
      <c r="P468" s="227">
        <f t="shared" si="11"/>
        <v>794.99752023437622</v>
      </c>
      <c r="Q468" s="107">
        <v>38.869999999999997</v>
      </c>
      <c r="R468" s="107">
        <v>0</v>
      </c>
      <c r="S468" s="231"/>
      <c r="T468" s="236"/>
      <c r="U468" s="236"/>
    </row>
    <row r="469" spans="1:21" ht="72" x14ac:dyDescent="0.3">
      <c r="A469" s="117">
        <v>467</v>
      </c>
      <c r="B469" s="131">
        <v>1326</v>
      </c>
      <c r="C469" s="111">
        <v>1</v>
      </c>
      <c r="D469" s="111">
        <v>1</v>
      </c>
      <c r="E469" s="118" t="s">
        <v>1163</v>
      </c>
      <c r="F469" s="118" t="s">
        <v>190</v>
      </c>
      <c r="G469" s="119" t="s">
        <v>23</v>
      </c>
      <c r="H469" s="119" t="s">
        <v>889</v>
      </c>
      <c r="I469" s="117"/>
      <c r="J469" s="117"/>
      <c r="K469" s="117" t="s">
        <v>1066</v>
      </c>
      <c r="L469" s="117" t="s">
        <v>1149</v>
      </c>
      <c r="M469" s="111"/>
      <c r="N469" s="122">
        <v>26082014</v>
      </c>
      <c r="O469" s="140">
        <v>1554.88</v>
      </c>
      <c r="P469" s="227">
        <f t="shared" si="11"/>
        <v>794.99752023437622</v>
      </c>
      <c r="Q469" s="107">
        <v>38.869999999999997</v>
      </c>
      <c r="R469" s="107">
        <v>0</v>
      </c>
      <c r="S469" s="231">
        <v>205</v>
      </c>
      <c r="T469" s="236"/>
      <c r="U469" s="236"/>
    </row>
    <row r="470" spans="1:21" ht="72" x14ac:dyDescent="0.3">
      <c r="A470" s="117">
        <v>468</v>
      </c>
      <c r="B470" s="131">
        <v>1327</v>
      </c>
      <c r="C470" s="111">
        <v>1</v>
      </c>
      <c r="D470" s="111">
        <v>1</v>
      </c>
      <c r="E470" s="118" t="s">
        <v>1163</v>
      </c>
      <c r="F470" s="118" t="s">
        <v>190</v>
      </c>
      <c r="G470" s="119" t="s">
        <v>23</v>
      </c>
      <c r="H470" s="119" t="s">
        <v>889</v>
      </c>
      <c r="I470" s="117"/>
      <c r="J470" s="117"/>
      <c r="K470" s="117" t="s">
        <v>1063</v>
      </c>
      <c r="L470" s="117" t="s">
        <v>1149</v>
      </c>
      <c r="M470" s="111"/>
      <c r="N470" s="122">
        <v>26082014</v>
      </c>
      <c r="O470" s="140">
        <v>1554.88</v>
      </c>
      <c r="P470" s="227">
        <f t="shared" si="11"/>
        <v>794.99752023437622</v>
      </c>
      <c r="Q470" s="107">
        <v>38.869999999999997</v>
      </c>
      <c r="R470" s="107">
        <v>0</v>
      </c>
      <c r="S470" s="231">
        <v>205</v>
      </c>
      <c r="T470" s="236"/>
      <c r="U470" s="236"/>
    </row>
    <row r="471" spans="1:21" ht="72" x14ac:dyDescent="0.3">
      <c r="A471" s="117">
        <v>469</v>
      </c>
      <c r="B471" s="131">
        <v>1328</v>
      </c>
      <c r="C471" s="111">
        <v>1</v>
      </c>
      <c r="D471" s="111">
        <v>1</v>
      </c>
      <c r="E471" s="118" t="s">
        <v>1163</v>
      </c>
      <c r="F471" s="118" t="s">
        <v>190</v>
      </c>
      <c r="G471" s="119" t="s">
        <v>23</v>
      </c>
      <c r="H471" s="119" t="s">
        <v>889</v>
      </c>
      <c r="I471" s="117"/>
      <c r="J471" s="117"/>
      <c r="K471" s="117" t="s">
        <v>1063</v>
      </c>
      <c r="L471" s="117" t="s">
        <v>1149</v>
      </c>
      <c r="M471" s="111"/>
      <c r="N471" s="122">
        <v>26082014</v>
      </c>
      <c r="O471" s="140">
        <v>1554.88</v>
      </c>
      <c r="P471" s="227">
        <f t="shared" si="11"/>
        <v>794.99752023437622</v>
      </c>
      <c r="Q471" s="107">
        <v>38.869999999999997</v>
      </c>
      <c r="R471" s="107">
        <v>0</v>
      </c>
      <c r="S471" s="231">
        <v>205</v>
      </c>
      <c r="T471" s="236"/>
      <c r="U471" s="236"/>
    </row>
    <row r="472" spans="1:21" ht="72" x14ac:dyDescent="0.3">
      <c r="A472" s="117">
        <v>470</v>
      </c>
      <c r="B472" s="131">
        <v>1329</v>
      </c>
      <c r="C472" s="111">
        <v>1</v>
      </c>
      <c r="D472" s="111">
        <v>1</v>
      </c>
      <c r="E472" s="118" t="s">
        <v>1163</v>
      </c>
      <c r="F472" s="118" t="s">
        <v>190</v>
      </c>
      <c r="G472" s="119" t="s">
        <v>23</v>
      </c>
      <c r="H472" s="119" t="s">
        <v>889</v>
      </c>
      <c r="I472" s="117"/>
      <c r="J472" s="117"/>
      <c r="K472" s="117" t="s">
        <v>1116</v>
      </c>
      <c r="L472" s="117" t="s">
        <v>1150</v>
      </c>
      <c r="M472" s="111"/>
      <c r="N472" s="122">
        <v>26082014</v>
      </c>
      <c r="O472" s="140">
        <v>1554.88</v>
      </c>
      <c r="P472" s="227">
        <f t="shared" si="11"/>
        <v>794.99752023437622</v>
      </c>
      <c r="Q472" s="107">
        <v>38.869999999999997</v>
      </c>
      <c r="R472" s="107">
        <v>0</v>
      </c>
      <c r="S472" s="231"/>
      <c r="T472" s="236"/>
      <c r="U472" s="236"/>
    </row>
    <row r="473" spans="1:21" ht="72" x14ac:dyDescent="0.3">
      <c r="A473" s="117">
        <v>471</v>
      </c>
      <c r="B473" s="131">
        <v>1330</v>
      </c>
      <c r="C473" s="111">
        <v>1</v>
      </c>
      <c r="D473" s="111">
        <v>1</v>
      </c>
      <c r="E473" s="118" t="s">
        <v>1163</v>
      </c>
      <c r="F473" s="118" t="s">
        <v>190</v>
      </c>
      <c r="G473" s="119" t="s">
        <v>23</v>
      </c>
      <c r="H473" s="119" t="s">
        <v>889</v>
      </c>
      <c r="I473" s="117"/>
      <c r="J473" s="117"/>
      <c r="K473" s="117" t="s">
        <v>1059</v>
      </c>
      <c r="L473" s="117" t="s">
        <v>1150</v>
      </c>
      <c r="M473" s="111"/>
      <c r="N473" s="122">
        <v>26082014</v>
      </c>
      <c r="O473" s="140">
        <v>1554.88</v>
      </c>
      <c r="P473" s="227">
        <f t="shared" si="11"/>
        <v>794.99752023437622</v>
      </c>
      <c r="Q473" s="107">
        <v>38.869999999999997</v>
      </c>
      <c r="R473" s="107">
        <v>0</v>
      </c>
      <c r="S473" s="231"/>
      <c r="T473" s="236"/>
      <c r="U473" s="236"/>
    </row>
    <row r="474" spans="1:21" ht="72" x14ac:dyDescent="0.3">
      <c r="A474" s="117">
        <v>472</v>
      </c>
      <c r="B474" s="131">
        <v>1331</v>
      </c>
      <c r="C474" s="111">
        <v>1</v>
      </c>
      <c r="D474" s="111">
        <v>1</v>
      </c>
      <c r="E474" s="118" t="s">
        <v>1163</v>
      </c>
      <c r="F474" s="118" t="s">
        <v>190</v>
      </c>
      <c r="G474" s="119" t="s">
        <v>23</v>
      </c>
      <c r="H474" s="119" t="s">
        <v>889</v>
      </c>
      <c r="I474" s="117"/>
      <c r="J474" s="117"/>
      <c r="K474" s="117" t="s">
        <v>1063</v>
      </c>
      <c r="L474" s="117" t="s">
        <v>1149</v>
      </c>
      <c r="M474" s="111"/>
      <c r="N474" s="122">
        <v>26082014</v>
      </c>
      <c r="O474" s="140">
        <v>1554.88</v>
      </c>
      <c r="P474" s="227">
        <f t="shared" si="11"/>
        <v>794.99752023437622</v>
      </c>
      <c r="Q474" s="107">
        <v>38.869999999999997</v>
      </c>
      <c r="R474" s="107">
        <v>0</v>
      </c>
      <c r="S474" s="231">
        <v>205</v>
      </c>
      <c r="T474" s="236"/>
      <c r="U474" s="236"/>
    </row>
    <row r="475" spans="1:21" ht="72" x14ac:dyDescent="0.3">
      <c r="A475" s="117">
        <v>473</v>
      </c>
      <c r="B475" s="131">
        <v>1332</v>
      </c>
      <c r="C475" s="111">
        <v>1</v>
      </c>
      <c r="D475" s="111">
        <v>1</v>
      </c>
      <c r="E475" s="118" t="s">
        <v>1163</v>
      </c>
      <c r="F475" s="118" t="s">
        <v>190</v>
      </c>
      <c r="G475" s="119" t="s">
        <v>23</v>
      </c>
      <c r="H475" s="119" t="s">
        <v>889</v>
      </c>
      <c r="I475" s="117"/>
      <c r="J475" s="117"/>
      <c r="K475" s="117" t="s">
        <v>1059</v>
      </c>
      <c r="L475" s="117" t="s">
        <v>1150</v>
      </c>
      <c r="M475" s="111"/>
      <c r="N475" s="122">
        <v>26082014</v>
      </c>
      <c r="O475" s="140">
        <v>1554.88</v>
      </c>
      <c r="P475" s="227">
        <f t="shared" si="11"/>
        <v>794.99752023437622</v>
      </c>
      <c r="Q475" s="107">
        <v>38.869999999999997</v>
      </c>
      <c r="R475" s="107">
        <v>0</v>
      </c>
      <c r="S475" s="231"/>
      <c r="T475" s="236"/>
      <c r="U475" s="236"/>
    </row>
    <row r="476" spans="1:21" ht="72" x14ac:dyDescent="0.3">
      <c r="A476" s="117">
        <v>474</v>
      </c>
      <c r="B476" s="131">
        <v>1333</v>
      </c>
      <c r="C476" s="111">
        <v>1</v>
      </c>
      <c r="D476" s="111">
        <v>1</v>
      </c>
      <c r="E476" s="118" t="s">
        <v>1163</v>
      </c>
      <c r="F476" s="118" t="s">
        <v>190</v>
      </c>
      <c r="G476" s="119" t="s">
        <v>23</v>
      </c>
      <c r="H476" s="119" t="s">
        <v>889</v>
      </c>
      <c r="I476" s="117"/>
      <c r="J476" s="117"/>
      <c r="K476" s="117" t="s">
        <v>1057</v>
      </c>
      <c r="L476" s="117" t="s">
        <v>1154</v>
      </c>
      <c r="M476" s="111"/>
      <c r="N476" s="122">
        <v>26082014</v>
      </c>
      <c r="O476" s="140">
        <v>1554.88</v>
      </c>
      <c r="P476" s="227">
        <f t="shared" si="11"/>
        <v>794.99752023437622</v>
      </c>
      <c r="Q476" s="107">
        <v>38.869999999999997</v>
      </c>
      <c r="R476" s="107">
        <v>0</v>
      </c>
      <c r="S476" s="231"/>
      <c r="T476" s="236"/>
      <c r="U476" s="236"/>
    </row>
    <row r="477" spans="1:21" ht="72" x14ac:dyDescent="0.3">
      <c r="A477" s="117">
        <v>475</v>
      </c>
      <c r="B477" s="131">
        <v>1334</v>
      </c>
      <c r="C477" s="111">
        <v>1</v>
      </c>
      <c r="D477" s="111">
        <v>1</v>
      </c>
      <c r="E477" s="118" t="s">
        <v>1163</v>
      </c>
      <c r="F477" s="118" t="s">
        <v>190</v>
      </c>
      <c r="G477" s="119" t="s">
        <v>23</v>
      </c>
      <c r="H477" s="119" t="s">
        <v>889</v>
      </c>
      <c r="I477" s="117"/>
      <c r="J477" s="117"/>
      <c r="K477" s="117" t="s">
        <v>1063</v>
      </c>
      <c r="L477" s="117" t="s">
        <v>1149</v>
      </c>
      <c r="M477" s="111"/>
      <c r="N477" s="122">
        <v>26082014</v>
      </c>
      <c r="O477" s="140">
        <v>1554.88</v>
      </c>
      <c r="P477" s="227">
        <f t="shared" si="11"/>
        <v>794.99752023437622</v>
      </c>
      <c r="Q477" s="107">
        <v>38.869999999999997</v>
      </c>
      <c r="R477" s="107">
        <v>0</v>
      </c>
      <c r="S477" s="231">
        <v>205</v>
      </c>
      <c r="T477" s="236"/>
      <c r="U477" s="236"/>
    </row>
    <row r="478" spans="1:21" ht="72" x14ac:dyDescent="0.3">
      <c r="A478" s="117">
        <v>476</v>
      </c>
      <c r="B478" s="131">
        <v>1335</v>
      </c>
      <c r="C478" s="111">
        <v>1</v>
      </c>
      <c r="D478" s="111">
        <v>1</v>
      </c>
      <c r="E478" s="118" t="s">
        <v>1163</v>
      </c>
      <c r="F478" s="118" t="s">
        <v>190</v>
      </c>
      <c r="G478" s="119" t="s">
        <v>23</v>
      </c>
      <c r="H478" s="119" t="s">
        <v>889</v>
      </c>
      <c r="I478" s="117"/>
      <c r="J478" s="117"/>
      <c r="K478" s="117" t="s">
        <v>1059</v>
      </c>
      <c r="L478" s="117" t="s">
        <v>1150</v>
      </c>
      <c r="M478" s="111"/>
      <c r="N478" s="122">
        <v>26082014</v>
      </c>
      <c r="O478" s="140">
        <v>1554.88</v>
      </c>
      <c r="P478" s="227">
        <f t="shared" si="11"/>
        <v>794.99752023437622</v>
      </c>
      <c r="Q478" s="107">
        <v>38.869999999999997</v>
      </c>
      <c r="R478" s="107">
        <v>0</v>
      </c>
      <c r="S478" s="231"/>
      <c r="T478" s="236"/>
      <c r="U478" s="236"/>
    </row>
    <row r="479" spans="1:21" ht="72" x14ac:dyDescent="0.3">
      <c r="A479" s="117">
        <v>477</v>
      </c>
      <c r="B479" s="131">
        <v>1336</v>
      </c>
      <c r="C479" s="111">
        <v>1</v>
      </c>
      <c r="D479" s="111">
        <v>1</v>
      </c>
      <c r="E479" s="118" t="s">
        <v>1163</v>
      </c>
      <c r="F479" s="118" t="s">
        <v>190</v>
      </c>
      <c r="G479" s="119" t="s">
        <v>23</v>
      </c>
      <c r="H479" s="119" t="s">
        <v>889</v>
      </c>
      <c r="I479" s="117"/>
      <c r="J479" s="117"/>
      <c r="K479" s="117" t="s">
        <v>1063</v>
      </c>
      <c r="L479" s="117" t="s">
        <v>1149</v>
      </c>
      <c r="M479" s="111"/>
      <c r="N479" s="122">
        <v>26082014</v>
      </c>
      <c r="O479" s="140">
        <v>1554.88</v>
      </c>
      <c r="P479" s="227">
        <f t="shared" si="11"/>
        <v>794.99752023437622</v>
      </c>
      <c r="Q479" s="107">
        <v>38.869999999999997</v>
      </c>
      <c r="R479" s="107">
        <v>0</v>
      </c>
      <c r="S479" s="231">
        <v>205</v>
      </c>
      <c r="T479" s="236"/>
      <c r="U479" s="236"/>
    </row>
    <row r="480" spans="1:21" ht="72" x14ac:dyDescent="0.3">
      <c r="A480" s="117">
        <v>478</v>
      </c>
      <c r="B480" s="131">
        <v>1337</v>
      </c>
      <c r="C480" s="111">
        <v>1</v>
      </c>
      <c r="D480" s="111">
        <v>1</v>
      </c>
      <c r="E480" s="118" t="s">
        <v>1163</v>
      </c>
      <c r="F480" s="118" t="s">
        <v>190</v>
      </c>
      <c r="G480" s="119" t="s">
        <v>23</v>
      </c>
      <c r="H480" s="119" t="s">
        <v>889</v>
      </c>
      <c r="I480" s="117"/>
      <c r="J480" s="117"/>
      <c r="K480" s="117" t="s">
        <v>1063</v>
      </c>
      <c r="L480" s="117" t="s">
        <v>1149</v>
      </c>
      <c r="M480" s="111"/>
      <c r="N480" s="122">
        <v>26082014</v>
      </c>
      <c r="O480" s="140">
        <v>1554.88</v>
      </c>
      <c r="P480" s="227">
        <f t="shared" si="11"/>
        <v>794.99752023437622</v>
      </c>
      <c r="Q480" s="107">
        <v>38.869999999999997</v>
      </c>
      <c r="R480" s="107">
        <v>0</v>
      </c>
      <c r="S480" s="231">
        <v>205</v>
      </c>
      <c r="T480" s="236"/>
      <c r="U480" s="236"/>
    </row>
    <row r="481" spans="1:21" ht="72" x14ac:dyDescent="0.3">
      <c r="A481" s="117">
        <v>479</v>
      </c>
      <c r="B481" s="131">
        <v>1338</v>
      </c>
      <c r="C481" s="111">
        <v>1</v>
      </c>
      <c r="D481" s="111">
        <v>1</v>
      </c>
      <c r="E481" s="118" t="s">
        <v>1163</v>
      </c>
      <c r="F481" s="118" t="s">
        <v>190</v>
      </c>
      <c r="G481" s="119" t="s">
        <v>23</v>
      </c>
      <c r="H481" s="119" t="s">
        <v>889</v>
      </c>
      <c r="I481" s="117"/>
      <c r="J481" s="117"/>
      <c r="K481" s="117" t="s">
        <v>1066</v>
      </c>
      <c r="L481" s="117" t="s">
        <v>1149</v>
      </c>
      <c r="M481" s="111"/>
      <c r="N481" s="122">
        <v>26082014</v>
      </c>
      <c r="O481" s="140">
        <v>1554.88</v>
      </c>
      <c r="P481" s="227">
        <f t="shared" si="11"/>
        <v>794.99752023437622</v>
      </c>
      <c r="Q481" s="107">
        <v>38.869999999999997</v>
      </c>
      <c r="R481" s="107">
        <v>0</v>
      </c>
      <c r="S481" s="231">
        <v>205</v>
      </c>
      <c r="T481" s="236"/>
      <c r="U481" s="236"/>
    </row>
    <row r="482" spans="1:21" ht="72" x14ac:dyDescent="0.3">
      <c r="A482" s="117">
        <v>480</v>
      </c>
      <c r="B482" s="131">
        <v>1339</v>
      </c>
      <c r="C482" s="111">
        <v>1</v>
      </c>
      <c r="D482" s="111">
        <v>1</v>
      </c>
      <c r="E482" s="118" t="s">
        <v>1163</v>
      </c>
      <c r="F482" s="118" t="s">
        <v>190</v>
      </c>
      <c r="G482" s="119" t="s">
        <v>23</v>
      </c>
      <c r="H482" s="119" t="s">
        <v>889</v>
      </c>
      <c r="I482" s="117"/>
      <c r="J482" s="117"/>
      <c r="K482" s="117" t="s">
        <v>1063</v>
      </c>
      <c r="L482" s="117" t="s">
        <v>1149</v>
      </c>
      <c r="M482" s="111"/>
      <c r="N482" s="122">
        <v>26082014</v>
      </c>
      <c r="O482" s="140">
        <v>1554.88</v>
      </c>
      <c r="P482" s="227">
        <f t="shared" si="11"/>
        <v>794.99752023437622</v>
      </c>
      <c r="Q482" s="107">
        <v>38.869999999999997</v>
      </c>
      <c r="R482" s="107">
        <v>0</v>
      </c>
      <c r="S482" s="231">
        <v>205</v>
      </c>
      <c r="T482" s="236"/>
      <c r="U482" s="236"/>
    </row>
    <row r="483" spans="1:21" ht="72" x14ac:dyDescent="0.3">
      <c r="A483" s="117">
        <v>481</v>
      </c>
      <c r="B483" s="131">
        <v>1340</v>
      </c>
      <c r="C483" s="111">
        <v>1</v>
      </c>
      <c r="D483" s="111">
        <v>1</v>
      </c>
      <c r="E483" s="118" t="s">
        <v>1163</v>
      </c>
      <c r="F483" s="118" t="s">
        <v>190</v>
      </c>
      <c r="G483" s="119" t="s">
        <v>23</v>
      </c>
      <c r="H483" s="119" t="s">
        <v>889</v>
      </c>
      <c r="I483" s="117"/>
      <c r="J483" s="117"/>
      <c r="K483" s="117" t="s">
        <v>1116</v>
      </c>
      <c r="L483" s="117" t="s">
        <v>1150</v>
      </c>
      <c r="M483" s="111"/>
      <c r="N483" s="122">
        <v>26082014</v>
      </c>
      <c r="O483" s="140">
        <v>1554.88</v>
      </c>
      <c r="P483" s="227">
        <f t="shared" si="11"/>
        <v>794.99752023437622</v>
      </c>
      <c r="Q483" s="107">
        <v>38.869999999999997</v>
      </c>
      <c r="R483" s="107">
        <v>0</v>
      </c>
      <c r="S483" s="231"/>
      <c r="T483" s="236"/>
      <c r="U483" s="236"/>
    </row>
    <row r="484" spans="1:21" ht="72" x14ac:dyDescent="0.3">
      <c r="A484" s="117">
        <v>482</v>
      </c>
      <c r="B484" s="131">
        <v>1341</v>
      </c>
      <c r="C484" s="111">
        <v>1</v>
      </c>
      <c r="D484" s="111">
        <v>1</v>
      </c>
      <c r="E484" s="118" t="s">
        <v>1163</v>
      </c>
      <c r="F484" s="118" t="s">
        <v>190</v>
      </c>
      <c r="G484" s="119" t="s">
        <v>23</v>
      </c>
      <c r="H484" s="119" t="s">
        <v>889</v>
      </c>
      <c r="I484" s="117"/>
      <c r="J484" s="117"/>
      <c r="K484" s="117" t="s">
        <v>1063</v>
      </c>
      <c r="L484" s="117" t="s">
        <v>1149</v>
      </c>
      <c r="M484" s="111"/>
      <c r="N484" s="122">
        <v>26082014</v>
      </c>
      <c r="O484" s="140">
        <v>1554.88</v>
      </c>
      <c r="P484" s="227">
        <f t="shared" si="11"/>
        <v>794.99752023437622</v>
      </c>
      <c r="Q484" s="107">
        <v>38.869999999999997</v>
      </c>
      <c r="R484" s="107">
        <v>0</v>
      </c>
      <c r="S484" s="231">
        <v>205</v>
      </c>
      <c r="T484" s="236"/>
      <c r="U484" s="236"/>
    </row>
    <row r="485" spans="1:21" ht="72" x14ac:dyDescent="0.3">
      <c r="A485" s="117">
        <v>483</v>
      </c>
      <c r="B485" s="131">
        <v>1342</v>
      </c>
      <c r="C485" s="111">
        <v>1</v>
      </c>
      <c r="D485" s="111">
        <v>1</v>
      </c>
      <c r="E485" s="118" t="s">
        <v>1163</v>
      </c>
      <c r="F485" s="118" t="s">
        <v>190</v>
      </c>
      <c r="G485" s="119" t="s">
        <v>23</v>
      </c>
      <c r="H485" s="119" t="s">
        <v>889</v>
      </c>
      <c r="I485" s="117"/>
      <c r="J485" s="117"/>
      <c r="K485" s="117" t="s">
        <v>1063</v>
      </c>
      <c r="L485" s="117" t="s">
        <v>1149</v>
      </c>
      <c r="M485" s="111"/>
      <c r="N485" s="122">
        <v>26082014</v>
      </c>
      <c r="O485" s="140">
        <v>1554.88</v>
      </c>
      <c r="P485" s="227">
        <f t="shared" si="11"/>
        <v>794.99752023437622</v>
      </c>
      <c r="Q485" s="107">
        <v>38.869999999999997</v>
      </c>
      <c r="R485" s="107">
        <v>0</v>
      </c>
      <c r="S485" s="231">
        <v>205</v>
      </c>
      <c r="T485" s="236"/>
      <c r="U485" s="236"/>
    </row>
    <row r="486" spans="1:21" ht="72" x14ac:dyDescent="0.3">
      <c r="A486" s="117">
        <v>484</v>
      </c>
      <c r="B486" s="131">
        <v>1343</v>
      </c>
      <c r="C486" s="111">
        <v>1</v>
      </c>
      <c r="D486" s="111">
        <v>1</v>
      </c>
      <c r="E486" s="118" t="s">
        <v>1163</v>
      </c>
      <c r="F486" s="118" t="s">
        <v>190</v>
      </c>
      <c r="G486" s="119" t="s">
        <v>23</v>
      </c>
      <c r="H486" s="119" t="s">
        <v>889</v>
      </c>
      <c r="I486" s="117"/>
      <c r="J486" s="117"/>
      <c r="K486" s="117" t="s">
        <v>1066</v>
      </c>
      <c r="L486" s="117" t="s">
        <v>1149</v>
      </c>
      <c r="M486" s="111"/>
      <c r="N486" s="122">
        <v>26082014</v>
      </c>
      <c r="O486" s="140">
        <v>1554.88</v>
      </c>
      <c r="P486" s="227">
        <f t="shared" si="11"/>
        <v>794.99752023437622</v>
      </c>
      <c r="Q486" s="107">
        <v>38.869999999999997</v>
      </c>
      <c r="R486" s="107">
        <v>0</v>
      </c>
      <c r="S486" s="231">
        <v>205</v>
      </c>
      <c r="T486" s="236"/>
      <c r="U486" s="236"/>
    </row>
    <row r="487" spans="1:21" ht="72" x14ac:dyDescent="0.3">
      <c r="A487" s="117">
        <v>485</v>
      </c>
      <c r="B487" s="131">
        <v>1344</v>
      </c>
      <c r="C487" s="111">
        <v>1</v>
      </c>
      <c r="D487" s="111">
        <v>1</v>
      </c>
      <c r="E487" s="118" t="s">
        <v>1163</v>
      </c>
      <c r="F487" s="118" t="s">
        <v>190</v>
      </c>
      <c r="G487" s="119" t="s">
        <v>23</v>
      </c>
      <c r="H487" s="119" t="s">
        <v>889</v>
      </c>
      <c r="I487" s="117"/>
      <c r="J487" s="117"/>
      <c r="K487" s="117" t="s">
        <v>1066</v>
      </c>
      <c r="L487" s="117" t="s">
        <v>1149</v>
      </c>
      <c r="M487" s="111"/>
      <c r="N487" s="122">
        <v>26082014</v>
      </c>
      <c r="O487" s="140">
        <v>1554.88</v>
      </c>
      <c r="P487" s="227">
        <f t="shared" si="11"/>
        <v>794.99752023437622</v>
      </c>
      <c r="Q487" s="107">
        <v>38.869999999999997</v>
      </c>
      <c r="R487" s="107">
        <v>0</v>
      </c>
      <c r="S487" s="231">
        <v>205</v>
      </c>
      <c r="T487" s="236"/>
      <c r="U487" s="236"/>
    </row>
    <row r="488" spans="1:21" ht="72" x14ac:dyDescent="0.3">
      <c r="A488" s="117">
        <v>486</v>
      </c>
      <c r="B488" s="131">
        <v>1345</v>
      </c>
      <c r="C488" s="111">
        <v>1</v>
      </c>
      <c r="D488" s="111">
        <v>1</v>
      </c>
      <c r="E488" s="118" t="s">
        <v>1163</v>
      </c>
      <c r="F488" s="118" t="s">
        <v>190</v>
      </c>
      <c r="G488" s="119" t="s">
        <v>23</v>
      </c>
      <c r="H488" s="119" t="s">
        <v>889</v>
      </c>
      <c r="I488" s="117"/>
      <c r="J488" s="117"/>
      <c r="K488" s="117" t="s">
        <v>1063</v>
      </c>
      <c r="L488" s="117" t="s">
        <v>1149</v>
      </c>
      <c r="M488" s="111"/>
      <c r="N488" s="122">
        <v>26082014</v>
      </c>
      <c r="O488" s="140">
        <v>1554.88</v>
      </c>
      <c r="P488" s="227">
        <f t="shared" si="11"/>
        <v>794.99752023437622</v>
      </c>
      <c r="Q488" s="107">
        <v>38.869999999999997</v>
      </c>
      <c r="R488" s="107">
        <v>0</v>
      </c>
      <c r="S488" s="231">
        <v>205</v>
      </c>
      <c r="T488" s="236"/>
      <c r="U488" s="236"/>
    </row>
    <row r="489" spans="1:21" ht="72" x14ac:dyDescent="0.3">
      <c r="A489" s="117">
        <v>487</v>
      </c>
      <c r="B489" s="131">
        <v>1346</v>
      </c>
      <c r="C489" s="111">
        <v>1</v>
      </c>
      <c r="D489" s="111">
        <v>1</v>
      </c>
      <c r="E489" s="118" t="s">
        <v>1163</v>
      </c>
      <c r="F489" s="118" t="s">
        <v>190</v>
      </c>
      <c r="G489" s="119" t="s">
        <v>23</v>
      </c>
      <c r="H489" s="119" t="s">
        <v>889</v>
      </c>
      <c r="I489" s="117"/>
      <c r="J489" s="117"/>
      <c r="K489" s="117" t="s">
        <v>1061</v>
      </c>
      <c r="L489" s="117" t="s">
        <v>1150</v>
      </c>
      <c r="M489" s="111"/>
      <c r="N489" s="122">
        <v>26082014</v>
      </c>
      <c r="O489" s="140">
        <v>1554.88</v>
      </c>
      <c r="P489" s="227">
        <f t="shared" si="11"/>
        <v>794.99752023437622</v>
      </c>
      <c r="Q489" s="107">
        <v>38.869999999999997</v>
      </c>
      <c r="R489" s="107">
        <v>0</v>
      </c>
      <c r="S489" s="231"/>
      <c r="T489" s="236"/>
      <c r="U489" s="236"/>
    </row>
    <row r="490" spans="1:21" ht="57.6" x14ac:dyDescent="0.3">
      <c r="A490" s="117">
        <v>488</v>
      </c>
      <c r="B490" s="131">
        <v>1347</v>
      </c>
      <c r="C490" s="111">
        <v>16</v>
      </c>
      <c r="D490" s="111">
        <v>4</v>
      </c>
      <c r="E490" s="118" t="s">
        <v>1353</v>
      </c>
      <c r="F490" s="118" t="s">
        <v>201</v>
      </c>
      <c r="G490" s="119" t="s">
        <v>1181</v>
      </c>
      <c r="H490" s="117" t="s">
        <v>890</v>
      </c>
      <c r="I490" s="117" t="s">
        <v>1060</v>
      </c>
      <c r="J490" s="117" t="s">
        <v>1176</v>
      </c>
      <c r="K490" s="117" t="s">
        <v>1057</v>
      </c>
      <c r="L490" s="117" t="s">
        <v>1154</v>
      </c>
      <c r="M490" s="111"/>
      <c r="N490" s="122">
        <v>26082014</v>
      </c>
      <c r="O490" s="140">
        <v>5693.42</v>
      </c>
      <c r="P490" s="227">
        <f t="shared" si="11"/>
        <v>2910.9994222401742</v>
      </c>
      <c r="Q490" s="107">
        <v>142.34</v>
      </c>
      <c r="R490" s="107">
        <v>0</v>
      </c>
      <c r="S490" s="231"/>
      <c r="T490" s="236"/>
      <c r="U490" s="236"/>
    </row>
    <row r="491" spans="1:21" ht="57.6" x14ac:dyDescent="0.3">
      <c r="A491" s="117">
        <v>489</v>
      </c>
      <c r="B491" s="131">
        <v>1348</v>
      </c>
      <c r="C491" s="111">
        <v>16</v>
      </c>
      <c r="D491" s="111">
        <v>4</v>
      </c>
      <c r="E491" s="118" t="s">
        <v>1353</v>
      </c>
      <c r="F491" s="118" t="s">
        <v>201</v>
      </c>
      <c r="G491" s="119" t="s">
        <v>1173</v>
      </c>
      <c r="H491" s="117" t="s">
        <v>890</v>
      </c>
      <c r="I491" s="117" t="s">
        <v>1171</v>
      </c>
      <c r="J491" s="117" t="s">
        <v>1176</v>
      </c>
      <c r="K491" s="117" t="s">
        <v>1063</v>
      </c>
      <c r="L491" s="117" t="s">
        <v>1149</v>
      </c>
      <c r="M491" s="111"/>
      <c r="N491" s="122">
        <v>26082014</v>
      </c>
      <c r="O491" s="140">
        <v>5693.42</v>
      </c>
      <c r="P491" s="227">
        <f t="shared" si="11"/>
        <v>2910.9994222401742</v>
      </c>
      <c r="Q491" s="107">
        <v>142.34</v>
      </c>
      <c r="R491" s="107">
        <v>0</v>
      </c>
      <c r="S491" s="231">
        <f>P491*0.4</f>
        <v>1164.3997688960696</v>
      </c>
      <c r="T491" s="236"/>
      <c r="U491" s="236"/>
    </row>
    <row r="492" spans="1:21" ht="57.6" x14ac:dyDescent="0.3">
      <c r="A492" s="117">
        <v>490</v>
      </c>
      <c r="B492" s="131">
        <v>1349</v>
      </c>
      <c r="C492" s="111">
        <v>16</v>
      </c>
      <c r="D492" s="111">
        <v>4</v>
      </c>
      <c r="E492" s="118" t="s">
        <v>1353</v>
      </c>
      <c r="F492" s="118" t="s">
        <v>201</v>
      </c>
      <c r="G492" s="119" t="s">
        <v>1188</v>
      </c>
      <c r="H492" s="117" t="s">
        <v>891</v>
      </c>
      <c r="I492" s="117" t="s">
        <v>1171</v>
      </c>
      <c r="J492" s="117" t="s">
        <v>1176</v>
      </c>
      <c r="K492" s="117" t="s">
        <v>1063</v>
      </c>
      <c r="L492" s="117" t="s">
        <v>1149</v>
      </c>
      <c r="M492" s="111"/>
      <c r="N492" s="122">
        <v>26082014</v>
      </c>
      <c r="O492" s="140">
        <v>5928.12</v>
      </c>
      <c r="P492" s="227">
        <f t="shared" si="11"/>
        <v>3030.9996267569268</v>
      </c>
      <c r="Q492" s="107">
        <v>148.19999999999999</v>
      </c>
      <c r="R492" s="107">
        <v>0</v>
      </c>
      <c r="S492" s="231">
        <f>P492*0.4</f>
        <v>1212.3998507027707</v>
      </c>
      <c r="T492" s="236"/>
      <c r="U492" s="236"/>
    </row>
    <row r="493" spans="1:21" ht="57.6" x14ac:dyDescent="0.3">
      <c r="A493" s="117">
        <v>491</v>
      </c>
      <c r="B493" s="131">
        <v>1350</v>
      </c>
      <c r="C493" s="111">
        <v>16</v>
      </c>
      <c r="D493" s="111">
        <v>4</v>
      </c>
      <c r="E493" s="118" t="s">
        <v>1353</v>
      </c>
      <c r="F493" s="118" t="s">
        <v>201</v>
      </c>
      <c r="G493" s="119" t="s">
        <v>379</v>
      </c>
      <c r="H493" s="117" t="s">
        <v>892</v>
      </c>
      <c r="I493" s="117" t="s">
        <v>1171</v>
      </c>
      <c r="J493" s="117" t="s">
        <v>1197</v>
      </c>
      <c r="K493" s="117" t="s">
        <v>1077</v>
      </c>
      <c r="L493" s="117" t="s">
        <v>1150</v>
      </c>
      <c r="M493" s="111"/>
      <c r="N493" s="122">
        <v>26082014</v>
      </c>
      <c r="O493" s="140">
        <v>5928.12</v>
      </c>
      <c r="P493" s="227">
        <f t="shared" si="11"/>
        <v>3030.9996267569268</v>
      </c>
      <c r="Q493" s="107">
        <v>148.19999999999999</v>
      </c>
      <c r="R493" s="107">
        <v>0</v>
      </c>
      <c r="S493" s="231"/>
      <c r="T493" s="236"/>
      <c r="U493" s="236"/>
    </row>
    <row r="494" spans="1:21" ht="72" x14ac:dyDescent="0.3">
      <c r="A494" s="117">
        <v>492</v>
      </c>
      <c r="B494" s="131">
        <v>1351</v>
      </c>
      <c r="C494" s="111">
        <v>1</v>
      </c>
      <c r="D494" s="111">
        <v>1</v>
      </c>
      <c r="E494" s="118" t="s">
        <v>1163</v>
      </c>
      <c r="F494" s="118" t="s">
        <v>190</v>
      </c>
      <c r="G494" s="119" t="s">
        <v>567</v>
      </c>
      <c r="H494" s="117" t="s">
        <v>893</v>
      </c>
      <c r="I494" s="117" t="s">
        <v>1046</v>
      </c>
      <c r="J494" s="117" t="s">
        <v>1048</v>
      </c>
      <c r="K494" s="117" t="s">
        <v>1056</v>
      </c>
      <c r="L494" s="117" t="s">
        <v>1153</v>
      </c>
      <c r="M494" s="111"/>
      <c r="N494" s="122">
        <v>26082014</v>
      </c>
      <c r="O494" s="140">
        <v>8947.92</v>
      </c>
      <c r="P494" s="227">
        <f t="shared" si="11"/>
        <v>4574.9988495932676</v>
      </c>
      <c r="Q494" s="107">
        <v>223.7</v>
      </c>
      <c r="R494" s="107">
        <v>0</v>
      </c>
      <c r="S494" s="231"/>
      <c r="T494" s="236"/>
      <c r="U494" s="236"/>
    </row>
    <row r="495" spans="1:21" ht="72" x14ac:dyDescent="0.3">
      <c r="A495" s="117">
        <v>493</v>
      </c>
      <c r="B495" s="131">
        <v>1352</v>
      </c>
      <c r="C495" s="111">
        <v>1</v>
      </c>
      <c r="D495" s="111">
        <v>1</v>
      </c>
      <c r="E495" s="118" t="s">
        <v>1163</v>
      </c>
      <c r="F495" s="118" t="s">
        <v>190</v>
      </c>
      <c r="G495" s="119" t="s">
        <v>15</v>
      </c>
      <c r="H495" s="119" t="s">
        <v>709</v>
      </c>
      <c r="I495" s="117" t="s">
        <v>1117</v>
      </c>
      <c r="J495" s="117" t="s">
        <v>1050</v>
      </c>
      <c r="K495" s="117" t="s">
        <v>1063</v>
      </c>
      <c r="L495" s="117" t="s">
        <v>1149</v>
      </c>
      <c r="M495" s="111"/>
      <c r="N495" s="122">
        <v>26082014</v>
      </c>
      <c r="O495" s="140">
        <v>9974.73</v>
      </c>
      <c r="P495" s="227">
        <f t="shared" si="11"/>
        <v>5099.9984661243561</v>
      </c>
      <c r="Q495" s="107">
        <v>249.37</v>
      </c>
      <c r="R495" s="107">
        <v>0</v>
      </c>
      <c r="S495" s="231">
        <f>P495*0.4</f>
        <v>2039.9993864497426</v>
      </c>
      <c r="T495" s="236"/>
      <c r="U495" s="236"/>
    </row>
    <row r="496" spans="1:21" ht="72" x14ac:dyDescent="0.3">
      <c r="A496" s="117">
        <v>494</v>
      </c>
      <c r="B496" s="131">
        <v>1353</v>
      </c>
      <c r="C496" s="111">
        <v>1</v>
      </c>
      <c r="D496" s="111">
        <v>1</v>
      </c>
      <c r="E496" s="118" t="s">
        <v>1163</v>
      </c>
      <c r="F496" s="118" t="s">
        <v>190</v>
      </c>
      <c r="G496" s="119" t="s">
        <v>70</v>
      </c>
      <c r="H496" s="119" t="s">
        <v>894</v>
      </c>
      <c r="I496" s="117"/>
      <c r="J496" s="117" t="s">
        <v>1097</v>
      </c>
      <c r="K496" s="117" t="s">
        <v>1059</v>
      </c>
      <c r="L496" s="117" t="s">
        <v>1150</v>
      </c>
      <c r="M496" s="111"/>
      <c r="N496" s="122">
        <v>26082014</v>
      </c>
      <c r="O496" s="140">
        <v>8507.86</v>
      </c>
      <c r="P496" s="227">
        <f t="shared" si="11"/>
        <v>4349.9997443540597</v>
      </c>
      <c r="Q496" s="107">
        <v>212.7</v>
      </c>
      <c r="R496" s="107">
        <v>0</v>
      </c>
      <c r="S496" s="231"/>
      <c r="T496" s="236"/>
      <c r="U496" s="236"/>
    </row>
    <row r="497" spans="1:21" ht="72" x14ac:dyDescent="0.3">
      <c r="A497" s="117">
        <v>495</v>
      </c>
      <c r="B497" s="131">
        <v>1354</v>
      </c>
      <c r="C497" s="111">
        <v>9</v>
      </c>
      <c r="D497" s="111">
        <v>2</v>
      </c>
      <c r="E497" s="118" t="s">
        <v>1151</v>
      </c>
      <c r="F497" s="118" t="s">
        <v>195</v>
      </c>
      <c r="G497" s="119" t="s">
        <v>71</v>
      </c>
      <c r="H497" s="117" t="s">
        <v>672</v>
      </c>
      <c r="I497" s="117" t="s">
        <v>1235</v>
      </c>
      <c r="J497" s="117" t="s">
        <v>1236</v>
      </c>
      <c r="K497" s="117" t="s">
        <v>1059</v>
      </c>
      <c r="L497" s="117" t="s">
        <v>1150</v>
      </c>
      <c r="M497" s="111"/>
      <c r="N497" s="122">
        <v>26082014</v>
      </c>
      <c r="O497" s="140">
        <v>8194.93</v>
      </c>
      <c r="P497" s="227">
        <f t="shared" si="11"/>
        <v>4190.001175971327</v>
      </c>
      <c r="Q497" s="107">
        <v>204.87</v>
      </c>
      <c r="R497" s="107">
        <v>0</v>
      </c>
      <c r="S497" s="231"/>
      <c r="T497" s="236"/>
      <c r="U497" s="236"/>
    </row>
    <row r="498" spans="1:21" ht="72" x14ac:dyDescent="0.3">
      <c r="A498" s="117">
        <v>496</v>
      </c>
      <c r="B498" s="131">
        <v>1355</v>
      </c>
      <c r="C498" s="111">
        <v>1</v>
      </c>
      <c r="D498" s="111">
        <v>1</v>
      </c>
      <c r="E498" s="118" t="s">
        <v>1163</v>
      </c>
      <c r="F498" s="118" t="s">
        <v>190</v>
      </c>
      <c r="G498" s="119" t="s">
        <v>23</v>
      </c>
      <c r="H498" s="119" t="s">
        <v>889</v>
      </c>
      <c r="I498" s="117"/>
      <c r="J498" s="117"/>
      <c r="K498" s="117" t="s">
        <v>1066</v>
      </c>
      <c r="L498" s="117" t="s">
        <v>1149</v>
      </c>
      <c r="M498" s="111"/>
      <c r="N498" s="122">
        <v>26082014</v>
      </c>
      <c r="O498" s="140">
        <v>1554.88</v>
      </c>
      <c r="P498" s="227">
        <f t="shared" si="11"/>
        <v>794.99752023437622</v>
      </c>
      <c r="Q498" s="107">
        <v>38.869999999999997</v>
      </c>
      <c r="R498" s="107">
        <v>0</v>
      </c>
      <c r="S498" s="231">
        <v>205</v>
      </c>
      <c r="T498" s="236"/>
      <c r="U498" s="236"/>
    </row>
    <row r="499" spans="1:21" ht="72" x14ac:dyDescent="0.3">
      <c r="A499" s="117">
        <v>497</v>
      </c>
      <c r="B499" s="131">
        <v>1356</v>
      </c>
      <c r="C499" s="111">
        <v>23</v>
      </c>
      <c r="D499" s="111">
        <v>1</v>
      </c>
      <c r="E499" s="118" t="s">
        <v>1163</v>
      </c>
      <c r="F499" s="118" t="s">
        <v>114</v>
      </c>
      <c r="G499" s="119" t="s">
        <v>72</v>
      </c>
      <c r="H499" s="117" t="s">
        <v>895</v>
      </c>
      <c r="I499" s="117"/>
      <c r="J499" s="117"/>
      <c r="K499" s="117" t="s">
        <v>1055</v>
      </c>
      <c r="L499" s="117" t="s">
        <v>1148</v>
      </c>
      <c r="M499" s="111"/>
      <c r="N499" s="122">
        <v>18092014</v>
      </c>
      <c r="O499" s="140">
        <v>21033</v>
      </c>
      <c r="P499" s="227">
        <f t="shared" si="11"/>
        <v>10754.002137200063</v>
      </c>
      <c r="Q499" s="107">
        <v>525.83000000000004</v>
      </c>
      <c r="R499" s="107">
        <v>0</v>
      </c>
      <c r="S499" s="231"/>
      <c r="T499" s="236"/>
      <c r="U499" s="236"/>
    </row>
    <row r="500" spans="1:21" ht="72" x14ac:dyDescent="0.3">
      <c r="A500" s="117">
        <v>498</v>
      </c>
      <c r="B500" s="131">
        <v>1357</v>
      </c>
      <c r="C500" s="111">
        <v>30</v>
      </c>
      <c r="D500" s="111">
        <v>3</v>
      </c>
      <c r="E500" s="118" t="s">
        <v>1058</v>
      </c>
      <c r="F500" s="118" t="s">
        <v>207</v>
      </c>
      <c r="G500" s="119" t="s">
        <v>73</v>
      </c>
      <c r="H500" s="117" t="s">
        <v>896</v>
      </c>
      <c r="I500" s="117"/>
      <c r="J500" s="117"/>
      <c r="K500" s="117" t="s">
        <v>1059</v>
      </c>
      <c r="L500" s="117" t="s">
        <v>1150</v>
      </c>
      <c r="M500" s="111"/>
      <c r="N500" s="122">
        <v>27012015</v>
      </c>
      <c r="O500" s="140">
        <v>28058.34</v>
      </c>
      <c r="P500" s="227">
        <f t="shared" si="11"/>
        <v>14346.001441843106</v>
      </c>
      <c r="Q500" s="107">
        <v>701.46</v>
      </c>
      <c r="R500" s="107">
        <v>0</v>
      </c>
      <c r="S500" s="231"/>
      <c r="T500" s="236"/>
      <c r="U500" s="236"/>
    </row>
    <row r="501" spans="1:21" ht="72" x14ac:dyDescent="0.3">
      <c r="A501" s="117">
        <v>499</v>
      </c>
      <c r="B501" s="131">
        <v>1358</v>
      </c>
      <c r="C501" s="111">
        <v>28</v>
      </c>
      <c r="D501" s="111">
        <v>3</v>
      </c>
      <c r="E501" s="118" t="s">
        <v>1058</v>
      </c>
      <c r="F501" s="118" t="s">
        <v>205</v>
      </c>
      <c r="G501" s="119" t="s">
        <v>1303</v>
      </c>
      <c r="H501" s="117" t="s">
        <v>897</v>
      </c>
      <c r="I501" s="117" t="s">
        <v>1346</v>
      </c>
      <c r="J501" s="117" t="s">
        <v>1301</v>
      </c>
      <c r="K501" s="117" t="s">
        <v>11</v>
      </c>
      <c r="L501" s="117" t="s">
        <v>1149</v>
      </c>
      <c r="M501" s="111"/>
      <c r="N501" s="122">
        <v>19012015</v>
      </c>
      <c r="O501" s="140">
        <v>916.67</v>
      </c>
      <c r="P501" s="227">
        <f t="shared" si="11"/>
        <v>468.68592873613761</v>
      </c>
      <c r="Q501" s="107">
        <v>22.92</v>
      </c>
      <c r="R501" s="107">
        <v>0</v>
      </c>
      <c r="S501" s="231">
        <v>100</v>
      </c>
      <c r="T501" s="236"/>
      <c r="U501" s="236"/>
    </row>
    <row r="502" spans="1:21" ht="72" x14ac:dyDescent="0.3">
      <c r="A502" s="117">
        <v>500</v>
      </c>
      <c r="B502" s="131">
        <v>1359</v>
      </c>
      <c r="C502" s="111">
        <v>54</v>
      </c>
      <c r="D502" s="111">
        <v>3</v>
      </c>
      <c r="E502" s="118" t="s">
        <v>1058</v>
      </c>
      <c r="F502" s="118" t="s">
        <v>621</v>
      </c>
      <c r="G502" s="119" t="s">
        <v>74</v>
      </c>
      <c r="H502" s="117" t="s">
        <v>638</v>
      </c>
      <c r="I502" s="117"/>
      <c r="J502" s="117"/>
      <c r="K502" s="117" t="s">
        <v>1052</v>
      </c>
      <c r="L502" s="117" t="s">
        <v>1150</v>
      </c>
      <c r="M502" s="111"/>
      <c r="N502" s="122">
        <v>11022015</v>
      </c>
      <c r="O502" s="140">
        <v>3600</v>
      </c>
      <c r="P502" s="227">
        <f t="shared" si="11"/>
        <v>1840.6507723063867</v>
      </c>
      <c r="Q502" s="107">
        <v>90</v>
      </c>
      <c r="R502" s="107">
        <v>0</v>
      </c>
      <c r="S502" s="231">
        <f>P502*0.4</f>
        <v>736.26030892255471</v>
      </c>
      <c r="T502" s="236"/>
      <c r="U502" s="236"/>
    </row>
    <row r="503" spans="1:21" ht="72" x14ac:dyDescent="0.3">
      <c r="A503" s="117">
        <v>501</v>
      </c>
      <c r="B503" s="131">
        <v>1360</v>
      </c>
      <c r="C503" s="111">
        <v>28</v>
      </c>
      <c r="D503" s="111">
        <v>3</v>
      </c>
      <c r="E503" s="118" t="s">
        <v>1058</v>
      </c>
      <c r="F503" s="118" t="s">
        <v>205</v>
      </c>
      <c r="G503" s="119" t="s">
        <v>75</v>
      </c>
      <c r="H503" s="117" t="s">
        <v>637</v>
      </c>
      <c r="I503" s="117" t="s">
        <v>1346</v>
      </c>
      <c r="J503" s="117" t="s">
        <v>1300</v>
      </c>
      <c r="K503" s="117" t="s">
        <v>1059</v>
      </c>
      <c r="L503" s="117" t="s">
        <v>1150</v>
      </c>
      <c r="M503" s="111"/>
      <c r="N503" s="122">
        <v>14032013</v>
      </c>
      <c r="O503" s="140">
        <v>1080</v>
      </c>
      <c r="P503" s="227">
        <f t="shared" si="11"/>
        <v>552.19523169191598</v>
      </c>
      <c r="Q503" s="107">
        <v>27</v>
      </c>
      <c r="R503" s="107">
        <v>0</v>
      </c>
      <c r="S503" s="231"/>
      <c r="T503" s="236"/>
      <c r="U503" s="236"/>
    </row>
    <row r="504" spans="1:21" ht="72" x14ac:dyDescent="0.3">
      <c r="A504" s="117">
        <v>502</v>
      </c>
      <c r="B504" s="131">
        <v>1361</v>
      </c>
      <c r="C504" s="111">
        <v>28</v>
      </c>
      <c r="D504" s="111">
        <v>3</v>
      </c>
      <c r="E504" s="118" t="s">
        <v>1058</v>
      </c>
      <c r="F504" s="118" t="s">
        <v>205</v>
      </c>
      <c r="G504" s="119" t="s">
        <v>75</v>
      </c>
      <c r="H504" s="117" t="s">
        <v>637</v>
      </c>
      <c r="I504" s="117" t="s">
        <v>1346</v>
      </c>
      <c r="J504" s="117" t="s">
        <v>1300</v>
      </c>
      <c r="K504" s="117" t="s">
        <v>1059</v>
      </c>
      <c r="L504" s="117" t="s">
        <v>1150</v>
      </c>
      <c r="M504" s="111"/>
      <c r="N504" s="122">
        <v>14032013</v>
      </c>
      <c r="O504" s="140">
        <v>1080</v>
      </c>
      <c r="P504" s="227">
        <f t="shared" si="11"/>
        <v>552.19523169191598</v>
      </c>
      <c r="Q504" s="107">
        <v>27</v>
      </c>
      <c r="R504" s="107">
        <v>0</v>
      </c>
      <c r="S504" s="231"/>
      <c r="T504" s="236"/>
      <c r="U504" s="236"/>
    </row>
    <row r="505" spans="1:21" ht="72" x14ac:dyDescent="0.3">
      <c r="A505" s="117">
        <v>503</v>
      </c>
      <c r="B505" s="110">
        <v>1362</v>
      </c>
      <c r="C505" s="111">
        <v>2</v>
      </c>
      <c r="D505" s="111">
        <v>1</v>
      </c>
      <c r="E505" s="118" t="s">
        <v>1163</v>
      </c>
      <c r="F505" s="118" t="s">
        <v>191</v>
      </c>
      <c r="G505" s="118" t="s">
        <v>76</v>
      </c>
      <c r="H505" s="117" t="s">
        <v>639</v>
      </c>
      <c r="I505" s="117" t="s">
        <v>1214</v>
      </c>
      <c r="J505" s="117" t="s">
        <v>1096</v>
      </c>
      <c r="K505" s="117" t="s">
        <v>1066</v>
      </c>
      <c r="L505" s="117" t="s">
        <v>1149</v>
      </c>
      <c r="M505" s="111"/>
      <c r="N505" s="122">
        <v>18052015</v>
      </c>
      <c r="O505" s="140">
        <v>1525</v>
      </c>
      <c r="P505" s="227">
        <f t="shared" si="11"/>
        <v>779.72011882423317</v>
      </c>
      <c r="Q505" s="107">
        <v>38.130000000000003</v>
      </c>
      <c r="R505" s="107">
        <v>0</v>
      </c>
      <c r="S505" s="231">
        <f>P505*0.4</f>
        <v>311.88804752969327</v>
      </c>
      <c r="T505" s="236"/>
      <c r="U505" s="236"/>
    </row>
    <row r="506" spans="1:21" ht="72" x14ac:dyDescent="0.3">
      <c r="A506" s="117">
        <v>504</v>
      </c>
      <c r="B506" s="110">
        <v>1367</v>
      </c>
      <c r="C506" s="111">
        <v>49</v>
      </c>
      <c r="D506" s="111">
        <v>5</v>
      </c>
      <c r="E506" s="118" t="s">
        <v>1152</v>
      </c>
      <c r="F506" s="118" t="s">
        <v>587</v>
      </c>
      <c r="G506" s="118" t="s">
        <v>391</v>
      </c>
      <c r="H506" s="117" t="s">
        <v>640</v>
      </c>
      <c r="I506" s="117"/>
      <c r="J506" s="117"/>
      <c r="K506" s="117" t="s">
        <v>1118</v>
      </c>
      <c r="L506" s="117" t="s">
        <v>1150</v>
      </c>
      <c r="M506" s="111"/>
      <c r="N506" s="122">
        <v>8092015</v>
      </c>
      <c r="O506" s="140">
        <v>5196</v>
      </c>
      <c r="P506" s="227">
        <f t="shared" si="11"/>
        <v>2656.6726146955511</v>
      </c>
      <c r="Q506" s="107">
        <v>129.9</v>
      </c>
      <c r="R506" s="107">
        <v>0</v>
      </c>
      <c r="S506" s="231"/>
      <c r="T506" s="236"/>
      <c r="U506" s="236"/>
    </row>
    <row r="507" spans="1:21" ht="72" x14ac:dyDescent="0.3">
      <c r="A507" s="117">
        <v>505</v>
      </c>
      <c r="B507" s="110">
        <v>1371</v>
      </c>
      <c r="C507" s="111">
        <v>10</v>
      </c>
      <c r="D507" s="111">
        <v>2</v>
      </c>
      <c r="E507" s="118" t="s">
        <v>1151</v>
      </c>
      <c r="F507" s="118" t="s">
        <v>43</v>
      </c>
      <c r="G507" s="118" t="s">
        <v>77</v>
      </c>
      <c r="H507" s="117" t="s">
        <v>641</v>
      </c>
      <c r="I507" s="117" t="s">
        <v>1119</v>
      </c>
      <c r="J507" s="117" t="s">
        <v>1085</v>
      </c>
      <c r="K507" s="117" t="s">
        <v>1056</v>
      </c>
      <c r="L507" s="117" t="s">
        <v>1153</v>
      </c>
      <c r="M507" s="111"/>
      <c r="N507" s="122">
        <v>18122015</v>
      </c>
      <c r="O507" s="140">
        <v>7915</v>
      </c>
      <c r="P507" s="227">
        <f t="shared" si="11"/>
        <v>4046.8752396680693</v>
      </c>
      <c r="Q507" s="107">
        <v>197.88</v>
      </c>
      <c r="R507" s="107">
        <v>0</v>
      </c>
      <c r="S507" s="231"/>
      <c r="T507" s="236"/>
      <c r="U507" s="236"/>
    </row>
    <row r="508" spans="1:21" ht="72" x14ac:dyDescent="0.3">
      <c r="A508" s="117">
        <v>506</v>
      </c>
      <c r="B508" s="110">
        <v>1375</v>
      </c>
      <c r="C508" s="111">
        <v>24</v>
      </c>
      <c r="D508" s="111">
        <v>1</v>
      </c>
      <c r="E508" s="118" t="s">
        <v>1163</v>
      </c>
      <c r="F508" s="118" t="s">
        <v>225</v>
      </c>
      <c r="G508" s="118" t="s">
        <v>600</v>
      </c>
      <c r="H508" s="117" t="s">
        <v>642</v>
      </c>
      <c r="I508" s="117" t="s">
        <v>1344</v>
      </c>
      <c r="J508" s="117" t="s">
        <v>1293</v>
      </c>
      <c r="K508" s="117" t="s">
        <v>1055</v>
      </c>
      <c r="L508" s="117" t="s">
        <v>1148</v>
      </c>
      <c r="M508" s="111"/>
      <c r="N508" s="122">
        <v>6012016</v>
      </c>
      <c r="O508" s="140">
        <v>12908.48</v>
      </c>
      <c r="P508" s="227">
        <f t="shared" si="11"/>
        <v>6600.0010225837623</v>
      </c>
      <c r="Q508" s="107">
        <v>322.70999999999998</v>
      </c>
      <c r="R508" s="107">
        <v>0</v>
      </c>
      <c r="S508" s="231"/>
      <c r="T508" s="236"/>
      <c r="U508" s="236"/>
    </row>
    <row r="509" spans="1:21" ht="72" x14ac:dyDescent="0.3">
      <c r="A509" s="117">
        <v>507</v>
      </c>
      <c r="B509" s="110">
        <v>1378</v>
      </c>
      <c r="C509" s="111">
        <v>4</v>
      </c>
      <c r="D509" s="111">
        <v>3</v>
      </c>
      <c r="E509" s="118" t="s">
        <v>1058</v>
      </c>
      <c r="F509" s="118" t="s">
        <v>213</v>
      </c>
      <c r="G509" s="118" t="s">
        <v>572</v>
      </c>
      <c r="H509" s="117" t="s">
        <v>643</v>
      </c>
      <c r="I509" s="117" t="s">
        <v>1068</v>
      </c>
      <c r="J509" s="117"/>
      <c r="K509" s="117" t="s">
        <v>1066</v>
      </c>
      <c r="L509" s="117" t="s">
        <v>1149</v>
      </c>
      <c r="M509" s="111"/>
      <c r="N509" s="122">
        <v>3022016</v>
      </c>
      <c r="O509" s="140">
        <v>7980</v>
      </c>
      <c r="P509" s="227">
        <f t="shared" si="11"/>
        <v>4080.1092119458235</v>
      </c>
      <c r="Q509" s="107">
        <v>199.5</v>
      </c>
      <c r="R509" s="107">
        <v>0</v>
      </c>
      <c r="S509" s="231">
        <f>P509*0.4</f>
        <v>1632.0436847783294</v>
      </c>
      <c r="T509" s="236"/>
      <c r="U509" s="236"/>
    </row>
    <row r="510" spans="1:21" ht="72" x14ac:dyDescent="0.3">
      <c r="A510" s="117">
        <v>508</v>
      </c>
      <c r="B510" s="110">
        <v>1379</v>
      </c>
      <c r="C510" s="111">
        <v>11</v>
      </c>
      <c r="D510" s="111">
        <v>3</v>
      </c>
      <c r="E510" s="118" t="s">
        <v>1058</v>
      </c>
      <c r="F510" s="118" t="s">
        <v>196</v>
      </c>
      <c r="G510" s="118" t="s">
        <v>78</v>
      </c>
      <c r="H510" s="118" t="s">
        <v>644</v>
      </c>
      <c r="I510" s="117" t="s">
        <v>1241</v>
      </c>
      <c r="J510" s="117"/>
      <c r="K510" s="117" t="s">
        <v>1059</v>
      </c>
      <c r="L510" s="117" t="s">
        <v>1150</v>
      </c>
      <c r="M510" s="111"/>
      <c r="N510" s="122">
        <v>31032016</v>
      </c>
      <c r="O510" s="140">
        <v>23836.25</v>
      </c>
      <c r="P510" s="227">
        <f t="shared" si="11"/>
        <v>12187.281103163363</v>
      </c>
      <c r="Q510" s="107">
        <v>595.91</v>
      </c>
      <c r="R510" s="107">
        <v>0</v>
      </c>
      <c r="S510" s="231"/>
      <c r="T510" s="236"/>
      <c r="U510" s="236"/>
    </row>
    <row r="511" spans="1:21" ht="72" x14ac:dyDescent="0.3">
      <c r="A511" s="117">
        <v>509</v>
      </c>
      <c r="B511" s="110">
        <v>1380</v>
      </c>
      <c r="C511" s="111">
        <v>11</v>
      </c>
      <c r="D511" s="111">
        <v>3</v>
      </c>
      <c r="E511" s="118" t="s">
        <v>1058</v>
      </c>
      <c r="F511" s="118" t="s">
        <v>196</v>
      </c>
      <c r="G511" s="118" t="s">
        <v>79</v>
      </c>
      <c r="H511" s="118" t="s">
        <v>651</v>
      </c>
      <c r="I511" s="117" t="s">
        <v>1241</v>
      </c>
      <c r="J511" s="117"/>
      <c r="K511" s="117" t="s">
        <v>1059</v>
      </c>
      <c r="L511" s="117" t="s">
        <v>1150</v>
      </c>
      <c r="M511" s="111"/>
      <c r="N511" s="122">
        <v>31032016</v>
      </c>
      <c r="O511" s="140">
        <v>24432.68</v>
      </c>
      <c r="P511" s="227">
        <f t="shared" si="11"/>
        <v>12492.230919865224</v>
      </c>
      <c r="Q511" s="107">
        <v>610.82000000000005</v>
      </c>
      <c r="R511" s="107">
        <v>0</v>
      </c>
      <c r="S511" s="231"/>
      <c r="T511" s="236"/>
      <c r="U511" s="236"/>
    </row>
    <row r="512" spans="1:21" ht="72" x14ac:dyDescent="0.3">
      <c r="A512" s="117">
        <v>510</v>
      </c>
      <c r="B512" s="110">
        <v>1381</v>
      </c>
      <c r="C512" s="111">
        <v>31</v>
      </c>
      <c r="D512" s="111">
        <v>3</v>
      </c>
      <c r="E512" s="118" t="s">
        <v>1058</v>
      </c>
      <c r="F512" s="118" t="s">
        <v>208</v>
      </c>
      <c r="G512" s="118" t="s">
        <v>80</v>
      </c>
      <c r="H512" s="117" t="s">
        <v>645</v>
      </c>
      <c r="I512" s="117"/>
      <c r="J512" s="117"/>
      <c r="K512" s="117" t="s">
        <v>1059</v>
      </c>
      <c r="L512" s="117" t="s">
        <v>1150</v>
      </c>
      <c r="M512" s="111"/>
      <c r="N512" s="122">
        <v>9052016</v>
      </c>
      <c r="O512" s="140">
        <v>4596.6000000000004</v>
      </c>
      <c r="P512" s="227">
        <f t="shared" si="11"/>
        <v>2350.2042611065381</v>
      </c>
      <c r="Q512" s="107">
        <v>114.92</v>
      </c>
      <c r="R512" s="107">
        <v>0</v>
      </c>
      <c r="S512" s="231"/>
      <c r="T512" s="236"/>
      <c r="U512" s="236"/>
    </row>
    <row r="513" spans="1:21" ht="72" x14ac:dyDescent="0.3">
      <c r="A513" s="117">
        <v>511</v>
      </c>
      <c r="B513" s="110">
        <v>1382</v>
      </c>
      <c r="C513" s="111">
        <v>12</v>
      </c>
      <c r="D513" s="111">
        <v>2</v>
      </c>
      <c r="E513" s="118" t="s">
        <v>1151</v>
      </c>
      <c r="F513" s="118" t="s">
        <v>197</v>
      </c>
      <c r="G513" s="118" t="s">
        <v>81</v>
      </c>
      <c r="H513" s="118" t="s">
        <v>646</v>
      </c>
      <c r="I513" s="117"/>
      <c r="J513" s="117" t="s">
        <v>1082</v>
      </c>
      <c r="K513" s="117" t="s">
        <v>1067</v>
      </c>
      <c r="L513" s="117" t="s">
        <v>1150</v>
      </c>
      <c r="M513" s="111"/>
      <c r="N513" s="122">
        <v>3052016</v>
      </c>
      <c r="O513" s="140">
        <v>43028.26</v>
      </c>
      <c r="P513" s="227">
        <f t="shared" si="11"/>
        <v>22000</v>
      </c>
      <c r="Q513" s="107">
        <v>1075.71</v>
      </c>
      <c r="R513" s="107">
        <v>0</v>
      </c>
      <c r="S513" s="231"/>
      <c r="T513" s="236"/>
      <c r="U513" s="236"/>
    </row>
    <row r="514" spans="1:21" ht="57.6" x14ac:dyDescent="0.3">
      <c r="A514" s="117">
        <v>512</v>
      </c>
      <c r="B514" s="110">
        <v>1383</v>
      </c>
      <c r="C514" s="111">
        <v>16</v>
      </c>
      <c r="D514" s="111">
        <v>4</v>
      </c>
      <c r="E514" s="118" t="s">
        <v>1353</v>
      </c>
      <c r="F514" s="118" t="s">
        <v>201</v>
      </c>
      <c r="G514" s="118" t="s">
        <v>82</v>
      </c>
      <c r="H514" s="117" t="s">
        <v>647</v>
      </c>
      <c r="I514" s="117" t="s">
        <v>1171</v>
      </c>
      <c r="J514" s="117" t="s">
        <v>1076</v>
      </c>
      <c r="K514" s="117" t="s">
        <v>1066</v>
      </c>
      <c r="L514" s="117" t="s">
        <v>1149</v>
      </c>
      <c r="M514" s="111"/>
      <c r="N514" s="122">
        <v>18052016</v>
      </c>
      <c r="O514" s="140">
        <v>5928.12</v>
      </c>
      <c r="P514" s="227">
        <f t="shared" si="11"/>
        <v>3030.9996267569268</v>
      </c>
      <c r="Q514" s="107">
        <v>148.19999999999999</v>
      </c>
      <c r="R514" s="107">
        <v>0</v>
      </c>
      <c r="S514" s="231">
        <f>P514*0.4</f>
        <v>1212.3998507027707</v>
      </c>
      <c r="T514" s="236"/>
      <c r="U514" s="236"/>
    </row>
    <row r="515" spans="1:21" ht="57.6" x14ac:dyDescent="0.3">
      <c r="A515" s="117">
        <v>513</v>
      </c>
      <c r="B515" s="110">
        <v>1384</v>
      </c>
      <c r="C515" s="111">
        <v>16</v>
      </c>
      <c r="D515" s="111">
        <v>4</v>
      </c>
      <c r="E515" s="118" t="s">
        <v>1353</v>
      </c>
      <c r="F515" s="118" t="s">
        <v>201</v>
      </c>
      <c r="G515" s="118" t="s">
        <v>82</v>
      </c>
      <c r="H515" s="117" t="s">
        <v>647</v>
      </c>
      <c r="I515" s="117" t="s">
        <v>1171</v>
      </c>
      <c r="J515" s="117" t="s">
        <v>1076</v>
      </c>
      <c r="K515" s="117" t="s">
        <v>1063</v>
      </c>
      <c r="L515" s="117" t="s">
        <v>1149</v>
      </c>
      <c r="M515" s="111"/>
      <c r="N515" s="122">
        <v>18052016</v>
      </c>
      <c r="O515" s="140">
        <v>5928.12</v>
      </c>
      <c r="P515" s="227">
        <f t="shared" si="11"/>
        <v>3030.9996267569268</v>
      </c>
      <c r="Q515" s="107">
        <v>148.19999999999999</v>
      </c>
      <c r="R515" s="107">
        <v>0</v>
      </c>
      <c r="S515" s="231">
        <f>P515*0.4</f>
        <v>1212.3998507027707</v>
      </c>
      <c r="T515" s="236"/>
      <c r="U515" s="236"/>
    </row>
    <row r="516" spans="1:21" ht="72" x14ac:dyDescent="0.3">
      <c r="A516" s="117">
        <v>514</v>
      </c>
      <c r="B516" s="110">
        <v>1385</v>
      </c>
      <c r="C516" s="111">
        <v>2</v>
      </c>
      <c r="D516" s="111">
        <v>1</v>
      </c>
      <c r="E516" s="118" t="s">
        <v>1163</v>
      </c>
      <c r="F516" s="118" t="s">
        <v>191</v>
      </c>
      <c r="G516" s="119" t="s">
        <v>65</v>
      </c>
      <c r="H516" s="117" t="s">
        <v>648</v>
      </c>
      <c r="I516" s="117" t="s">
        <v>1105</v>
      </c>
      <c r="J516" s="117" t="s">
        <v>1074</v>
      </c>
      <c r="K516" s="117" t="s">
        <v>1063</v>
      </c>
      <c r="L516" s="117" t="s">
        <v>1149</v>
      </c>
      <c r="M516" s="111"/>
      <c r="N516" s="122">
        <v>26052016</v>
      </c>
      <c r="O516" s="140">
        <v>2872</v>
      </c>
      <c r="P516" s="227">
        <f t="shared" ref="P516:P579" si="12">O516/$P$1</f>
        <v>1468.4302827955396</v>
      </c>
      <c r="Q516" s="107">
        <v>71.8</v>
      </c>
      <c r="R516" s="107">
        <v>0</v>
      </c>
      <c r="S516" s="231">
        <f>P516*0.4</f>
        <v>587.37211311821591</v>
      </c>
      <c r="T516" s="236"/>
      <c r="U516" s="236"/>
    </row>
    <row r="517" spans="1:21" ht="72" x14ac:dyDescent="0.3">
      <c r="A517" s="117">
        <v>515</v>
      </c>
      <c r="B517" s="110">
        <v>1386</v>
      </c>
      <c r="C517" s="111">
        <v>2</v>
      </c>
      <c r="D517" s="111">
        <v>1</v>
      </c>
      <c r="E517" s="118" t="s">
        <v>1163</v>
      </c>
      <c r="F517" s="118" t="s">
        <v>191</v>
      </c>
      <c r="G517" s="119" t="s">
        <v>65</v>
      </c>
      <c r="H517" s="119" t="s">
        <v>648</v>
      </c>
      <c r="I517" s="117" t="s">
        <v>1105</v>
      </c>
      <c r="J517" s="117" t="s">
        <v>1074</v>
      </c>
      <c r="K517" s="117" t="s">
        <v>1063</v>
      </c>
      <c r="L517" s="117" t="s">
        <v>1149</v>
      </c>
      <c r="M517" s="111"/>
      <c r="N517" s="122">
        <v>26052016</v>
      </c>
      <c r="O517" s="140">
        <v>2872</v>
      </c>
      <c r="P517" s="227">
        <f t="shared" si="12"/>
        <v>1468.4302827955396</v>
      </c>
      <c r="Q517" s="107">
        <v>71.8</v>
      </c>
      <c r="R517" s="107">
        <v>0</v>
      </c>
      <c r="S517" s="231">
        <f>P517*0.4</f>
        <v>587.37211311821591</v>
      </c>
      <c r="T517" s="236"/>
      <c r="U517" s="236"/>
    </row>
    <row r="518" spans="1:21" ht="72" x14ac:dyDescent="0.3">
      <c r="A518" s="117">
        <v>516</v>
      </c>
      <c r="B518" s="110">
        <v>1387</v>
      </c>
      <c r="C518" s="111">
        <v>10</v>
      </c>
      <c r="D518" s="111">
        <v>2</v>
      </c>
      <c r="E518" s="118" t="s">
        <v>1151</v>
      </c>
      <c r="F518" s="118" t="s">
        <v>43</v>
      </c>
      <c r="G518" s="118" t="s">
        <v>580</v>
      </c>
      <c r="H518" s="117" t="s">
        <v>650</v>
      </c>
      <c r="I518" s="117" t="s">
        <v>1120</v>
      </c>
      <c r="J518" s="117" t="s">
        <v>1085</v>
      </c>
      <c r="K518" s="117" t="s">
        <v>1066</v>
      </c>
      <c r="L518" s="117" t="s">
        <v>1149</v>
      </c>
      <c r="M518" s="111"/>
      <c r="N518" s="122">
        <v>21072016</v>
      </c>
      <c r="O518" s="140">
        <v>13299.65</v>
      </c>
      <c r="P518" s="227">
        <f t="shared" si="12"/>
        <v>6800.0030677512868</v>
      </c>
      <c r="Q518" s="107">
        <v>332.49</v>
      </c>
      <c r="R518" s="107">
        <v>0</v>
      </c>
      <c r="S518" s="231">
        <f>P518*0.4</f>
        <v>2720.0012271005148</v>
      </c>
      <c r="T518" s="236"/>
      <c r="U518" s="236"/>
    </row>
    <row r="519" spans="1:21" ht="72" x14ac:dyDescent="0.3">
      <c r="A519" s="117">
        <v>517</v>
      </c>
      <c r="B519" s="110">
        <v>1388</v>
      </c>
      <c r="C519" s="111">
        <v>5</v>
      </c>
      <c r="D519" s="111">
        <v>2</v>
      </c>
      <c r="E519" s="118" t="s">
        <v>1151</v>
      </c>
      <c r="F519" s="118" t="s">
        <v>212</v>
      </c>
      <c r="G519" s="118" t="s">
        <v>83</v>
      </c>
      <c r="H519" s="118" t="s">
        <v>649</v>
      </c>
      <c r="I519" s="117" t="s">
        <v>1218</v>
      </c>
      <c r="J519" s="117" t="s">
        <v>1068</v>
      </c>
      <c r="K519" s="117" t="s">
        <v>1056</v>
      </c>
      <c r="L519" s="117" t="s">
        <v>1153</v>
      </c>
      <c r="M519" s="111"/>
      <c r="N519" s="122">
        <v>3082016</v>
      </c>
      <c r="O519" s="140">
        <v>6000</v>
      </c>
      <c r="P519" s="227">
        <f t="shared" si="12"/>
        <v>3067.751287177311</v>
      </c>
      <c r="Q519" s="107">
        <v>150</v>
      </c>
      <c r="R519" s="107">
        <v>0</v>
      </c>
      <c r="S519" s="231"/>
      <c r="T519" s="236"/>
      <c r="U519" s="236"/>
    </row>
    <row r="520" spans="1:21" ht="72" x14ac:dyDescent="0.3">
      <c r="A520" s="117">
        <v>518</v>
      </c>
      <c r="B520" s="110">
        <v>1391</v>
      </c>
      <c r="C520" s="111">
        <v>2</v>
      </c>
      <c r="D520" s="111">
        <v>1</v>
      </c>
      <c r="E520" s="118" t="s">
        <v>1163</v>
      </c>
      <c r="F520" s="118" t="s">
        <v>191</v>
      </c>
      <c r="G520" s="119" t="s">
        <v>65</v>
      </c>
      <c r="H520" s="119" t="s">
        <v>648</v>
      </c>
      <c r="I520" s="117" t="s">
        <v>1105</v>
      </c>
      <c r="J520" s="117" t="s">
        <v>1083</v>
      </c>
      <c r="K520" s="117" t="s">
        <v>1059</v>
      </c>
      <c r="L520" s="117" t="s">
        <v>1150</v>
      </c>
      <c r="M520" s="111"/>
      <c r="N520" s="122">
        <v>31102016</v>
      </c>
      <c r="O520" s="140">
        <v>3484</v>
      </c>
      <c r="P520" s="227">
        <f t="shared" si="12"/>
        <v>1781.3409140876252</v>
      </c>
      <c r="Q520" s="107">
        <v>87.1</v>
      </c>
      <c r="R520" s="107">
        <v>0</v>
      </c>
      <c r="S520" s="231"/>
      <c r="T520" s="236"/>
      <c r="U520" s="236"/>
    </row>
    <row r="521" spans="1:21" ht="72" x14ac:dyDescent="0.3">
      <c r="A521" s="117">
        <v>519</v>
      </c>
      <c r="B521" s="110">
        <v>1392</v>
      </c>
      <c r="C521" s="111">
        <v>52</v>
      </c>
      <c r="D521" s="111">
        <v>3</v>
      </c>
      <c r="E521" s="118" t="s">
        <v>1058</v>
      </c>
      <c r="F521" s="118" t="s">
        <v>617</v>
      </c>
      <c r="G521" s="118" t="s">
        <v>630</v>
      </c>
      <c r="H521" s="117" t="s">
        <v>652</v>
      </c>
      <c r="I521" s="117"/>
      <c r="J521" s="117"/>
      <c r="K521" s="117" t="s">
        <v>1055</v>
      </c>
      <c r="L521" s="117" t="s">
        <v>1148</v>
      </c>
      <c r="M521" s="111"/>
      <c r="N521" s="122">
        <v>28112016</v>
      </c>
      <c r="O521" s="140">
        <v>1200</v>
      </c>
      <c r="P521" s="227">
        <f t="shared" si="12"/>
        <v>613.55025743546219</v>
      </c>
      <c r="Q521" s="107">
        <v>30</v>
      </c>
      <c r="R521" s="107">
        <v>0</v>
      </c>
      <c r="S521" s="231"/>
      <c r="T521" s="236"/>
      <c r="U521" s="236"/>
    </row>
    <row r="522" spans="1:21" ht="72" x14ac:dyDescent="0.3">
      <c r="A522" s="117">
        <v>520</v>
      </c>
      <c r="B522" s="132">
        <v>1393</v>
      </c>
      <c r="C522" s="111">
        <v>5</v>
      </c>
      <c r="D522" s="111">
        <v>2</v>
      </c>
      <c r="E522" s="118" t="s">
        <v>1151</v>
      </c>
      <c r="F522" s="118" t="s">
        <v>212</v>
      </c>
      <c r="G522" s="118" t="s">
        <v>84</v>
      </c>
      <c r="H522" s="117" t="s">
        <v>653</v>
      </c>
      <c r="I522" s="117" t="s">
        <v>1216</v>
      </c>
      <c r="J522" s="117"/>
      <c r="K522" s="117" t="s">
        <v>1069</v>
      </c>
      <c r="L522" s="117" t="s">
        <v>1150</v>
      </c>
      <c r="M522" s="111"/>
      <c r="N522" s="122">
        <v>28022017</v>
      </c>
      <c r="O522" s="140">
        <v>10757</v>
      </c>
      <c r="P522" s="227">
        <f t="shared" si="12"/>
        <v>5499.9667660277228</v>
      </c>
      <c r="Q522" s="107">
        <v>268.93</v>
      </c>
      <c r="R522" s="107">
        <v>0</v>
      </c>
      <c r="S522" s="231"/>
      <c r="T522" s="236"/>
      <c r="U522" s="236"/>
    </row>
    <row r="523" spans="1:21" ht="86.4" x14ac:dyDescent="0.3">
      <c r="A523" s="117">
        <v>521</v>
      </c>
      <c r="B523" s="110">
        <v>1394</v>
      </c>
      <c r="C523" s="111">
        <v>8</v>
      </c>
      <c r="D523" s="111">
        <v>2</v>
      </c>
      <c r="E523" s="118" t="s">
        <v>1151</v>
      </c>
      <c r="F523" s="118" t="s">
        <v>194</v>
      </c>
      <c r="G523" s="118" t="s">
        <v>85</v>
      </c>
      <c r="H523" s="117" t="s">
        <v>654</v>
      </c>
      <c r="I523" s="117" t="s">
        <v>1121</v>
      </c>
      <c r="J523" s="117" t="s">
        <v>1115</v>
      </c>
      <c r="K523" s="117" t="s">
        <v>1067</v>
      </c>
      <c r="L523" s="117" t="s">
        <v>1150</v>
      </c>
      <c r="M523" s="111"/>
      <c r="N523" s="122">
        <v>23032017</v>
      </c>
      <c r="O523" s="140">
        <v>26599.29</v>
      </c>
      <c r="P523" s="227">
        <f t="shared" si="12"/>
        <v>13600.001022583763</v>
      </c>
      <c r="Q523" s="107">
        <v>664.98</v>
      </c>
      <c r="R523" s="107">
        <v>0</v>
      </c>
      <c r="S523" s="231"/>
      <c r="T523" s="236"/>
      <c r="U523" s="236"/>
    </row>
    <row r="524" spans="1:21" ht="72" x14ac:dyDescent="0.3">
      <c r="A524" s="117">
        <v>522</v>
      </c>
      <c r="B524" s="132">
        <v>1395</v>
      </c>
      <c r="C524" s="111">
        <v>19</v>
      </c>
      <c r="D524" s="111">
        <v>1</v>
      </c>
      <c r="E524" s="118" t="s">
        <v>1163</v>
      </c>
      <c r="F524" s="118" t="s">
        <v>69</v>
      </c>
      <c r="G524" s="119" t="s">
        <v>37</v>
      </c>
      <c r="H524" s="117" t="s">
        <v>657</v>
      </c>
      <c r="I524" s="117"/>
      <c r="J524" s="117"/>
      <c r="K524" s="117" t="s">
        <v>1055</v>
      </c>
      <c r="L524" s="117" t="s">
        <v>1148</v>
      </c>
      <c r="M524" s="111"/>
      <c r="N524" s="122">
        <v>29032017</v>
      </c>
      <c r="O524" s="140">
        <v>2940</v>
      </c>
      <c r="P524" s="227">
        <f t="shared" si="12"/>
        <v>1503.1981307168824</v>
      </c>
      <c r="Q524" s="107">
        <v>73.5</v>
      </c>
      <c r="R524" s="107">
        <v>0</v>
      </c>
      <c r="S524" s="231"/>
      <c r="T524" s="236"/>
      <c r="U524" s="236"/>
    </row>
    <row r="525" spans="1:21" ht="86.4" x14ac:dyDescent="0.3">
      <c r="A525" s="117">
        <v>523</v>
      </c>
      <c r="B525" s="132">
        <v>1396</v>
      </c>
      <c r="C525" s="111">
        <v>8</v>
      </c>
      <c r="D525" s="111">
        <v>2</v>
      </c>
      <c r="E525" s="118" t="s">
        <v>1151</v>
      </c>
      <c r="F525" s="118" t="s">
        <v>194</v>
      </c>
      <c r="G525" s="118" t="s">
        <v>85</v>
      </c>
      <c r="H525" s="117" t="s">
        <v>654</v>
      </c>
      <c r="I525" s="117" t="s">
        <v>1121</v>
      </c>
      <c r="J525" s="117" t="s">
        <v>1115</v>
      </c>
      <c r="K525" s="117" t="s">
        <v>1052</v>
      </c>
      <c r="L525" s="117" t="s">
        <v>1150</v>
      </c>
      <c r="M525" s="111"/>
      <c r="N525" s="122">
        <v>4042017</v>
      </c>
      <c r="O525" s="140">
        <v>29924.2</v>
      </c>
      <c r="P525" s="227">
        <f t="shared" si="12"/>
        <v>15300.000511291883</v>
      </c>
      <c r="Q525" s="107">
        <v>748.11</v>
      </c>
      <c r="R525" s="107">
        <v>0</v>
      </c>
      <c r="S525" s="231"/>
      <c r="T525" s="236"/>
      <c r="U525" s="236"/>
    </row>
    <row r="526" spans="1:21" ht="158.4" x14ac:dyDescent="0.3">
      <c r="A526" s="117">
        <v>524</v>
      </c>
      <c r="B526" s="133">
        <v>1397</v>
      </c>
      <c r="C526" s="111">
        <v>33</v>
      </c>
      <c r="D526" s="111">
        <v>6</v>
      </c>
      <c r="E526" s="118" t="s">
        <v>1158</v>
      </c>
      <c r="F526" s="118" t="s">
        <v>1053</v>
      </c>
      <c r="G526" s="124" t="s">
        <v>1310</v>
      </c>
      <c r="H526" s="117" t="s">
        <v>656</v>
      </c>
      <c r="I526" s="117" t="s">
        <v>1311</v>
      </c>
      <c r="J526" s="117" t="s">
        <v>1313</v>
      </c>
      <c r="K526" s="117" t="s">
        <v>1122</v>
      </c>
      <c r="L526" s="117" t="s">
        <v>1150</v>
      </c>
      <c r="M526" s="111"/>
      <c r="N526" s="122">
        <v>3052017</v>
      </c>
      <c r="O526" s="140">
        <v>18786</v>
      </c>
      <c r="P526" s="227">
        <f t="shared" si="12"/>
        <v>9605.1292801521613</v>
      </c>
      <c r="Q526" s="107">
        <v>656.63</v>
      </c>
      <c r="R526" s="107">
        <v>0</v>
      </c>
      <c r="S526" s="231"/>
      <c r="T526" s="236"/>
      <c r="U526" s="236"/>
    </row>
    <row r="527" spans="1:21" ht="72" x14ac:dyDescent="0.3">
      <c r="A527" s="117">
        <v>525</v>
      </c>
      <c r="B527" s="134">
        <v>1399</v>
      </c>
      <c r="C527" s="111">
        <v>2</v>
      </c>
      <c r="D527" s="111">
        <v>1</v>
      </c>
      <c r="E527" s="118" t="s">
        <v>1163</v>
      </c>
      <c r="F527" s="118" t="s">
        <v>191</v>
      </c>
      <c r="G527" s="118" t="s">
        <v>570</v>
      </c>
      <c r="H527" s="117" t="s">
        <v>659</v>
      </c>
      <c r="I527" s="117" t="s">
        <v>1215</v>
      </c>
      <c r="J527" s="117" t="s">
        <v>1096</v>
      </c>
      <c r="K527" s="117" t="s">
        <v>11</v>
      </c>
      <c r="L527" s="117" t="s">
        <v>1149</v>
      </c>
      <c r="M527" s="111"/>
      <c r="N527" s="122">
        <v>14062017</v>
      </c>
      <c r="O527" s="140">
        <v>2200</v>
      </c>
      <c r="P527" s="227">
        <f t="shared" si="12"/>
        <v>1124.8421386316807</v>
      </c>
      <c r="Q527" s="107">
        <v>55</v>
      </c>
      <c r="R527" s="107">
        <v>0</v>
      </c>
      <c r="S527" s="231">
        <f>P527*0.4</f>
        <v>449.93685545267226</v>
      </c>
      <c r="T527" s="236"/>
      <c r="U527" s="236"/>
    </row>
    <row r="528" spans="1:21" ht="72" x14ac:dyDescent="0.3">
      <c r="A528" s="117">
        <v>526</v>
      </c>
      <c r="B528" s="110">
        <v>1400</v>
      </c>
      <c r="C528" s="111">
        <v>2</v>
      </c>
      <c r="D528" s="111">
        <v>1</v>
      </c>
      <c r="E528" s="118" t="s">
        <v>1163</v>
      </c>
      <c r="F528" s="118" t="s">
        <v>191</v>
      </c>
      <c r="G528" s="118" t="s">
        <v>569</v>
      </c>
      <c r="H528" s="117" t="s">
        <v>659</v>
      </c>
      <c r="I528" s="117" t="s">
        <v>1215</v>
      </c>
      <c r="J528" s="117" t="s">
        <v>1096</v>
      </c>
      <c r="K528" s="117" t="s">
        <v>1067</v>
      </c>
      <c r="L528" s="117" t="s">
        <v>1150</v>
      </c>
      <c r="M528" s="111"/>
      <c r="N528" s="122">
        <v>14062017</v>
      </c>
      <c r="O528" s="140">
        <v>2200</v>
      </c>
      <c r="P528" s="227">
        <f t="shared" si="12"/>
        <v>1124.8421386316807</v>
      </c>
      <c r="Q528" s="107">
        <v>55</v>
      </c>
      <c r="R528" s="107">
        <v>0</v>
      </c>
      <c r="S528" s="231"/>
      <c r="T528" s="236"/>
      <c r="U528" s="236"/>
    </row>
    <row r="529" spans="1:21" ht="72" x14ac:dyDescent="0.3">
      <c r="A529" s="117">
        <v>527</v>
      </c>
      <c r="B529" s="135">
        <v>1401</v>
      </c>
      <c r="C529" s="111">
        <v>7</v>
      </c>
      <c r="D529" s="111">
        <v>3</v>
      </c>
      <c r="E529" s="118" t="s">
        <v>1058</v>
      </c>
      <c r="F529" s="118" t="s">
        <v>193</v>
      </c>
      <c r="G529" s="123" t="s">
        <v>86</v>
      </c>
      <c r="H529" s="117" t="s">
        <v>660</v>
      </c>
      <c r="I529" s="117" t="s">
        <v>1108</v>
      </c>
      <c r="J529" s="117" t="s">
        <v>1095</v>
      </c>
      <c r="K529" s="117" t="s">
        <v>1066</v>
      </c>
      <c r="L529" s="117" t="s">
        <v>1149</v>
      </c>
      <c r="M529" s="111"/>
      <c r="N529" s="122">
        <v>19062017</v>
      </c>
      <c r="O529" s="140">
        <v>4937</v>
      </c>
      <c r="P529" s="227">
        <f t="shared" si="12"/>
        <v>2524.2480174657308</v>
      </c>
      <c r="Q529" s="107">
        <v>123.43</v>
      </c>
      <c r="R529" s="107">
        <v>0</v>
      </c>
      <c r="S529" s="231">
        <f>P529*0.4</f>
        <v>1009.6992069862923</v>
      </c>
      <c r="T529" s="236"/>
      <c r="U529" s="236"/>
    </row>
    <row r="530" spans="1:21" ht="86.4" x14ac:dyDescent="0.3">
      <c r="A530" s="117">
        <v>528</v>
      </c>
      <c r="B530" s="136">
        <v>1402</v>
      </c>
      <c r="C530" s="111">
        <v>8</v>
      </c>
      <c r="D530" s="111">
        <v>2</v>
      </c>
      <c r="E530" s="118" t="s">
        <v>1151</v>
      </c>
      <c r="F530" s="118" t="s">
        <v>194</v>
      </c>
      <c r="G530" s="118" t="s">
        <v>85</v>
      </c>
      <c r="H530" s="118" t="s">
        <v>654</v>
      </c>
      <c r="I530" s="117" t="s">
        <v>1121</v>
      </c>
      <c r="J530" s="117" t="s">
        <v>1115</v>
      </c>
      <c r="K530" s="117" t="s">
        <v>1061</v>
      </c>
      <c r="L530" s="117" t="s">
        <v>1150</v>
      </c>
      <c r="M530" s="111"/>
      <c r="N530" s="122">
        <v>26062017</v>
      </c>
      <c r="O530" s="140">
        <v>29924.2</v>
      </c>
      <c r="P530" s="227">
        <f t="shared" si="12"/>
        <v>15300.000511291883</v>
      </c>
      <c r="Q530" s="107">
        <v>748.11</v>
      </c>
      <c r="R530" s="107">
        <v>0</v>
      </c>
      <c r="S530" s="231"/>
      <c r="T530" s="236"/>
      <c r="U530" s="236"/>
    </row>
    <row r="531" spans="1:21" ht="72" x14ac:dyDescent="0.3">
      <c r="A531" s="117">
        <v>529</v>
      </c>
      <c r="B531" s="137">
        <v>1404</v>
      </c>
      <c r="C531" s="111">
        <v>1</v>
      </c>
      <c r="D531" s="111">
        <v>1</v>
      </c>
      <c r="E531" s="118" t="s">
        <v>1163</v>
      </c>
      <c r="F531" s="118" t="s">
        <v>190</v>
      </c>
      <c r="G531" s="125" t="s">
        <v>568</v>
      </c>
      <c r="H531" s="117" t="s">
        <v>661</v>
      </c>
      <c r="I531" s="117" t="s">
        <v>1123</v>
      </c>
      <c r="J531" s="117" t="s">
        <v>1049</v>
      </c>
      <c r="K531" s="117" t="s">
        <v>1066</v>
      </c>
      <c r="L531" s="117" t="s">
        <v>1149</v>
      </c>
      <c r="M531" s="111"/>
      <c r="N531" s="122">
        <v>1082017</v>
      </c>
      <c r="O531" s="140">
        <v>10561.48</v>
      </c>
      <c r="P531" s="227">
        <f t="shared" si="12"/>
        <v>5399.9989774162377</v>
      </c>
      <c r="Q531" s="107">
        <v>264.04000000000002</v>
      </c>
      <c r="R531" s="107">
        <v>0</v>
      </c>
      <c r="S531" s="231">
        <f>P531*0.4</f>
        <v>2159.9995909664954</v>
      </c>
      <c r="T531" s="236"/>
      <c r="U531" s="236"/>
    </row>
    <row r="532" spans="1:21" ht="72" x14ac:dyDescent="0.3">
      <c r="A532" s="117">
        <v>530</v>
      </c>
      <c r="B532" s="110">
        <v>1405</v>
      </c>
      <c r="C532" s="111">
        <v>1</v>
      </c>
      <c r="D532" s="111">
        <v>1</v>
      </c>
      <c r="E532" s="118" t="s">
        <v>1163</v>
      </c>
      <c r="F532" s="118" t="s">
        <v>190</v>
      </c>
      <c r="G532" s="125" t="s">
        <v>568</v>
      </c>
      <c r="H532" s="117" t="s">
        <v>661</v>
      </c>
      <c r="I532" s="117" t="s">
        <v>1123</v>
      </c>
      <c r="J532" s="117" t="s">
        <v>1049</v>
      </c>
      <c r="K532" s="117" t="s">
        <v>1066</v>
      </c>
      <c r="L532" s="117" t="s">
        <v>1149</v>
      </c>
      <c r="M532" s="111"/>
      <c r="N532" s="122">
        <v>12092017</v>
      </c>
      <c r="O532" s="140">
        <v>10561.48</v>
      </c>
      <c r="P532" s="227">
        <f t="shared" si="12"/>
        <v>5399.9989774162377</v>
      </c>
      <c r="Q532" s="107">
        <v>264.04000000000002</v>
      </c>
      <c r="R532" s="107">
        <v>0</v>
      </c>
      <c r="S532" s="231">
        <f>P532*0.4</f>
        <v>2159.9995909664954</v>
      </c>
      <c r="T532" s="236"/>
      <c r="U532" s="236"/>
    </row>
    <row r="533" spans="1:21" ht="72" x14ac:dyDescent="0.3">
      <c r="A533" s="117">
        <v>531</v>
      </c>
      <c r="B533" s="110">
        <v>1409</v>
      </c>
      <c r="C533" s="111">
        <v>5</v>
      </c>
      <c r="D533" s="111">
        <v>2</v>
      </c>
      <c r="E533" s="118" t="s">
        <v>1151</v>
      </c>
      <c r="F533" s="118" t="s">
        <v>212</v>
      </c>
      <c r="G533" s="118" t="s">
        <v>216</v>
      </c>
      <c r="H533" s="118" t="s">
        <v>662</v>
      </c>
      <c r="I533" s="117" t="s">
        <v>1218</v>
      </c>
      <c r="J533" s="117" t="s">
        <v>1068</v>
      </c>
      <c r="K533" s="117" t="s">
        <v>1063</v>
      </c>
      <c r="L533" s="117" t="s">
        <v>1149</v>
      </c>
      <c r="M533" s="111"/>
      <c r="N533" s="122">
        <v>12042018</v>
      </c>
      <c r="O533" s="140">
        <v>6270</v>
      </c>
      <c r="P533" s="227">
        <f t="shared" si="12"/>
        <v>3205.80009510029</v>
      </c>
      <c r="Q533" s="107">
        <v>156.75</v>
      </c>
      <c r="R533" s="107">
        <v>0</v>
      </c>
      <c r="S533" s="231">
        <f>P533*0.4</f>
        <v>1282.3200380401161</v>
      </c>
      <c r="T533" s="236"/>
      <c r="U533" s="236"/>
    </row>
    <row r="534" spans="1:21" ht="72" x14ac:dyDescent="0.3">
      <c r="A534" s="117">
        <v>532</v>
      </c>
      <c r="B534" s="110">
        <v>1410</v>
      </c>
      <c r="C534" s="111">
        <v>5</v>
      </c>
      <c r="D534" s="111">
        <v>2</v>
      </c>
      <c r="E534" s="118" t="s">
        <v>1151</v>
      </c>
      <c r="F534" s="118" t="s">
        <v>212</v>
      </c>
      <c r="G534" s="118" t="s">
        <v>216</v>
      </c>
      <c r="H534" s="118" t="s">
        <v>662</v>
      </c>
      <c r="I534" s="117" t="s">
        <v>1218</v>
      </c>
      <c r="J534" s="117" t="s">
        <v>1068</v>
      </c>
      <c r="K534" s="117" t="s">
        <v>1059</v>
      </c>
      <c r="L534" s="117" t="s">
        <v>1150</v>
      </c>
      <c r="M534" s="111"/>
      <c r="N534" s="122">
        <v>20042018</v>
      </c>
      <c r="O534" s="140">
        <v>6270</v>
      </c>
      <c r="P534" s="227">
        <f t="shared" si="12"/>
        <v>3205.80009510029</v>
      </c>
      <c r="Q534" s="107">
        <v>156.75</v>
      </c>
      <c r="R534" s="107">
        <v>0</v>
      </c>
      <c r="S534" s="231"/>
      <c r="T534" s="236"/>
      <c r="U534" s="236"/>
    </row>
    <row r="535" spans="1:21" ht="72" x14ac:dyDescent="0.3">
      <c r="A535" s="117">
        <v>533</v>
      </c>
      <c r="B535" s="132">
        <v>1414</v>
      </c>
      <c r="C535" s="111">
        <v>2</v>
      </c>
      <c r="D535" s="111">
        <v>1</v>
      </c>
      <c r="E535" s="118" t="s">
        <v>1163</v>
      </c>
      <c r="F535" s="118" t="s">
        <v>191</v>
      </c>
      <c r="G535" s="118" t="s">
        <v>569</v>
      </c>
      <c r="H535" s="117" t="s">
        <v>659</v>
      </c>
      <c r="I535" s="117" t="s">
        <v>1215</v>
      </c>
      <c r="J535" s="117" t="s">
        <v>1096</v>
      </c>
      <c r="K535" s="117" t="s">
        <v>1056</v>
      </c>
      <c r="L535" s="117" t="s">
        <v>1153</v>
      </c>
      <c r="M535" s="111"/>
      <c r="N535" s="126">
        <v>43269</v>
      </c>
      <c r="O535" s="140">
        <v>2200</v>
      </c>
      <c r="P535" s="227">
        <f t="shared" si="12"/>
        <v>1124.8421386316807</v>
      </c>
      <c r="Q535" s="107">
        <v>55</v>
      </c>
      <c r="R535" s="107">
        <v>0</v>
      </c>
      <c r="S535" s="231"/>
      <c r="T535" s="236"/>
      <c r="U535" s="236"/>
    </row>
    <row r="536" spans="1:21" ht="72" x14ac:dyDescent="0.3">
      <c r="A536" s="117">
        <v>534</v>
      </c>
      <c r="B536" s="132">
        <v>1418</v>
      </c>
      <c r="C536" s="111">
        <v>23</v>
      </c>
      <c r="D536" s="111">
        <v>1</v>
      </c>
      <c r="E536" s="118" t="s">
        <v>1163</v>
      </c>
      <c r="F536" s="118" t="s">
        <v>114</v>
      </c>
      <c r="G536" s="127" t="s">
        <v>597</v>
      </c>
      <c r="H536" s="117" t="s">
        <v>665</v>
      </c>
      <c r="I536" s="117"/>
      <c r="J536" s="117"/>
      <c r="K536" s="117" t="s">
        <v>1055</v>
      </c>
      <c r="L536" s="117" t="s">
        <v>1148</v>
      </c>
      <c r="M536" s="111"/>
      <c r="N536" s="111"/>
      <c r="O536" s="140">
        <v>8624</v>
      </c>
      <c r="P536" s="227">
        <f t="shared" si="12"/>
        <v>4409.3811834361886</v>
      </c>
      <c r="Q536" s="107">
        <v>215.6</v>
      </c>
      <c r="R536" s="107">
        <v>0</v>
      </c>
      <c r="S536" s="231"/>
      <c r="T536" s="236"/>
      <c r="U536" s="236"/>
    </row>
    <row r="537" spans="1:21" ht="72" x14ac:dyDescent="0.3">
      <c r="A537" s="117">
        <v>535</v>
      </c>
      <c r="B537" s="138">
        <v>1421</v>
      </c>
      <c r="C537" s="111">
        <v>19</v>
      </c>
      <c r="D537" s="111">
        <v>1</v>
      </c>
      <c r="E537" s="118" t="s">
        <v>1163</v>
      </c>
      <c r="F537" s="118" t="s">
        <v>69</v>
      </c>
      <c r="G537" s="127" t="s">
        <v>593</v>
      </c>
      <c r="H537" s="117" t="s">
        <v>658</v>
      </c>
      <c r="I537" s="117"/>
      <c r="J537" s="117"/>
      <c r="K537" s="117" t="s">
        <v>1055</v>
      </c>
      <c r="L537" s="117" t="s">
        <v>1148</v>
      </c>
      <c r="M537" s="111"/>
      <c r="N537" s="120">
        <v>43346</v>
      </c>
      <c r="O537" s="140">
        <v>1500</v>
      </c>
      <c r="P537" s="227">
        <f t="shared" si="12"/>
        <v>766.93782179432776</v>
      </c>
      <c r="Q537" s="107">
        <v>37.5</v>
      </c>
      <c r="R537" s="107">
        <v>0</v>
      </c>
      <c r="S537" s="231"/>
      <c r="T537" s="236"/>
      <c r="U537" s="236"/>
    </row>
    <row r="538" spans="1:21" ht="72" x14ac:dyDescent="0.3">
      <c r="A538" s="117">
        <v>536</v>
      </c>
      <c r="B538" s="110">
        <v>1466</v>
      </c>
      <c r="C538" s="111">
        <v>20</v>
      </c>
      <c r="D538" s="111">
        <v>1</v>
      </c>
      <c r="E538" s="118" t="s">
        <v>1163</v>
      </c>
      <c r="F538" s="118" t="s">
        <v>44</v>
      </c>
      <c r="G538" s="118" t="s">
        <v>236</v>
      </c>
      <c r="H538" s="117" t="s">
        <v>663</v>
      </c>
      <c r="I538" s="117" t="s">
        <v>1124</v>
      </c>
      <c r="J538" s="117"/>
      <c r="K538" s="117" t="s">
        <v>1099</v>
      </c>
      <c r="L538" s="117" t="s">
        <v>1155</v>
      </c>
      <c r="M538" s="111"/>
      <c r="N538" s="120">
        <v>43427</v>
      </c>
      <c r="O538" s="140">
        <v>7350</v>
      </c>
      <c r="P538" s="227">
        <f t="shared" si="12"/>
        <v>3757.995326792206</v>
      </c>
      <c r="Q538" s="107">
        <v>183.75</v>
      </c>
      <c r="R538" s="107">
        <v>0</v>
      </c>
      <c r="S538" s="231"/>
      <c r="T538" s="236"/>
      <c r="U538" s="236"/>
    </row>
    <row r="539" spans="1:21" ht="158.4" x14ac:dyDescent="0.3">
      <c r="A539" s="117">
        <v>537</v>
      </c>
      <c r="B539" s="110">
        <v>1479</v>
      </c>
      <c r="C539" s="111">
        <v>33</v>
      </c>
      <c r="D539" s="111">
        <v>6</v>
      </c>
      <c r="E539" s="118" t="s">
        <v>1158</v>
      </c>
      <c r="F539" s="118" t="s">
        <v>1053</v>
      </c>
      <c r="G539" s="118" t="s">
        <v>607</v>
      </c>
      <c r="H539" s="117" t="s">
        <v>664</v>
      </c>
      <c r="I539" s="117" t="s">
        <v>1316</v>
      </c>
      <c r="J539" s="117" t="s">
        <v>1317</v>
      </c>
      <c r="K539" s="117" t="s">
        <v>1125</v>
      </c>
      <c r="L539" s="117" t="s">
        <v>1153</v>
      </c>
      <c r="M539" s="111"/>
      <c r="N539" s="120">
        <v>43446</v>
      </c>
      <c r="O539" s="108">
        <v>1695</v>
      </c>
      <c r="P539" s="229">
        <f t="shared" si="12"/>
        <v>866.6397386275903</v>
      </c>
      <c r="Q539" s="107">
        <v>0</v>
      </c>
      <c r="R539" s="107">
        <v>0</v>
      </c>
      <c r="S539" s="231"/>
      <c r="T539" s="236"/>
      <c r="U539" s="236"/>
    </row>
    <row r="540" spans="1:21" ht="158.4" x14ac:dyDescent="0.3">
      <c r="A540" s="117">
        <v>538</v>
      </c>
      <c r="B540" s="110">
        <v>1480</v>
      </c>
      <c r="C540" s="111">
        <v>33</v>
      </c>
      <c r="D540" s="111">
        <v>6</v>
      </c>
      <c r="E540" s="118" t="s">
        <v>1158</v>
      </c>
      <c r="F540" s="118" t="s">
        <v>1053</v>
      </c>
      <c r="G540" s="118" t="s">
        <v>608</v>
      </c>
      <c r="H540" s="117" t="s">
        <v>667</v>
      </c>
      <c r="I540" s="117" t="s">
        <v>1319</v>
      </c>
      <c r="J540" s="117"/>
      <c r="K540" s="117" t="s">
        <v>1125</v>
      </c>
      <c r="L540" s="117" t="s">
        <v>1153</v>
      </c>
      <c r="M540" s="111"/>
      <c r="N540" s="120">
        <v>43446</v>
      </c>
      <c r="O540" s="108">
        <v>2185</v>
      </c>
      <c r="P540" s="229">
        <f t="shared" si="12"/>
        <v>1117.1727604137375</v>
      </c>
      <c r="Q540" s="107">
        <v>0</v>
      </c>
      <c r="R540" s="107">
        <v>0</v>
      </c>
      <c r="S540" s="231"/>
      <c r="T540" s="236"/>
      <c r="U540" s="236"/>
    </row>
    <row r="541" spans="1:21" ht="72" x14ac:dyDescent="0.3">
      <c r="A541" s="117">
        <v>539</v>
      </c>
      <c r="B541" s="110">
        <v>1481</v>
      </c>
      <c r="C541" s="111">
        <v>28</v>
      </c>
      <c r="D541" s="111">
        <v>3</v>
      </c>
      <c r="E541" s="118" t="s">
        <v>1058</v>
      </c>
      <c r="F541" s="118" t="s">
        <v>205</v>
      </c>
      <c r="G541" s="119" t="s">
        <v>1304</v>
      </c>
      <c r="H541" s="117" t="s">
        <v>666</v>
      </c>
      <c r="I541" s="117" t="s">
        <v>1346</v>
      </c>
      <c r="J541" s="117" t="s">
        <v>1301</v>
      </c>
      <c r="K541" s="117" t="s">
        <v>1059</v>
      </c>
      <c r="L541" s="117" t="s">
        <v>1150</v>
      </c>
      <c r="M541" s="111"/>
      <c r="N541" s="120">
        <v>43445</v>
      </c>
      <c r="O541" s="140">
        <v>1943.62</v>
      </c>
      <c r="P541" s="227">
        <f t="shared" si="12"/>
        <v>993.75712613059409</v>
      </c>
      <c r="Q541" s="107">
        <v>48.59</v>
      </c>
      <c r="R541" s="107">
        <v>0</v>
      </c>
      <c r="S541" s="231"/>
      <c r="T541" s="236"/>
      <c r="U541" s="236"/>
    </row>
    <row r="542" spans="1:21" ht="72" x14ac:dyDescent="0.3">
      <c r="A542" s="117">
        <v>540</v>
      </c>
      <c r="B542" s="110">
        <v>1486</v>
      </c>
      <c r="C542" s="111">
        <v>40</v>
      </c>
      <c r="D542" s="111">
        <v>5</v>
      </c>
      <c r="E542" s="118" t="s">
        <v>1152</v>
      </c>
      <c r="F542" s="118" t="s">
        <v>229</v>
      </c>
      <c r="G542" s="118" t="s">
        <v>586</v>
      </c>
      <c r="H542" s="117" t="s">
        <v>668</v>
      </c>
      <c r="I542" s="117" t="s">
        <v>1323</v>
      </c>
      <c r="J542" s="117"/>
      <c r="K542" s="117" t="s">
        <v>1057</v>
      </c>
      <c r="L542" s="117" t="s">
        <v>1154</v>
      </c>
      <c r="M542" s="111"/>
      <c r="N542" s="120">
        <v>43468</v>
      </c>
      <c r="O542" s="140">
        <v>22891.25</v>
      </c>
      <c r="P542" s="227">
        <f t="shared" si="12"/>
        <v>11704.110275432937</v>
      </c>
      <c r="Q542" s="107">
        <v>572.28</v>
      </c>
      <c r="R542" s="107">
        <v>0</v>
      </c>
      <c r="S542" s="231"/>
      <c r="T542" s="236" t="s">
        <v>1530</v>
      </c>
      <c r="U542" s="236"/>
    </row>
    <row r="543" spans="1:21" ht="158.4" x14ac:dyDescent="0.3">
      <c r="A543" s="117">
        <v>541</v>
      </c>
      <c r="B543" s="131">
        <v>1499</v>
      </c>
      <c r="C543" s="111">
        <v>55</v>
      </c>
      <c r="D543" s="111">
        <v>6</v>
      </c>
      <c r="E543" s="118" t="s">
        <v>1158</v>
      </c>
      <c r="F543" s="118" t="s">
        <v>1156</v>
      </c>
      <c r="G543" s="119" t="s">
        <v>636</v>
      </c>
      <c r="H543" s="119" t="s">
        <v>669</v>
      </c>
      <c r="I543" s="117"/>
      <c r="J543" s="117"/>
      <c r="K543" s="117" t="s">
        <v>1125</v>
      </c>
      <c r="L543" s="117" t="s">
        <v>1153</v>
      </c>
      <c r="M543" s="111"/>
      <c r="N543" s="122"/>
      <c r="O543" s="141">
        <v>13024</v>
      </c>
      <c r="P543" s="228">
        <f t="shared" si="12"/>
        <v>6659.0654606995495</v>
      </c>
      <c r="Q543" s="107">
        <v>0</v>
      </c>
      <c r="R543" s="107">
        <v>0</v>
      </c>
      <c r="S543" s="231"/>
      <c r="T543" s="236"/>
      <c r="U543" s="236"/>
    </row>
    <row r="544" spans="1:21" ht="72" x14ac:dyDescent="0.3">
      <c r="A544" s="117">
        <v>542</v>
      </c>
      <c r="B544" s="110">
        <v>1514</v>
      </c>
      <c r="C544" s="111">
        <v>42</v>
      </c>
      <c r="D544" s="111">
        <v>2</v>
      </c>
      <c r="E544" s="118" t="s">
        <v>1151</v>
      </c>
      <c r="F544" s="118" t="s">
        <v>233</v>
      </c>
      <c r="G544" s="118" t="s">
        <v>234</v>
      </c>
      <c r="H544" s="117" t="s">
        <v>670</v>
      </c>
      <c r="I544" s="117" t="s">
        <v>1323</v>
      </c>
      <c r="J544" s="117" t="s">
        <v>1236</v>
      </c>
      <c r="K544" s="117" t="s">
        <v>1059</v>
      </c>
      <c r="L544" s="117" t="s">
        <v>1150</v>
      </c>
      <c r="M544" s="111"/>
      <c r="N544" s="120">
        <v>43762</v>
      </c>
      <c r="O544" s="140">
        <v>15016.31</v>
      </c>
      <c r="P544" s="227">
        <f t="shared" si="12"/>
        <v>7677.7173885255879</v>
      </c>
      <c r="Q544" s="107">
        <v>375.41</v>
      </c>
      <c r="R544" s="107">
        <v>0</v>
      </c>
      <c r="S544" s="231"/>
      <c r="T544" s="236"/>
      <c r="U544" s="236"/>
    </row>
    <row r="545" spans="1:21" ht="72" x14ac:dyDescent="0.3">
      <c r="A545" s="117">
        <v>543</v>
      </c>
      <c r="B545" s="110">
        <v>1515</v>
      </c>
      <c r="C545" s="111">
        <v>42</v>
      </c>
      <c r="D545" s="111">
        <v>2</v>
      </c>
      <c r="E545" s="118" t="s">
        <v>1151</v>
      </c>
      <c r="F545" s="118" t="s">
        <v>233</v>
      </c>
      <c r="G545" s="118" t="s">
        <v>235</v>
      </c>
      <c r="H545" s="117" t="s">
        <v>671</v>
      </c>
      <c r="I545" s="117" t="s">
        <v>1323</v>
      </c>
      <c r="J545" s="117" t="s">
        <v>1126</v>
      </c>
      <c r="K545" s="117" t="s">
        <v>1066</v>
      </c>
      <c r="L545" s="117" t="s">
        <v>1149</v>
      </c>
      <c r="M545" s="111"/>
      <c r="N545" s="120">
        <v>43762</v>
      </c>
      <c r="O545" s="140">
        <v>17926.330000000002</v>
      </c>
      <c r="P545" s="227">
        <f t="shared" si="12"/>
        <v>9165.5869886442088</v>
      </c>
      <c r="Q545" s="107">
        <v>448.16</v>
      </c>
      <c r="R545" s="107">
        <v>0</v>
      </c>
      <c r="S545" s="234">
        <v>7000</v>
      </c>
      <c r="T545" s="236"/>
      <c r="U545" s="236"/>
    </row>
    <row r="546" spans="1:21" ht="72" x14ac:dyDescent="0.3">
      <c r="A546" s="117">
        <v>544</v>
      </c>
      <c r="B546" s="132">
        <v>1516</v>
      </c>
      <c r="C546" s="111">
        <v>9</v>
      </c>
      <c r="D546" s="111">
        <v>2</v>
      </c>
      <c r="E546" s="118" t="s">
        <v>1151</v>
      </c>
      <c r="F546" s="118" t="s">
        <v>195</v>
      </c>
      <c r="G546" s="118" t="s">
        <v>232</v>
      </c>
      <c r="H546" s="117" t="s">
        <v>673</v>
      </c>
      <c r="I546" s="117" t="s">
        <v>1062</v>
      </c>
      <c r="J546" s="117" t="s">
        <v>1239</v>
      </c>
      <c r="K546" s="117" t="s">
        <v>1063</v>
      </c>
      <c r="L546" s="117" t="s">
        <v>1149</v>
      </c>
      <c r="M546" s="111"/>
      <c r="N546" s="120">
        <v>43690</v>
      </c>
      <c r="O546" s="140">
        <v>9798.7099999999991</v>
      </c>
      <c r="P546" s="227">
        <f t="shared" si="12"/>
        <v>5010.0008691961975</v>
      </c>
      <c r="Q546" s="107">
        <v>244.97</v>
      </c>
      <c r="R546" s="107">
        <v>0</v>
      </c>
      <c r="S546" s="231">
        <f>P546*0.3</f>
        <v>1503.0002607588592</v>
      </c>
      <c r="T546" s="236"/>
      <c r="U546" s="236"/>
    </row>
    <row r="547" spans="1:21" ht="72" x14ac:dyDescent="0.3">
      <c r="A547" s="117">
        <v>545</v>
      </c>
      <c r="B547" s="110">
        <v>1520</v>
      </c>
      <c r="C547" s="111">
        <v>9</v>
      </c>
      <c r="D547" s="111">
        <v>2</v>
      </c>
      <c r="E547" s="118" t="s">
        <v>1151</v>
      </c>
      <c r="F547" s="118" t="s">
        <v>195</v>
      </c>
      <c r="G547" s="118" t="s">
        <v>232</v>
      </c>
      <c r="H547" s="117" t="s">
        <v>673</v>
      </c>
      <c r="I547" s="117" t="s">
        <v>1062</v>
      </c>
      <c r="J547" s="117" t="s">
        <v>1239</v>
      </c>
      <c r="K547" s="117" t="s">
        <v>1063</v>
      </c>
      <c r="L547" s="117" t="s">
        <v>1149</v>
      </c>
      <c r="M547" s="111"/>
      <c r="N547" s="120">
        <v>43745</v>
      </c>
      <c r="O547" s="140">
        <v>12439.1</v>
      </c>
      <c r="P547" s="227">
        <f t="shared" si="12"/>
        <v>6360.0108393878818</v>
      </c>
      <c r="Q547" s="107">
        <v>310.98</v>
      </c>
      <c r="R547" s="107">
        <v>0</v>
      </c>
      <c r="S547" s="231">
        <f>P547*0.3</f>
        <v>1908.0032518163644</v>
      </c>
      <c r="T547" s="236"/>
      <c r="U547" s="236"/>
    </row>
    <row r="548" spans="1:21" ht="72" x14ac:dyDescent="0.3">
      <c r="A548" s="117">
        <v>546</v>
      </c>
      <c r="B548" s="110">
        <v>1547</v>
      </c>
      <c r="C548" s="111">
        <v>11</v>
      </c>
      <c r="D548" s="111">
        <v>3</v>
      </c>
      <c r="E548" s="118" t="s">
        <v>1058</v>
      </c>
      <c r="F548" s="118" t="s">
        <v>196</v>
      </c>
      <c r="G548" s="118" t="s">
        <v>1240</v>
      </c>
      <c r="H548" s="118" t="s">
        <v>674</v>
      </c>
      <c r="I548" s="117" t="s">
        <v>1242</v>
      </c>
      <c r="J548" s="117"/>
      <c r="K548" s="117" t="s">
        <v>1056</v>
      </c>
      <c r="L548" s="117" t="s">
        <v>1153</v>
      </c>
      <c r="M548" s="111"/>
      <c r="N548" s="120">
        <v>43908</v>
      </c>
      <c r="O548" s="140">
        <v>2560</v>
      </c>
      <c r="P548" s="227">
        <f t="shared" si="12"/>
        <v>1308.9072158623194</v>
      </c>
      <c r="Q548" s="107">
        <v>64</v>
      </c>
      <c r="R548" s="107">
        <v>0</v>
      </c>
      <c r="S548" s="231"/>
      <c r="T548" s="236"/>
      <c r="U548" s="236"/>
    </row>
    <row r="549" spans="1:21" ht="72" x14ac:dyDescent="0.3">
      <c r="A549" s="117">
        <v>547</v>
      </c>
      <c r="B549" s="110">
        <v>1548</v>
      </c>
      <c r="C549" s="111">
        <v>7</v>
      </c>
      <c r="D549" s="111">
        <v>3</v>
      </c>
      <c r="E549" s="118" t="s">
        <v>1058</v>
      </c>
      <c r="F549" s="118" t="s">
        <v>193</v>
      </c>
      <c r="G549" s="118" t="s">
        <v>237</v>
      </c>
      <c r="H549" s="117" t="s">
        <v>675</v>
      </c>
      <c r="I549" s="117" t="s">
        <v>1226</v>
      </c>
      <c r="J549" s="117" t="s">
        <v>1225</v>
      </c>
      <c r="K549" s="117" t="s">
        <v>1056</v>
      </c>
      <c r="L549" s="117" t="s">
        <v>1153</v>
      </c>
      <c r="M549" s="111"/>
      <c r="N549" s="120">
        <v>43908</v>
      </c>
      <c r="O549" s="140">
        <v>4140</v>
      </c>
      <c r="P549" s="227">
        <f t="shared" si="12"/>
        <v>2116.7483881523444</v>
      </c>
      <c r="Q549" s="107">
        <v>103.5</v>
      </c>
      <c r="R549" s="107">
        <v>0</v>
      </c>
      <c r="S549" s="231"/>
      <c r="T549" s="236"/>
      <c r="U549" s="236"/>
    </row>
    <row r="550" spans="1:21" ht="72" x14ac:dyDescent="0.3">
      <c r="A550" s="117">
        <v>548</v>
      </c>
      <c r="B550" s="110">
        <v>1549</v>
      </c>
      <c r="C550" s="111">
        <v>42</v>
      </c>
      <c r="D550" s="111">
        <v>2</v>
      </c>
      <c r="E550" s="118" t="s">
        <v>1151</v>
      </c>
      <c r="F550" s="118" t="s">
        <v>233</v>
      </c>
      <c r="G550" s="118" t="s">
        <v>235</v>
      </c>
      <c r="H550" s="118" t="s">
        <v>676</v>
      </c>
      <c r="I550" s="117" t="s">
        <v>1323</v>
      </c>
      <c r="J550" s="117" t="s">
        <v>1126</v>
      </c>
      <c r="K550" s="117" t="s">
        <v>1067</v>
      </c>
      <c r="L550" s="117" t="s">
        <v>1150</v>
      </c>
      <c r="M550" s="111"/>
      <c r="N550" s="120">
        <v>43875</v>
      </c>
      <c r="O550" s="140">
        <v>17858.009999999998</v>
      </c>
      <c r="P550" s="227">
        <f t="shared" si="12"/>
        <v>9130.6555273208814</v>
      </c>
      <c r="Q550" s="107">
        <v>446.45</v>
      </c>
      <c r="R550" s="107">
        <v>0</v>
      </c>
      <c r="S550" s="231"/>
      <c r="T550" s="236"/>
      <c r="U550" s="236"/>
    </row>
    <row r="551" spans="1:21" ht="72" x14ac:dyDescent="0.3">
      <c r="A551" s="117">
        <v>549</v>
      </c>
      <c r="B551" s="110">
        <v>1550</v>
      </c>
      <c r="C551" s="111">
        <v>42</v>
      </c>
      <c r="D551" s="111">
        <v>2</v>
      </c>
      <c r="E551" s="118" t="s">
        <v>1151</v>
      </c>
      <c r="F551" s="118" t="s">
        <v>233</v>
      </c>
      <c r="G551" s="118" t="s">
        <v>235</v>
      </c>
      <c r="H551" s="118" t="s">
        <v>676</v>
      </c>
      <c r="I551" s="117" t="s">
        <v>1323</v>
      </c>
      <c r="J551" s="117" t="s">
        <v>1126</v>
      </c>
      <c r="K551" s="117" t="s">
        <v>1063</v>
      </c>
      <c r="L551" s="117" t="s">
        <v>1149</v>
      </c>
      <c r="M551" s="111"/>
      <c r="N551" s="120">
        <v>43875</v>
      </c>
      <c r="O551" s="140">
        <v>17858.009999999998</v>
      </c>
      <c r="P551" s="227">
        <f t="shared" si="12"/>
        <v>9130.6555273208814</v>
      </c>
      <c r="Q551" s="107">
        <v>446.45</v>
      </c>
      <c r="R551" s="107">
        <v>0</v>
      </c>
      <c r="S551" s="234">
        <v>7000</v>
      </c>
      <c r="T551" s="236"/>
      <c r="U551" s="236"/>
    </row>
    <row r="552" spans="1:21" ht="72" x14ac:dyDescent="0.3">
      <c r="A552" s="117">
        <v>550</v>
      </c>
      <c r="B552" s="110">
        <v>1551</v>
      </c>
      <c r="C552" s="111">
        <v>42</v>
      </c>
      <c r="D552" s="111">
        <v>2</v>
      </c>
      <c r="E552" s="118" t="s">
        <v>1151</v>
      </c>
      <c r="F552" s="118" t="s">
        <v>233</v>
      </c>
      <c r="G552" s="118" t="s">
        <v>235</v>
      </c>
      <c r="H552" s="118" t="s">
        <v>676</v>
      </c>
      <c r="I552" s="117" t="s">
        <v>1323</v>
      </c>
      <c r="J552" s="117" t="s">
        <v>1126</v>
      </c>
      <c r="K552" s="117" t="s">
        <v>1052</v>
      </c>
      <c r="L552" s="117" t="s">
        <v>1150</v>
      </c>
      <c r="M552" s="111"/>
      <c r="N552" s="120">
        <v>43875</v>
      </c>
      <c r="O552" s="140">
        <v>17858.009999999998</v>
      </c>
      <c r="P552" s="227">
        <f t="shared" si="12"/>
        <v>9130.6555273208814</v>
      </c>
      <c r="Q552" s="107">
        <v>446.45</v>
      </c>
      <c r="R552" s="107">
        <v>0</v>
      </c>
      <c r="S552" s="231"/>
      <c r="T552" s="236"/>
      <c r="U552" s="236"/>
    </row>
    <row r="553" spans="1:21" ht="72" x14ac:dyDescent="0.3">
      <c r="A553" s="117">
        <v>551</v>
      </c>
      <c r="B553" s="110">
        <v>1552</v>
      </c>
      <c r="C553" s="111">
        <v>42</v>
      </c>
      <c r="D553" s="111">
        <v>2</v>
      </c>
      <c r="E553" s="118" t="s">
        <v>1151</v>
      </c>
      <c r="F553" s="118" t="s">
        <v>233</v>
      </c>
      <c r="G553" s="118" t="s">
        <v>235</v>
      </c>
      <c r="H553" s="118" t="s">
        <v>676</v>
      </c>
      <c r="I553" s="117" t="s">
        <v>1323</v>
      </c>
      <c r="J553" s="117" t="s">
        <v>1126</v>
      </c>
      <c r="K553" s="117" t="s">
        <v>1061</v>
      </c>
      <c r="L553" s="117" t="s">
        <v>1150</v>
      </c>
      <c r="M553" s="111"/>
      <c r="N553" s="120">
        <v>43875</v>
      </c>
      <c r="O553" s="140">
        <v>17825.91</v>
      </c>
      <c r="P553" s="227">
        <f t="shared" si="12"/>
        <v>9114.2430579344837</v>
      </c>
      <c r="Q553" s="107">
        <v>445.65</v>
      </c>
      <c r="R553" s="107">
        <v>0</v>
      </c>
      <c r="S553" s="231"/>
      <c r="T553" s="236"/>
      <c r="U553" s="236"/>
    </row>
    <row r="554" spans="1:21" ht="72" x14ac:dyDescent="0.3">
      <c r="A554" s="117">
        <v>552</v>
      </c>
      <c r="B554" s="110">
        <v>1553</v>
      </c>
      <c r="C554" s="111">
        <v>42</v>
      </c>
      <c r="D554" s="111">
        <v>2</v>
      </c>
      <c r="E554" s="118" t="s">
        <v>1151</v>
      </c>
      <c r="F554" s="118" t="s">
        <v>233</v>
      </c>
      <c r="G554" s="118" t="s">
        <v>235</v>
      </c>
      <c r="H554" s="118" t="s">
        <v>676</v>
      </c>
      <c r="I554" s="117" t="s">
        <v>1323</v>
      </c>
      <c r="J554" s="117" t="s">
        <v>1126</v>
      </c>
      <c r="K554" s="117" t="s">
        <v>1067</v>
      </c>
      <c r="L554" s="117" t="s">
        <v>1150</v>
      </c>
      <c r="M554" s="111"/>
      <c r="N554" s="120">
        <v>43875</v>
      </c>
      <c r="O554" s="140">
        <v>17825.91</v>
      </c>
      <c r="P554" s="227">
        <f t="shared" si="12"/>
        <v>9114.2430579344837</v>
      </c>
      <c r="Q554" s="107">
        <v>445.65</v>
      </c>
      <c r="R554" s="107">
        <v>0</v>
      </c>
      <c r="S554" s="231"/>
      <c r="T554" s="236"/>
      <c r="U554" s="236"/>
    </row>
    <row r="555" spans="1:21" ht="72" x14ac:dyDescent="0.3">
      <c r="A555" s="117">
        <v>553</v>
      </c>
      <c r="B555" s="110">
        <v>1554</v>
      </c>
      <c r="C555" s="111">
        <v>42</v>
      </c>
      <c r="D555" s="111">
        <v>2</v>
      </c>
      <c r="E555" s="118" t="s">
        <v>1151</v>
      </c>
      <c r="F555" s="118" t="s">
        <v>233</v>
      </c>
      <c r="G555" s="118" t="s">
        <v>235</v>
      </c>
      <c r="H555" s="118" t="s">
        <v>676</v>
      </c>
      <c r="I555" s="117" t="s">
        <v>1323</v>
      </c>
      <c r="J555" s="117" t="s">
        <v>1126</v>
      </c>
      <c r="K555" s="117" t="s">
        <v>1067</v>
      </c>
      <c r="L555" s="117" t="s">
        <v>1150</v>
      </c>
      <c r="M555" s="111"/>
      <c r="N555" s="120">
        <v>43875</v>
      </c>
      <c r="O555" s="140">
        <v>17825.91</v>
      </c>
      <c r="P555" s="227">
        <f t="shared" si="12"/>
        <v>9114.2430579344837</v>
      </c>
      <c r="Q555" s="107">
        <v>445.65</v>
      </c>
      <c r="R555" s="107">
        <v>0</v>
      </c>
      <c r="S555" s="231"/>
      <c r="T555" s="236"/>
      <c r="U555" s="236"/>
    </row>
    <row r="556" spans="1:21" ht="72" x14ac:dyDescent="0.3">
      <c r="A556" s="117">
        <v>554</v>
      </c>
      <c r="B556" s="110">
        <v>1555</v>
      </c>
      <c r="C556" s="111">
        <v>42</v>
      </c>
      <c r="D556" s="111">
        <v>2</v>
      </c>
      <c r="E556" s="118" t="s">
        <v>1151</v>
      </c>
      <c r="F556" s="118" t="s">
        <v>233</v>
      </c>
      <c r="G556" s="118" t="s">
        <v>235</v>
      </c>
      <c r="H556" s="118" t="s">
        <v>676</v>
      </c>
      <c r="I556" s="117" t="s">
        <v>1323</v>
      </c>
      <c r="J556" s="117" t="s">
        <v>1126</v>
      </c>
      <c r="K556" s="117" t="s">
        <v>1052</v>
      </c>
      <c r="L556" s="117" t="s">
        <v>1150</v>
      </c>
      <c r="M556" s="111"/>
      <c r="N556" s="120">
        <v>43875</v>
      </c>
      <c r="O556" s="140">
        <v>17825.91</v>
      </c>
      <c r="P556" s="227">
        <f t="shared" si="12"/>
        <v>9114.2430579344837</v>
      </c>
      <c r="Q556" s="107">
        <v>445.65</v>
      </c>
      <c r="R556" s="107">
        <v>0</v>
      </c>
      <c r="S556" s="231"/>
      <c r="T556" s="236"/>
      <c r="U556" s="236"/>
    </row>
    <row r="557" spans="1:21" ht="72" x14ac:dyDescent="0.3">
      <c r="A557" s="117">
        <v>555</v>
      </c>
      <c r="B557" s="110">
        <v>1567</v>
      </c>
      <c r="C557" s="111">
        <v>10</v>
      </c>
      <c r="D557" s="111">
        <v>2</v>
      </c>
      <c r="E557" s="118" t="s">
        <v>1151</v>
      </c>
      <c r="F557" s="118" t="s">
        <v>43</v>
      </c>
      <c r="G557" s="118" t="s">
        <v>77</v>
      </c>
      <c r="H557" s="117" t="s">
        <v>641</v>
      </c>
      <c r="I557" s="117" t="s">
        <v>1119</v>
      </c>
      <c r="J557" s="117" t="s">
        <v>1085</v>
      </c>
      <c r="K557" s="117" t="s">
        <v>1061</v>
      </c>
      <c r="L557" s="117" t="s">
        <v>1150</v>
      </c>
      <c r="M557" s="111"/>
      <c r="N557" s="120">
        <v>44105</v>
      </c>
      <c r="O557" s="140">
        <v>7638</v>
      </c>
      <c r="P557" s="227">
        <f t="shared" si="12"/>
        <v>3905.2473885767167</v>
      </c>
      <c r="Q557" s="107">
        <v>190.95</v>
      </c>
      <c r="R557" s="107">
        <v>0</v>
      </c>
      <c r="S557" s="231"/>
      <c r="T557" s="236" t="s">
        <v>1529</v>
      </c>
      <c r="U557" s="236"/>
    </row>
    <row r="558" spans="1:21" ht="72" x14ac:dyDescent="0.3">
      <c r="A558" s="117">
        <v>556</v>
      </c>
      <c r="B558" s="110">
        <v>1570</v>
      </c>
      <c r="C558" s="111">
        <v>7</v>
      </c>
      <c r="D558" s="111">
        <v>3</v>
      </c>
      <c r="E558" s="118" t="s">
        <v>1058</v>
      </c>
      <c r="F558" s="118" t="s">
        <v>193</v>
      </c>
      <c r="G558" s="118" t="s">
        <v>246</v>
      </c>
      <c r="H558" s="117" t="s">
        <v>677</v>
      </c>
      <c r="I558" s="117" t="s">
        <v>1108</v>
      </c>
      <c r="J558" s="117" t="s">
        <v>1095</v>
      </c>
      <c r="K558" s="117" t="s">
        <v>1056</v>
      </c>
      <c r="L558" s="117" t="s">
        <v>1153</v>
      </c>
      <c r="M558" s="111"/>
      <c r="N558" s="120">
        <v>44228</v>
      </c>
      <c r="O558" s="140">
        <v>4500</v>
      </c>
      <c r="P558" s="227">
        <f t="shared" si="12"/>
        <v>2300.8134653829834</v>
      </c>
      <c r="Q558" s="107">
        <v>112.5</v>
      </c>
      <c r="R558" s="107">
        <v>0</v>
      </c>
      <c r="S558" s="231"/>
      <c r="T558" s="236"/>
      <c r="U558" s="236"/>
    </row>
    <row r="559" spans="1:21" ht="72" x14ac:dyDescent="0.3">
      <c r="A559" s="117">
        <v>557</v>
      </c>
      <c r="B559" s="110">
        <v>1571</v>
      </c>
      <c r="C559" s="111">
        <v>7</v>
      </c>
      <c r="D559" s="111">
        <v>3</v>
      </c>
      <c r="E559" s="118" t="s">
        <v>1058</v>
      </c>
      <c r="F559" s="118" t="s">
        <v>193</v>
      </c>
      <c r="G559" s="118" t="s">
        <v>246</v>
      </c>
      <c r="H559" s="117" t="s">
        <v>677</v>
      </c>
      <c r="I559" s="117" t="s">
        <v>1108</v>
      </c>
      <c r="J559" s="117" t="s">
        <v>1095</v>
      </c>
      <c r="K559" s="117" t="s">
        <v>1052</v>
      </c>
      <c r="L559" s="117" t="s">
        <v>1150</v>
      </c>
      <c r="M559" s="111"/>
      <c r="N559" s="120">
        <v>44228</v>
      </c>
      <c r="O559" s="140">
        <v>4500</v>
      </c>
      <c r="P559" s="227">
        <f t="shared" si="12"/>
        <v>2300.8134653829834</v>
      </c>
      <c r="Q559" s="107">
        <v>112.5</v>
      </c>
      <c r="R559" s="107">
        <v>0</v>
      </c>
      <c r="S559" s="231"/>
      <c r="T559" s="236"/>
      <c r="U559" s="236"/>
    </row>
    <row r="560" spans="1:21" ht="72" x14ac:dyDescent="0.3">
      <c r="A560" s="117">
        <v>558</v>
      </c>
      <c r="B560" s="110">
        <v>1572</v>
      </c>
      <c r="C560" s="111">
        <v>7</v>
      </c>
      <c r="D560" s="111">
        <v>3</v>
      </c>
      <c r="E560" s="118" t="s">
        <v>1058</v>
      </c>
      <c r="F560" s="118" t="s">
        <v>193</v>
      </c>
      <c r="G560" s="118" t="s">
        <v>246</v>
      </c>
      <c r="H560" s="117" t="s">
        <v>677</v>
      </c>
      <c r="I560" s="117" t="s">
        <v>1108</v>
      </c>
      <c r="J560" s="117" t="s">
        <v>1095</v>
      </c>
      <c r="K560" s="117" t="s">
        <v>1059</v>
      </c>
      <c r="L560" s="117" t="s">
        <v>1150</v>
      </c>
      <c r="M560" s="111"/>
      <c r="N560" s="120">
        <v>44228</v>
      </c>
      <c r="O560" s="140">
        <v>4500</v>
      </c>
      <c r="P560" s="227">
        <f t="shared" si="12"/>
        <v>2300.8134653829834</v>
      </c>
      <c r="Q560" s="107">
        <v>112.5</v>
      </c>
      <c r="R560" s="107">
        <v>0</v>
      </c>
      <c r="S560" s="231"/>
      <c r="T560" s="236"/>
      <c r="U560" s="236"/>
    </row>
    <row r="561" spans="1:21" ht="72" x14ac:dyDescent="0.3">
      <c r="A561" s="117">
        <v>559</v>
      </c>
      <c r="B561" s="110">
        <v>1573</v>
      </c>
      <c r="C561" s="111">
        <v>2</v>
      </c>
      <c r="D561" s="111">
        <v>1</v>
      </c>
      <c r="E561" s="118" t="s">
        <v>1163</v>
      </c>
      <c r="F561" s="118" t="s">
        <v>191</v>
      </c>
      <c r="G561" s="119" t="s">
        <v>256</v>
      </c>
      <c r="H561" s="117" t="s">
        <v>678</v>
      </c>
      <c r="I561" s="117" t="s">
        <v>1113</v>
      </c>
      <c r="J561" s="117" t="s">
        <v>1074</v>
      </c>
      <c r="K561" s="117" t="s">
        <v>1067</v>
      </c>
      <c r="L561" s="117" t="s">
        <v>1150</v>
      </c>
      <c r="M561" s="111"/>
      <c r="N561" s="120">
        <v>44232</v>
      </c>
      <c r="O561" s="140">
        <v>3150</v>
      </c>
      <c r="P561" s="227">
        <f t="shared" si="12"/>
        <v>1610.5694257680882</v>
      </c>
      <c r="Q561" s="107">
        <v>78.75</v>
      </c>
      <c r="R561" s="107">
        <v>0</v>
      </c>
      <c r="S561" s="231"/>
      <c r="T561" s="236"/>
      <c r="U561" s="236"/>
    </row>
    <row r="562" spans="1:21" ht="72" x14ac:dyDescent="0.3">
      <c r="A562" s="117">
        <v>560</v>
      </c>
      <c r="B562" s="110">
        <v>1575</v>
      </c>
      <c r="C562" s="111">
        <v>2</v>
      </c>
      <c r="D562" s="111">
        <v>1</v>
      </c>
      <c r="E562" s="118" t="s">
        <v>1163</v>
      </c>
      <c r="F562" s="118" t="s">
        <v>191</v>
      </c>
      <c r="G562" s="118" t="s">
        <v>255</v>
      </c>
      <c r="H562" s="117" t="s">
        <v>679</v>
      </c>
      <c r="I562" s="117" t="s">
        <v>1100</v>
      </c>
      <c r="J562" s="117" t="s">
        <v>1083</v>
      </c>
      <c r="K562" s="117" t="s">
        <v>1066</v>
      </c>
      <c r="L562" s="117" t="s">
        <v>1149</v>
      </c>
      <c r="M562" s="111"/>
      <c r="N562" s="120">
        <v>44314</v>
      </c>
      <c r="O562" s="140">
        <v>2570</v>
      </c>
      <c r="P562" s="227">
        <f t="shared" si="12"/>
        <v>1314.0201346742815</v>
      </c>
      <c r="Q562" s="107">
        <v>64.25</v>
      </c>
      <c r="R562" s="107">
        <v>0</v>
      </c>
      <c r="S562" s="231">
        <f>P562*0.4</f>
        <v>525.60805386971265</v>
      </c>
      <c r="T562" s="236"/>
      <c r="U562" s="236"/>
    </row>
    <row r="563" spans="1:21" ht="72" x14ac:dyDescent="0.3">
      <c r="A563" s="117">
        <v>561</v>
      </c>
      <c r="B563" s="110">
        <v>1576</v>
      </c>
      <c r="C563" s="111">
        <v>2</v>
      </c>
      <c r="D563" s="111">
        <v>1</v>
      </c>
      <c r="E563" s="118" t="s">
        <v>1163</v>
      </c>
      <c r="F563" s="118" t="s">
        <v>191</v>
      </c>
      <c r="G563" s="118" t="s">
        <v>255</v>
      </c>
      <c r="H563" s="118" t="s">
        <v>679</v>
      </c>
      <c r="I563" s="117" t="s">
        <v>1100</v>
      </c>
      <c r="J563" s="117" t="s">
        <v>1083</v>
      </c>
      <c r="K563" s="117" t="s">
        <v>1063</v>
      </c>
      <c r="L563" s="117" t="s">
        <v>1149</v>
      </c>
      <c r="M563" s="111"/>
      <c r="N563" s="120">
        <v>44314</v>
      </c>
      <c r="O563" s="140">
        <v>2570</v>
      </c>
      <c r="P563" s="227">
        <f t="shared" si="12"/>
        <v>1314.0201346742815</v>
      </c>
      <c r="Q563" s="107">
        <v>64.25</v>
      </c>
      <c r="R563" s="107">
        <v>0</v>
      </c>
      <c r="S563" s="231">
        <f>P563*0.4</f>
        <v>525.60805386971265</v>
      </c>
      <c r="T563" s="236"/>
      <c r="U563" s="236"/>
    </row>
    <row r="564" spans="1:21" ht="72" x14ac:dyDescent="0.3">
      <c r="A564" s="117">
        <v>562</v>
      </c>
      <c r="B564" s="110">
        <v>1577</v>
      </c>
      <c r="C564" s="111">
        <v>2</v>
      </c>
      <c r="D564" s="111">
        <v>1</v>
      </c>
      <c r="E564" s="118" t="s">
        <v>1163</v>
      </c>
      <c r="F564" s="118" t="s">
        <v>191</v>
      </c>
      <c r="G564" s="118" t="s">
        <v>255</v>
      </c>
      <c r="H564" s="118" t="s">
        <v>679</v>
      </c>
      <c r="I564" s="117" t="s">
        <v>1100</v>
      </c>
      <c r="J564" s="117" t="s">
        <v>1083</v>
      </c>
      <c r="K564" s="117" t="s">
        <v>1061</v>
      </c>
      <c r="L564" s="117" t="s">
        <v>1150</v>
      </c>
      <c r="M564" s="111"/>
      <c r="N564" s="120">
        <v>44314</v>
      </c>
      <c r="O564" s="140">
        <v>2570</v>
      </c>
      <c r="P564" s="227">
        <f t="shared" si="12"/>
        <v>1314.0201346742815</v>
      </c>
      <c r="Q564" s="107">
        <v>64.25</v>
      </c>
      <c r="R564" s="107">
        <v>0</v>
      </c>
      <c r="S564" s="231"/>
      <c r="T564" s="236"/>
      <c r="U564" s="236"/>
    </row>
    <row r="565" spans="1:21" ht="72" x14ac:dyDescent="0.3">
      <c r="A565" s="117">
        <v>563</v>
      </c>
      <c r="B565" s="110">
        <v>1578</v>
      </c>
      <c r="C565" s="111">
        <v>2</v>
      </c>
      <c r="D565" s="111">
        <v>1</v>
      </c>
      <c r="E565" s="118" t="s">
        <v>1163</v>
      </c>
      <c r="F565" s="118" t="s">
        <v>191</v>
      </c>
      <c r="G565" s="118" t="s">
        <v>255</v>
      </c>
      <c r="H565" s="118" t="s">
        <v>679</v>
      </c>
      <c r="I565" s="117" t="s">
        <v>1100</v>
      </c>
      <c r="J565" s="117" t="s">
        <v>1083</v>
      </c>
      <c r="K565" s="117" t="s">
        <v>1066</v>
      </c>
      <c r="L565" s="117" t="s">
        <v>1149</v>
      </c>
      <c r="M565" s="111"/>
      <c r="N565" s="120">
        <v>44314</v>
      </c>
      <c r="O565" s="140">
        <v>2570</v>
      </c>
      <c r="P565" s="227">
        <f t="shared" si="12"/>
        <v>1314.0201346742815</v>
      </c>
      <c r="Q565" s="107">
        <v>64.25</v>
      </c>
      <c r="R565" s="107">
        <v>0</v>
      </c>
      <c r="S565" s="231">
        <f>P565*0.4</f>
        <v>525.60805386971265</v>
      </c>
      <c r="T565" s="236"/>
      <c r="U565" s="236"/>
    </row>
    <row r="566" spans="1:21" ht="72" x14ac:dyDescent="0.3">
      <c r="A566" s="117">
        <v>564</v>
      </c>
      <c r="B566" s="110">
        <v>1579</v>
      </c>
      <c r="C566" s="111">
        <v>2</v>
      </c>
      <c r="D566" s="111">
        <v>1</v>
      </c>
      <c r="E566" s="118" t="s">
        <v>1163</v>
      </c>
      <c r="F566" s="118" t="s">
        <v>191</v>
      </c>
      <c r="G566" s="118" t="s">
        <v>255</v>
      </c>
      <c r="H566" s="118" t="s">
        <v>679</v>
      </c>
      <c r="I566" s="117" t="s">
        <v>1100</v>
      </c>
      <c r="J566" s="117" t="s">
        <v>1083</v>
      </c>
      <c r="K566" s="117" t="s">
        <v>1063</v>
      </c>
      <c r="L566" s="117" t="s">
        <v>1149</v>
      </c>
      <c r="M566" s="111"/>
      <c r="N566" s="120">
        <v>44314</v>
      </c>
      <c r="O566" s="140">
        <v>2570</v>
      </c>
      <c r="P566" s="227">
        <f t="shared" si="12"/>
        <v>1314.0201346742815</v>
      </c>
      <c r="Q566" s="107">
        <v>64.25</v>
      </c>
      <c r="R566" s="107">
        <v>0</v>
      </c>
      <c r="S566" s="231">
        <f>P566*0.4</f>
        <v>525.60805386971265</v>
      </c>
      <c r="T566" s="236"/>
      <c r="U566" s="236"/>
    </row>
    <row r="567" spans="1:21" ht="72" x14ac:dyDescent="0.3">
      <c r="A567" s="117">
        <v>565</v>
      </c>
      <c r="B567" s="110">
        <v>1580</v>
      </c>
      <c r="C567" s="111">
        <v>2</v>
      </c>
      <c r="D567" s="111">
        <v>1</v>
      </c>
      <c r="E567" s="118" t="s">
        <v>1163</v>
      </c>
      <c r="F567" s="118" t="s">
        <v>191</v>
      </c>
      <c r="G567" s="118" t="s">
        <v>255</v>
      </c>
      <c r="H567" s="118" t="s">
        <v>679</v>
      </c>
      <c r="I567" s="117" t="s">
        <v>1100</v>
      </c>
      <c r="J567" s="117" t="s">
        <v>1083</v>
      </c>
      <c r="K567" s="117" t="s">
        <v>1067</v>
      </c>
      <c r="L567" s="117" t="s">
        <v>1150</v>
      </c>
      <c r="M567" s="111"/>
      <c r="N567" s="120">
        <v>44314</v>
      </c>
      <c r="O567" s="140">
        <v>2570</v>
      </c>
      <c r="P567" s="227">
        <f t="shared" si="12"/>
        <v>1314.0201346742815</v>
      </c>
      <c r="Q567" s="107">
        <v>64.25</v>
      </c>
      <c r="R567" s="107">
        <v>0</v>
      </c>
      <c r="S567" s="231"/>
      <c r="T567" s="236"/>
      <c r="U567" s="236"/>
    </row>
    <row r="568" spans="1:21" ht="72" x14ac:dyDescent="0.3">
      <c r="A568" s="117">
        <v>566</v>
      </c>
      <c r="B568" s="110">
        <v>1581</v>
      </c>
      <c r="C568" s="111">
        <v>2</v>
      </c>
      <c r="D568" s="111">
        <v>1</v>
      </c>
      <c r="E568" s="118" t="s">
        <v>1163</v>
      </c>
      <c r="F568" s="118" t="s">
        <v>191</v>
      </c>
      <c r="G568" s="118" t="s">
        <v>255</v>
      </c>
      <c r="H568" s="118" t="s">
        <v>679</v>
      </c>
      <c r="I568" s="117" t="s">
        <v>1100</v>
      </c>
      <c r="J568" s="117" t="s">
        <v>1083</v>
      </c>
      <c r="K568" s="117" t="s">
        <v>1052</v>
      </c>
      <c r="L568" s="117" t="s">
        <v>1150</v>
      </c>
      <c r="M568" s="111"/>
      <c r="N568" s="120">
        <v>44314</v>
      </c>
      <c r="O568" s="140">
        <v>2570</v>
      </c>
      <c r="P568" s="227">
        <f t="shared" si="12"/>
        <v>1314.0201346742815</v>
      </c>
      <c r="Q568" s="107">
        <v>64.25</v>
      </c>
      <c r="R568" s="107">
        <v>0</v>
      </c>
      <c r="S568" s="231"/>
      <c r="T568" s="236"/>
      <c r="U568" s="236"/>
    </row>
    <row r="569" spans="1:21" ht="72" x14ac:dyDescent="0.3">
      <c r="A569" s="117">
        <v>567</v>
      </c>
      <c r="B569" s="110">
        <v>1582</v>
      </c>
      <c r="C569" s="111">
        <v>2</v>
      </c>
      <c r="D569" s="111">
        <v>1</v>
      </c>
      <c r="E569" s="118" t="s">
        <v>1163</v>
      </c>
      <c r="F569" s="118" t="s">
        <v>191</v>
      </c>
      <c r="G569" s="118" t="s">
        <v>255</v>
      </c>
      <c r="H569" s="118" t="s">
        <v>679</v>
      </c>
      <c r="I569" s="117" t="s">
        <v>1100</v>
      </c>
      <c r="J569" s="117" t="s">
        <v>1083</v>
      </c>
      <c r="K569" s="117" t="s">
        <v>1056</v>
      </c>
      <c r="L569" s="117" t="s">
        <v>1153</v>
      </c>
      <c r="M569" s="111"/>
      <c r="N569" s="120">
        <v>44314</v>
      </c>
      <c r="O569" s="140">
        <v>2570</v>
      </c>
      <c r="P569" s="227">
        <f t="shared" si="12"/>
        <v>1314.0201346742815</v>
      </c>
      <c r="Q569" s="107">
        <v>64.25</v>
      </c>
      <c r="R569" s="107">
        <v>0</v>
      </c>
      <c r="S569" s="231"/>
      <c r="T569" s="236"/>
      <c r="U569" s="236"/>
    </row>
    <row r="570" spans="1:21" ht="72" x14ac:dyDescent="0.3">
      <c r="A570" s="117">
        <v>568</v>
      </c>
      <c r="B570" s="110">
        <v>1583</v>
      </c>
      <c r="C570" s="111">
        <v>2</v>
      </c>
      <c r="D570" s="111">
        <v>1</v>
      </c>
      <c r="E570" s="118" t="s">
        <v>1163</v>
      </c>
      <c r="F570" s="118" t="s">
        <v>191</v>
      </c>
      <c r="G570" s="118" t="s">
        <v>255</v>
      </c>
      <c r="H570" s="118" t="s">
        <v>679</v>
      </c>
      <c r="I570" s="117" t="s">
        <v>1100</v>
      </c>
      <c r="J570" s="117" t="s">
        <v>1083</v>
      </c>
      <c r="K570" s="117" t="s">
        <v>1061</v>
      </c>
      <c r="L570" s="117" t="s">
        <v>1150</v>
      </c>
      <c r="M570" s="111"/>
      <c r="N570" s="120">
        <v>44292</v>
      </c>
      <c r="O570" s="140">
        <v>2570</v>
      </c>
      <c r="P570" s="227">
        <f t="shared" si="12"/>
        <v>1314.0201346742815</v>
      </c>
      <c r="Q570" s="107">
        <v>64.25</v>
      </c>
      <c r="R570" s="107">
        <v>0</v>
      </c>
      <c r="S570" s="231"/>
      <c r="T570" s="236"/>
      <c r="U570" s="236"/>
    </row>
    <row r="571" spans="1:21" ht="72" x14ac:dyDescent="0.3">
      <c r="A571" s="117">
        <v>569</v>
      </c>
      <c r="B571" s="110">
        <v>1584</v>
      </c>
      <c r="C571" s="111">
        <v>2</v>
      </c>
      <c r="D571" s="111">
        <v>1</v>
      </c>
      <c r="E571" s="118" t="s">
        <v>1163</v>
      </c>
      <c r="F571" s="118" t="s">
        <v>191</v>
      </c>
      <c r="G571" s="118" t="s">
        <v>255</v>
      </c>
      <c r="H571" s="118" t="s">
        <v>679</v>
      </c>
      <c r="I571" s="117" t="s">
        <v>1211</v>
      </c>
      <c r="J571" s="117" t="s">
        <v>1083</v>
      </c>
      <c r="K571" s="117" t="s">
        <v>1066</v>
      </c>
      <c r="L571" s="117" t="s">
        <v>1149</v>
      </c>
      <c r="M571" s="111"/>
      <c r="N571" s="120">
        <v>44292</v>
      </c>
      <c r="O571" s="140">
        <v>2570</v>
      </c>
      <c r="P571" s="227">
        <f t="shared" si="12"/>
        <v>1314.0201346742815</v>
      </c>
      <c r="Q571" s="107">
        <v>64.25</v>
      </c>
      <c r="R571" s="107">
        <v>0</v>
      </c>
      <c r="S571" s="231">
        <f>P571*0.4</f>
        <v>525.60805386971265</v>
      </c>
      <c r="T571" s="236"/>
      <c r="U571" s="236"/>
    </row>
    <row r="572" spans="1:21" ht="72" x14ac:dyDescent="0.3">
      <c r="A572" s="117">
        <v>570</v>
      </c>
      <c r="B572" s="110">
        <v>1586</v>
      </c>
      <c r="C572" s="111">
        <v>11</v>
      </c>
      <c r="D572" s="111">
        <v>3</v>
      </c>
      <c r="E572" s="118" t="s">
        <v>1058</v>
      </c>
      <c r="F572" s="118" t="s">
        <v>196</v>
      </c>
      <c r="G572" s="119" t="s">
        <v>260</v>
      </c>
      <c r="H572" s="119" t="s">
        <v>680</v>
      </c>
      <c r="I572" s="117" t="s">
        <v>1127</v>
      </c>
      <c r="J572" s="117"/>
      <c r="K572" s="117" t="s">
        <v>1059</v>
      </c>
      <c r="L572" s="117" t="s">
        <v>1150</v>
      </c>
      <c r="M572" s="111"/>
      <c r="N572" s="120">
        <v>44448</v>
      </c>
      <c r="O572" s="140">
        <v>11559</v>
      </c>
      <c r="P572" s="227">
        <f t="shared" si="12"/>
        <v>5910.0228547470897</v>
      </c>
      <c r="Q572" s="107">
        <v>288.98</v>
      </c>
      <c r="R572" s="107">
        <v>0</v>
      </c>
      <c r="S572" s="231"/>
      <c r="T572" s="236"/>
      <c r="U572" s="236"/>
    </row>
    <row r="573" spans="1:21" ht="72" x14ac:dyDescent="0.3">
      <c r="A573" s="117">
        <v>571</v>
      </c>
      <c r="B573" s="110">
        <v>1587</v>
      </c>
      <c r="C573" s="111">
        <v>11</v>
      </c>
      <c r="D573" s="111">
        <v>3</v>
      </c>
      <c r="E573" s="118" t="s">
        <v>1058</v>
      </c>
      <c r="F573" s="118" t="s">
        <v>196</v>
      </c>
      <c r="G573" s="119" t="s">
        <v>260</v>
      </c>
      <c r="H573" s="119" t="s">
        <v>680</v>
      </c>
      <c r="I573" s="117" t="s">
        <v>1127</v>
      </c>
      <c r="J573" s="117"/>
      <c r="K573" s="117" t="s">
        <v>1066</v>
      </c>
      <c r="L573" s="117" t="s">
        <v>1149</v>
      </c>
      <c r="M573" s="111"/>
      <c r="N573" s="120">
        <v>44448</v>
      </c>
      <c r="O573" s="140">
        <v>11559</v>
      </c>
      <c r="P573" s="227">
        <f t="shared" si="12"/>
        <v>5910.0228547470897</v>
      </c>
      <c r="Q573" s="107">
        <v>288.98</v>
      </c>
      <c r="R573" s="107">
        <v>0</v>
      </c>
      <c r="S573" s="231">
        <f>P573*0.5</f>
        <v>2955.0114273735448</v>
      </c>
      <c r="T573" s="236"/>
      <c r="U573" s="236"/>
    </row>
    <row r="574" spans="1:21" ht="72" x14ac:dyDescent="0.3">
      <c r="A574" s="117">
        <v>572</v>
      </c>
      <c r="B574" s="110">
        <v>1588</v>
      </c>
      <c r="C574" s="111">
        <v>42</v>
      </c>
      <c r="D574" s="111">
        <v>2</v>
      </c>
      <c r="E574" s="118" t="s">
        <v>1151</v>
      </c>
      <c r="F574" s="118" t="s">
        <v>233</v>
      </c>
      <c r="G574" s="118" t="s">
        <v>259</v>
      </c>
      <c r="H574" s="118" t="s">
        <v>681</v>
      </c>
      <c r="I574" s="117" t="s">
        <v>1323</v>
      </c>
      <c r="J574" s="117" t="s">
        <v>1126</v>
      </c>
      <c r="K574" s="117" t="s">
        <v>1059</v>
      </c>
      <c r="L574" s="117" t="s">
        <v>1150</v>
      </c>
      <c r="M574" s="111"/>
      <c r="N574" s="128">
        <v>44456</v>
      </c>
      <c r="O574" s="140">
        <v>16565.41</v>
      </c>
      <c r="P574" s="227">
        <f t="shared" si="12"/>
        <v>8469.759641686649</v>
      </c>
      <c r="Q574" s="107">
        <v>414.14</v>
      </c>
      <c r="R574" s="107">
        <v>0</v>
      </c>
      <c r="S574" s="231"/>
      <c r="T574" s="236"/>
      <c r="U574" s="236"/>
    </row>
    <row r="575" spans="1:21" ht="72" x14ac:dyDescent="0.3">
      <c r="A575" s="117">
        <v>573</v>
      </c>
      <c r="B575" s="110">
        <v>1589</v>
      </c>
      <c r="C575" s="111">
        <v>42</v>
      </c>
      <c r="D575" s="111">
        <v>2</v>
      </c>
      <c r="E575" s="118" t="s">
        <v>1151</v>
      </c>
      <c r="F575" s="118" t="s">
        <v>233</v>
      </c>
      <c r="G575" s="118" t="s">
        <v>259</v>
      </c>
      <c r="H575" s="118" t="s">
        <v>681</v>
      </c>
      <c r="I575" s="117" t="s">
        <v>1323</v>
      </c>
      <c r="J575" s="117" t="s">
        <v>1126</v>
      </c>
      <c r="K575" s="117" t="s">
        <v>1063</v>
      </c>
      <c r="L575" s="117" t="s">
        <v>1149</v>
      </c>
      <c r="M575" s="111"/>
      <c r="N575" s="128">
        <v>44456</v>
      </c>
      <c r="O575" s="140">
        <v>16565.41</v>
      </c>
      <c r="P575" s="227">
        <f t="shared" si="12"/>
        <v>8469.759641686649</v>
      </c>
      <c r="Q575" s="107">
        <v>414.14</v>
      </c>
      <c r="R575" s="107">
        <v>0</v>
      </c>
      <c r="S575" s="234">
        <v>7000</v>
      </c>
      <c r="T575" s="236"/>
      <c r="U575" s="236"/>
    </row>
    <row r="576" spans="1:21" ht="72" x14ac:dyDescent="0.3">
      <c r="A576" s="117">
        <v>574</v>
      </c>
      <c r="B576" s="110">
        <v>1590</v>
      </c>
      <c r="C576" s="111">
        <v>42</v>
      </c>
      <c r="D576" s="111">
        <v>2</v>
      </c>
      <c r="E576" s="118" t="s">
        <v>1151</v>
      </c>
      <c r="F576" s="118" t="s">
        <v>233</v>
      </c>
      <c r="G576" s="118" t="s">
        <v>259</v>
      </c>
      <c r="H576" s="118" t="s">
        <v>681</v>
      </c>
      <c r="I576" s="117" t="s">
        <v>1323</v>
      </c>
      <c r="J576" s="117" t="s">
        <v>1126</v>
      </c>
      <c r="K576" s="117" t="s">
        <v>1063</v>
      </c>
      <c r="L576" s="117" t="s">
        <v>1149</v>
      </c>
      <c r="M576" s="111"/>
      <c r="N576" s="128">
        <v>44456</v>
      </c>
      <c r="O576" s="140">
        <v>16565.41</v>
      </c>
      <c r="P576" s="227">
        <f t="shared" si="12"/>
        <v>8469.759641686649</v>
      </c>
      <c r="Q576" s="107">
        <v>414.14</v>
      </c>
      <c r="R576" s="107">
        <v>0</v>
      </c>
      <c r="S576" s="234">
        <v>7000</v>
      </c>
      <c r="T576" s="236"/>
      <c r="U576" s="236"/>
    </row>
    <row r="577" spans="1:21" ht="72" x14ac:dyDescent="0.3">
      <c r="A577" s="117">
        <v>575</v>
      </c>
      <c r="B577" s="110">
        <v>1591</v>
      </c>
      <c r="C577" s="111">
        <v>26</v>
      </c>
      <c r="D577" s="111">
        <v>5</v>
      </c>
      <c r="E577" s="118" t="s">
        <v>1152</v>
      </c>
      <c r="F577" s="118" t="s">
        <v>1354</v>
      </c>
      <c r="G577" s="119" t="s">
        <v>633</v>
      </c>
      <c r="H577" s="117" t="s">
        <v>682</v>
      </c>
      <c r="I577" s="117" t="s">
        <v>1329</v>
      </c>
      <c r="J577" s="117"/>
      <c r="K577" s="117" t="s">
        <v>215</v>
      </c>
      <c r="L577" s="117" t="s">
        <v>1155</v>
      </c>
      <c r="M577" s="111"/>
      <c r="N577" s="120">
        <v>44468</v>
      </c>
      <c r="O577" s="140">
        <v>49085.599999999999</v>
      </c>
      <c r="P577" s="227">
        <f t="shared" si="12"/>
        <v>25097.0687636451</v>
      </c>
      <c r="Q577" s="107">
        <v>1227.1400000000001</v>
      </c>
      <c r="R577" s="107">
        <v>0</v>
      </c>
      <c r="S577" s="231"/>
      <c r="T577" s="236"/>
      <c r="U577" s="236"/>
    </row>
    <row r="578" spans="1:21" ht="72" x14ac:dyDescent="0.3">
      <c r="A578" s="117">
        <v>576</v>
      </c>
      <c r="B578" s="110">
        <v>1594</v>
      </c>
      <c r="C578" s="111">
        <v>42</v>
      </c>
      <c r="D578" s="111">
        <v>2</v>
      </c>
      <c r="E578" s="118" t="s">
        <v>1151</v>
      </c>
      <c r="F578" s="118" t="s">
        <v>233</v>
      </c>
      <c r="G578" s="118" t="s">
        <v>259</v>
      </c>
      <c r="H578" s="118" t="s">
        <v>683</v>
      </c>
      <c r="I578" s="117" t="s">
        <v>1323</v>
      </c>
      <c r="J578" s="117" t="s">
        <v>1126</v>
      </c>
      <c r="K578" s="117" t="s">
        <v>1057</v>
      </c>
      <c r="L578" s="117" t="s">
        <v>1154</v>
      </c>
      <c r="M578" s="111"/>
      <c r="N578" s="120">
        <v>44526</v>
      </c>
      <c r="O578" s="140">
        <v>16975.560000000001</v>
      </c>
      <c r="P578" s="227">
        <f t="shared" si="12"/>
        <v>8679.4660067592795</v>
      </c>
      <c r="Q578" s="107">
        <v>424.39</v>
      </c>
      <c r="R578" s="107">
        <v>0</v>
      </c>
      <c r="S578" s="231"/>
      <c r="T578" s="236"/>
      <c r="U578" s="236"/>
    </row>
    <row r="579" spans="1:21" ht="72" x14ac:dyDescent="0.3">
      <c r="A579" s="117">
        <v>577</v>
      </c>
      <c r="B579" s="110">
        <v>1595</v>
      </c>
      <c r="C579" s="111">
        <v>10</v>
      </c>
      <c r="D579" s="111">
        <v>2</v>
      </c>
      <c r="E579" s="118" t="s">
        <v>1151</v>
      </c>
      <c r="F579" s="118" t="s">
        <v>43</v>
      </c>
      <c r="G579" s="118" t="s">
        <v>77</v>
      </c>
      <c r="H579" s="117" t="s">
        <v>684</v>
      </c>
      <c r="I579" s="117" t="s">
        <v>1119</v>
      </c>
      <c r="J579" s="117" t="s">
        <v>1085</v>
      </c>
      <c r="K579" s="117" t="s">
        <v>1066</v>
      </c>
      <c r="L579" s="117" t="s">
        <v>1149</v>
      </c>
      <c r="M579" s="111"/>
      <c r="N579" s="120">
        <v>44526</v>
      </c>
      <c r="O579" s="140">
        <v>8150</v>
      </c>
      <c r="P579" s="227">
        <f t="shared" si="12"/>
        <v>4167.0288317491804</v>
      </c>
      <c r="Q579" s="107">
        <v>203.75</v>
      </c>
      <c r="R579" s="107">
        <v>0</v>
      </c>
      <c r="S579" s="231">
        <f>P579*0.4</f>
        <v>1666.8115326996722</v>
      </c>
      <c r="T579" s="236"/>
      <c r="U579" s="236"/>
    </row>
    <row r="580" spans="1:21" ht="158.4" x14ac:dyDescent="0.3">
      <c r="A580" s="117">
        <v>578</v>
      </c>
      <c r="B580" s="110">
        <v>1596</v>
      </c>
      <c r="C580" s="111">
        <v>33</v>
      </c>
      <c r="D580" s="111">
        <v>6</v>
      </c>
      <c r="E580" s="118" t="s">
        <v>1158</v>
      </c>
      <c r="F580" s="118" t="s">
        <v>1053</v>
      </c>
      <c r="G580" s="118" t="s">
        <v>1314</v>
      </c>
      <c r="H580" s="117" t="s">
        <v>685</v>
      </c>
      <c r="I580" s="117" t="s">
        <v>1311</v>
      </c>
      <c r="J580" s="117" t="s">
        <v>1313</v>
      </c>
      <c r="K580" s="117" t="s">
        <v>1125</v>
      </c>
      <c r="L580" s="117" t="s">
        <v>1153</v>
      </c>
      <c r="M580" s="111"/>
      <c r="N580" s="120">
        <v>44533</v>
      </c>
      <c r="O580" s="140">
        <v>6800</v>
      </c>
      <c r="P580" s="227">
        <f t="shared" ref="P580:P643" si="13">O580/$P$1</f>
        <v>3476.7847921342859</v>
      </c>
      <c r="Q580" s="107">
        <v>170</v>
      </c>
      <c r="R580" s="107">
        <v>0</v>
      </c>
      <c r="S580" s="231"/>
      <c r="T580" s="236"/>
      <c r="U580" s="236"/>
    </row>
    <row r="581" spans="1:21" ht="72" x14ac:dyDescent="0.3">
      <c r="A581" s="117">
        <v>579</v>
      </c>
      <c r="B581" s="110">
        <v>1597</v>
      </c>
      <c r="C581" s="111">
        <v>38</v>
      </c>
      <c r="D581" s="111">
        <v>1</v>
      </c>
      <c r="E581" s="118" t="s">
        <v>1163</v>
      </c>
      <c r="F581" s="118" t="s">
        <v>264</v>
      </c>
      <c r="G581" s="118" t="s">
        <v>265</v>
      </c>
      <c r="H581" s="117" t="s">
        <v>686</v>
      </c>
      <c r="I581" s="117" t="s">
        <v>1284</v>
      </c>
      <c r="J581" s="117" t="s">
        <v>1101</v>
      </c>
      <c r="K581" s="117" t="s">
        <v>1059</v>
      </c>
      <c r="L581" s="117" t="s">
        <v>1150</v>
      </c>
      <c r="M581" s="111"/>
      <c r="N581" s="120">
        <v>44549</v>
      </c>
      <c r="O581" s="140">
        <v>1476.69</v>
      </c>
      <c r="P581" s="227">
        <f t="shared" si="13"/>
        <v>755.01960804364387</v>
      </c>
      <c r="Q581" s="107">
        <v>36.92</v>
      </c>
      <c r="R581" s="107">
        <v>0</v>
      </c>
      <c r="S581" s="231"/>
      <c r="T581" s="236"/>
      <c r="U581" s="236"/>
    </row>
    <row r="582" spans="1:21" ht="57.6" x14ac:dyDescent="0.3">
      <c r="A582" s="117">
        <v>580</v>
      </c>
      <c r="B582" s="110">
        <v>1598</v>
      </c>
      <c r="C582" s="111">
        <v>17</v>
      </c>
      <c r="D582" s="111">
        <v>4</v>
      </c>
      <c r="E582" s="118" t="s">
        <v>1353</v>
      </c>
      <c r="F582" s="118" t="s">
        <v>202</v>
      </c>
      <c r="G582" s="118" t="s">
        <v>374</v>
      </c>
      <c r="H582" s="117" t="s">
        <v>687</v>
      </c>
      <c r="I582" s="117" t="s">
        <v>1284</v>
      </c>
      <c r="J582" s="117"/>
      <c r="K582" s="117" t="s">
        <v>1059</v>
      </c>
      <c r="L582" s="117" t="s">
        <v>1150</v>
      </c>
      <c r="M582" s="111"/>
      <c r="N582" s="120">
        <v>44549</v>
      </c>
      <c r="O582" s="140">
        <v>5414.52</v>
      </c>
      <c r="P582" s="227">
        <f t="shared" si="13"/>
        <v>2768.400116574549</v>
      </c>
      <c r="Q582" s="107">
        <v>135.36000000000001</v>
      </c>
      <c r="R582" s="107">
        <v>0</v>
      </c>
      <c r="S582" s="231"/>
      <c r="T582" s="236"/>
      <c r="U582" s="236"/>
    </row>
    <row r="583" spans="1:21" ht="72" x14ac:dyDescent="0.3">
      <c r="A583" s="117">
        <v>581</v>
      </c>
      <c r="B583" s="110">
        <v>1600</v>
      </c>
      <c r="C583" s="111">
        <v>8</v>
      </c>
      <c r="D583" s="111">
        <v>2</v>
      </c>
      <c r="E583" s="118" t="s">
        <v>1151</v>
      </c>
      <c r="F583" s="118" t="s">
        <v>194</v>
      </c>
      <c r="G583" s="118" t="s">
        <v>269</v>
      </c>
      <c r="H583" s="117" t="s">
        <v>688</v>
      </c>
      <c r="I583" s="117" t="s">
        <v>1128</v>
      </c>
      <c r="J583" s="117"/>
      <c r="K583" s="117" t="s">
        <v>1122</v>
      </c>
      <c r="L583" s="117" t="s">
        <v>1150</v>
      </c>
      <c r="M583" s="111"/>
      <c r="N583" s="120">
        <v>44648</v>
      </c>
      <c r="O583" s="140">
        <v>5720</v>
      </c>
      <c r="P583" s="227">
        <f t="shared" si="13"/>
        <v>2924.5895604423699</v>
      </c>
      <c r="Q583" s="107">
        <v>143</v>
      </c>
      <c r="R583" s="107">
        <v>0</v>
      </c>
      <c r="S583" s="231"/>
      <c r="T583" s="236"/>
      <c r="U583" s="236"/>
    </row>
    <row r="584" spans="1:21" ht="72" x14ac:dyDescent="0.3">
      <c r="A584" s="117">
        <v>582</v>
      </c>
      <c r="B584" s="110">
        <v>1603</v>
      </c>
      <c r="C584" s="111">
        <v>26</v>
      </c>
      <c r="D584" s="111">
        <v>5</v>
      </c>
      <c r="E584" s="118" t="s">
        <v>1152</v>
      </c>
      <c r="F584" s="118" t="s">
        <v>1354</v>
      </c>
      <c r="G584" s="118" t="s">
        <v>622</v>
      </c>
      <c r="H584" s="117" t="s">
        <v>689</v>
      </c>
      <c r="I584" s="117" t="s">
        <v>1328</v>
      </c>
      <c r="J584" s="117"/>
      <c r="K584" s="117" t="s">
        <v>215</v>
      </c>
      <c r="L584" s="117" t="s">
        <v>1155</v>
      </c>
      <c r="M584" s="111"/>
      <c r="N584" s="120">
        <v>44882</v>
      </c>
      <c r="O584" s="140">
        <v>2774.93</v>
      </c>
      <c r="P584" s="227">
        <f t="shared" si="13"/>
        <v>1418.7991798878224</v>
      </c>
      <c r="Q584" s="107">
        <v>69.37</v>
      </c>
      <c r="R584" s="107">
        <v>208.12</v>
      </c>
      <c r="S584" s="231"/>
      <c r="T584" s="236"/>
      <c r="U584" s="236"/>
    </row>
    <row r="585" spans="1:21" ht="72" x14ac:dyDescent="0.3">
      <c r="A585" s="117">
        <v>583</v>
      </c>
      <c r="B585" s="110">
        <v>1604</v>
      </c>
      <c r="C585" s="111">
        <v>53</v>
      </c>
      <c r="D585" s="111">
        <v>5</v>
      </c>
      <c r="E585" s="118" t="s">
        <v>1152</v>
      </c>
      <c r="F585" s="118" t="s">
        <v>618</v>
      </c>
      <c r="G585" s="118" t="s">
        <v>616</v>
      </c>
      <c r="H585" s="117" t="s">
        <v>690</v>
      </c>
      <c r="I585" s="117"/>
      <c r="J585" s="117"/>
      <c r="K585" s="117" t="s">
        <v>1116</v>
      </c>
      <c r="L585" s="117" t="s">
        <v>1150</v>
      </c>
      <c r="M585" s="111"/>
      <c r="N585" s="120">
        <v>44907</v>
      </c>
      <c r="O585" s="140">
        <v>5029.7700000000004</v>
      </c>
      <c r="P585" s="227">
        <f t="shared" si="13"/>
        <v>2571.6805652843041</v>
      </c>
      <c r="Q585" s="107">
        <v>125.74</v>
      </c>
      <c r="R585" s="107">
        <v>502.98</v>
      </c>
      <c r="S585" s="231"/>
      <c r="T585" s="236"/>
      <c r="U585" s="236"/>
    </row>
    <row r="586" spans="1:21" ht="72" x14ac:dyDescent="0.3">
      <c r="A586" s="117">
        <v>584</v>
      </c>
      <c r="B586" s="110">
        <v>1605</v>
      </c>
      <c r="C586" s="111">
        <v>5</v>
      </c>
      <c r="D586" s="111">
        <v>2</v>
      </c>
      <c r="E586" s="118" t="s">
        <v>1151</v>
      </c>
      <c r="F586" s="118" t="s">
        <v>212</v>
      </c>
      <c r="G586" s="118" t="s">
        <v>389</v>
      </c>
      <c r="H586" s="118" t="s">
        <v>691</v>
      </c>
      <c r="I586" s="117" t="s">
        <v>1217</v>
      </c>
      <c r="J586" s="117"/>
      <c r="K586" s="117" t="s">
        <v>1056</v>
      </c>
      <c r="L586" s="117" t="s">
        <v>1153</v>
      </c>
      <c r="M586" s="111"/>
      <c r="N586" s="120">
        <v>44930</v>
      </c>
      <c r="O586" s="140">
        <v>1316</v>
      </c>
      <c r="P586" s="227">
        <f t="shared" si="13"/>
        <v>672.86011565422359</v>
      </c>
      <c r="Q586" s="107">
        <v>32.9</v>
      </c>
      <c r="R586" s="107">
        <v>164.5</v>
      </c>
      <c r="S586" s="231"/>
      <c r="T586" s="236"/>
      <c r="U586" s="236"/>
    </row>
    <row r="587" spans="1:21" ht="158.4" x14ac:dyDescent="0.3">
      <c r="A587" s="117">
        <v>585</v>
      </c>
      <c r="B587" s="110">
        <v>1606</v>
      </c>
      <c r="C587" s="111">
        <v>33</v>
      </c>
      <c r="D587" s="111">
        <v>6</v>
      </c>
      <c r="E587" s="118" t="s">
        <v>1158</v>
      </c>
      <c r="F587" s="118" t="s">
        <v>1053</v>
      </c>
      <c r="G587" s="118" t="s">
        <v>614</v>
      </c>
      <c r="H587" s="117" t="s">
        <v>692</v>
      </c>
      <c r="I587" s="117" t="s">
        <v>1319</v>
      </c>
      <c r="J587" s="117"/>
      <c r="K587" s="117" t="s">
        <v>1057</v>
      </c>
      <c r="L587" s="117" t="s">
        <v>1154</v>
      </c>
      <c r="M587" s="111"/>
      <c r="N587" s="120">
        <v>44986</v>
      </c>
      <c r="O587" s="141">
        <v>2185</v>
      </c>
      <c r="P587" s="228">
        <f t="shared" si="13"/>
        <v>1117.1727604137375</v>
      </c>
      <c r="Q587" s="107">
        <v>0</v>
      </c>
      <c r="R587" s="107">
        <v>0</v>
      </c>
      <c r="S587" s="231"/>
      <c r="T587" s="236"/>
      <c r="U587" s="236"/>
    </row>
    <row r="588" spans="1:21" ht="72" x14ac:dyDescent="0.3">
      <c r="A588" s="117">
        <v>586</v>
      </c>
      <c r="B588" s="110">
        <v>1607</v>
      </c>
      <c r="C588" s="111">
        <v>27</v>
      </c>
      <c r="D588" s="111">
        <v>2</v>
      </c>
      <c r="E588" s="118" t="s">
        <v>1151</v>
      </c>
      <c r="F588" s="118" t="s">
        <v>204</v>
      </c>
      <c r="G588" s="118" t="s">
        <v>581</v>
      </c>
      <c r="H588" s="117" t="s">
        <v>693</v>
      </c>
      <c r="I588" s="117"/>
      <c r="J588" s="117"/>
      <c r="K588" s="117" t="s">
        <v>1063</v>
      </c>
      <c r="L588" s="117" t="s">
        <v>1149</v>
      </c>
      <c r="M588" s="111"/>
      <c r="N588" s="120">
        <v>45000</v>
      </c>
      <c r="O588" s="140">
        <v>1650</v>
      </c>
      <c r="P588" s="233">
        <f t="shared" si="13"/>
        <v>843.63160397376055</v>
      </c>
      <c r="Q588" s="107">
        <v>41.25</v>
      </c>
      <c r="R588" s="107">
        <v>288.75</v>
      </c>
      <c r="S588" s="235">
        <v>843.63</v>
      </c>
      <c r="T588" s="236"/>
      <c r="U588" s="236"/>
    </row>
    <row r="589" spans="1:21" ht="72" x14ac:dyDescent="0.3">
      <c r="A589" s="117">
        <v>587</v>
      </c>
      <c r="B589" s="110">
        <v>1608</v>
      </c>
      <c r="C589" s="111">
        <v>27</v>
      </c>
      <c r="D589" s="111">
        <v>2</v>
      </c>
      <c r="E589" s="118" t="s">
        <v>1151</v>
      </c>
      <c r="F589" s="118" t="s">
        <v>204</v>
      </c>
      <c r="G589" s="118" t="s">
        <v>581</v>
      </c>
      <c r="H589" s="118" t="s">
        <v>693</v>
      </c>
      <c r="I589" s="117"/>
      <c r="J589" s="117"/>
      <c r="K589" s="117" t="s">
        <v>1063</v>
      </c>
      <c r="L589" s="117" t="s">
        <v>1149</v>
      </c>
      <c r="M589" s="111"/>
      <c r="N589" s="120">
        <v>45000</v>
      </c>
      <c r="O589" s="140">
        <v>1650</v>
      </c>
      <c r="P589" s="233">
        <f t="shared" si="13"/>
        <v>843.63160397376055</v>
      </c>
      <c r="Q589" s="107">
        <v>41.25</v>
      </c>
      <c r="R589" s="107">
        <v>288.75</v>
      </c>
      <c r="S589" s="235">
        <v>843.63</v>
      </c>
      <c r="T589" s="236"/>
      <c r="U589" s="236"/>
    </row>
    <row r="590" spans="1:21" ht="72" x14ac:dyDescent="0.3">
      <c r="A590" s="117">
        <v>588</v>
      </c>
      <c r="B590" s="110">
        <v>1612</v>
      </c>
      <c r="C590" s="111">
        <v>20</v>
      </c>
      <c r="D590" s="111">
        <v>1</v>
      </c>
      <c r="E590" s="118" t="s">
        <v>1163</v>
      </c>
      <c r="F590" s="118" t="s">
        <v>44</v>
      </c>
      <c r="G590" s="118" t="s">
        <v>390</v>
      </c>
      <c r="H590" s="118" t="s">
        <v>694</v>
      </c>
      <c r="I590" s="117" t="s">
        <v>1129</v>
      </c>
      <c r="J590" s="117"/>
      <c r="K590" s="117" t="s">
        <v>1066</v>
      </c>
      <c r="L590" s="117" t="s">
        <v>1149</v>
      </c>
      <c r="M590" s="111"/>
      <c r="N590" s="120">
        <v>45021</v>
      </c>
      <c r="O590" s="140">
        <v>4541.67</v>
      </c>
      <c r="P590" s="227">
        <f t="shared" si="13"/>
        <v>2322.1189980724298</v>
      </c>
      <c r="Q590" s="107">
        <v>113.54</v>
      </c>
      <c r="R590" s="107">
        <v>908.33</v>
      </c>
      <c r="S590" s="231">
        <f>P590*0.4</f>
        <v>928.84759922897194</v>
      </c>
      <c r="T590" s="236"/>
      <c r="U590" s="236"/>
    </row>
    <row r="591" spans="1:21" ht="72" x14ac:dyDescent="0.3">
      <c r="A591" s="117">
        <v>589</v>
      </c>
      <c r="B591" s="110">
        <v>1613</v>
      </c>
      <c r="C591" s="111">
        <v>49</v>
      </c>
      <c r="D591" s="111">
        <v>5</v>
      </c>
      <c r="E591" s="118" t="s">
        <v>1152</v>
      </c>
      <c r="F591" s="118" t="s">
        <v>587</v>
      </c>
      <c r="G591" s="118" t="s">
        <v>392</v>
      </c>
      <c r="H591" s="118" t="s">
        <v>695</v>
      </c>
      <c r="I591" s="117"/>
      <c r="J591" s="117"/>
      <c r="K591" s="117" t="s">
        <v>1118</v>
      </c>
      <c r="L591" s="117" t="s">
        <v>1150</v>
      </c>
      <c r="M591" s="111"/>
      <c r="N591" s="120">
        <v>45049</v>
      </c>
      <c r="O591" s="140">
        <v>10895.36</v>
      </c>
      <c r="P591" s="227">
        <f t="shared" si="13"/>
        <v>5570.7091107100314</v>
      </c>
      <c r="Q591" s="107">
        <v>272.38</v>
      </c>
      <c r="R591" s="107">
        <v>2451.46</v>
      </c>
      <c r="S591" s="231"/>
      <c r="T591" s="236"/>
      <c r="U591" s="236"/>
    </row>
    <row r="592" spans="1:21" ht="72" x14ac:dyDescent="0.3">
      <c r="A592" s="117">
        <v>590</v>
      </c>
      <c r="B592" s="110">
        <v>1620</v>
      </c>
      <c r="C592" s="111">
        <v>8</v>
      </c>
      <c r="D592" s="111">
        <v>2</v>
      </c>
      <c r="E592" s="118" t="s">
        <v>1151</v>
      </c>
      <c r="F592" s="118" t="s">
        <v>194</v>
      </c>
      <c r="G592" s="118" t="s">
        <v>393</v>
      </c>
      <c r="H592" s="117" t="s">
        <v>696</v>
      </c>
      <c r="I592" s="117" t="s">
        <v>1130</v>
      </c>
      <c r="J592" s="117"/>
      <c r="K592" s="117" t="s">
        <v>1056</v>
      </c>
      <c r="L592" s="117" t="s">
        <v>1153</v>
      </c>
      <c r="M592" s="111"/>
      <c r="N592" s="120">
        <v>45135</v>
      </c>
      <c r="O592" s="140">
        <v>3200</v>
      </c>
      <c r="P592" s="227">
        <f t="shared" si="13"/>
        <v>1636.1340198278992</v>
      </c>
      <c r="Q592" s="107">
        <v>80</v>
      </c>
      <c r="R592" s="107">
        <v>880</v>
      </c>
      <c r="S592" s="231"/>
      <c r="T592" s="236"/>
      <c r="U592" s="236"/>
    </row>
    <row r="593" spans="1:21" ht="72" x14ac:dyDescent="0.3">
      <c r="A593" s="117">
        <v>591</v>
      </c>
      <c r="B593" s="110">
        <v>1622</v>
      </c>
      <c r="C593" s="111">
        <v>2</v>
      </c>
      <c r="D593" s="111">
        <v>1</v>
      </c>
      <c r="E593" s="118" t="s">
        <v>1163</v>
      </c>
      <c r="F593" s="118" t="s">
        <v>191</v>
      </c>
      <c r="G593" s="119" t="s">
        <v>394</v>
      </c>
      <c r="H593" s="117" t="s">
        <v>697</v>
      </c>
      <c r="I593" s="117" t="s">
        <v>1113</v>
      </c>
      <c r="J593" s="117" t="s">
        <v>1096</v>
      </c>
      <c r="K593" s="117" t="s">
        <v>1061</v>
      </c>
      <c r="L593" s="117" t="s">
        <v>1150</v>
      </c>
      <c r="M593" s="111"/>
      <c r="N593" s="120">
        <v>45148</v>
      </c>
      <c r="O593" s="140">
        <v>4416.67</v>
      </c>
      <c r="P593" s="227">
        <f t="shared" si="13"/>
        <v>2258.2075129229024</v>
      </c>
      <c r="Q593" s="107">
        <v>110.42</v>
      </c>
      <c r="R593" s="107">
        <v>1325</v>
      </c>
      <c r="S593" s="231"/>
      <c r="T593" s="236"/>
      <c r="U593" s="236"/>
    </row>
    <row r="594" spans="1:21" ht="72" x14ac:dyDescent="0.3">
      <c r="A594" s="117">
        <v>592</v>
      </c>
      <c r="B594" s="110">
        <v>1641</v>
      </c>
      <c r="C594" s="111">
        <v>11</v>
      </c>
      <c r="D594" s="111">
        <v>3</v>
      </c>
      <c r="E594" s="118" t="s">
        <v>1058</v>
      </c>
      <c r="F594" s="118" t="s">
        <v>196</v>
      </c>
      <c r="G594" s="119" t="s">
        <v>395</v>
      </c>
      <c r="H594" s="119" t="s">
        <v>698</v>
      </c>
      <c r="I594" s="117" t="s">
        <v>1127</v>
      </c>
      <c r="J594" s="117"/>
      <c r="K594" s="117" t="s">
        <v>1122</v>
      </c>
      <c r="L594" s="117" t="s">
        <v>1150</v>
      </c>
      <c r="M594" s="111"/>
      <c r="N594" s="120">
        <v>45335</v>
      </c>
      <c r="O594" s="140">
        <v>12900</v>
      </c>
      <c r="P594" s="227">
        <f t="shared" si="13"/>
        <v>6595.665267431219</v>
      </c>
      <c r="Q594" s="107">
        <v>322.5</v>
      </c>
      <c r="R594" s="107">
        <v>5805</v>
      </c>
      <c r="S594" s="231"/>
      <c r="T594" s="236"/>
      <c r="U594" s="236"/>
    </row>
    <row r="595" spans="1:21" ht="72" x14ac:dyDescent="0.3">
      <c r="A595" s="117">
        <v>593</v>
      </c>
      <c r="B595" s="139">
        <v>1642</v>
      </c>
      <c r="C595" s="111">
        <v>11</v>
      </c>
      <c r="D595" s="111">
        <v>3</v>
      </c>
      <c r="E595" s="118" t="s">
        <v>1058</v>
      </c>
      <c r="F595" s="118" t="s">
        <v>196</v>
      </c>
      <c r="G595" s="119" t="s">
        <v>395</v>
      </c>
      <c r="H595" s="119" t="s">
        <v>698</v>
      </c>
      <c r="I595" s="117" t="s">
        <v>1127</v>
      </c>
      <c r="J595" s="117"/>
      <c r="K595" s="117" t="s">
        <v>1122</v>
      </c>
      <c r="L595" s="117" t="s">
        <v>1150</v>
      </c>
      <c r="M595" s="111"/>
      <c r="N595" s="120">
        <v>45335</v>
      </c>
      <c r="O595" s="140">
        <v>12900</v>
      </c>
      <c r="P595" s="227">
        <f t="shared" si="13"/>
        <v>6595.665267431219</v>
      </c>
      <c r="Q595" s="107">
        <v>322.5</v>
      </c>
      <c r="R595" s="107">
        <v>5805</v>
      </c>
      <c r="S595" s="231"/>
      <c r="T595" s="236"/>
      <c r="U595" s="236"/>
    </row>
    <row r="596" spans="1:21" ht="72" x14ac:dyDescent="0.3">
      <c r="A596" s="117">
        <v>594</v>
      </c>
      <c r="B596" s="110">
        <v>1644</v>
      </c>
      <c r="C596" s="111">
        <v>1</v>
      </c>
      <c r="D596" s="111">
        <v>1</v>
      </c>
      <c r="E596" s="118" t="s">
        <v>1163</v>
      </c>
      <c r="F596" s="118" t="s">
        <v>190</v>
      </c>
      <c r="G596" s="118" t="s">
        <v>566</v>
      </c>
      <c r="H596" s="117" t="s">
        <v>699</v>
      </c>
      <c r="I596" s="117"/>
      <c r="J596" s="117" t="s">
        <v>1047</v>
      </c>
      <c r="K596" s="117" t="s">
        <v>1056</v>
      </c>
      <c r="L596" s="117" t="s">
        <v>1153</v>
      </c>
      <c r="M596" s="111"/>
      <c r="N596" s="120">
        <v>45484</v>
      </c>
      <c r="O596" s="140">
        <v>4100</v>
      </c>
      <c r="P596" s="227">
        <f t="shared" si="13"/>
        <v>2096.296712904496</v>
      </c>
      <c r="Q596" s="107">
        <v>102.5</v>
      </c>
      <c r="R596" s="107">
        <v>2357.5</v>
      </c>
      <c r="S596" s="231"/>
      <c r="T596" s="236"/>
      <c r="U596" s="236"/>
    </row>
    <row r="597" spans="1:21" ht="57.6" x14ac:dyDescent="0.3">
      <c r="A597" s="117">
        <v>595</v>
      </c>
      <c r="B597" s="110">
        <v>1661</v>
      </c>
      <c r="C597" s="111">
        <v>16</v>
      </c>
      <c r="D597" s="111">
        <v>4</v>
      </c>
      <c r="E597" s="118" t="s">
        <v>1353</v>
      </c>
      <c r="F597" s="118" t="s">
        <v>201</v>
      </c>
      <c r="G597" s="118" t="s">
        <v>1203</v>
      </c>
      <c r="H597" s="117" t="s">
        <v>700</v>
      </c>
      <c r="I597" s="117" t="s">
        <v>1131</v>
      </c>
      <c r="J597" s="117"/>
      <c r="K597" s="117" t="s">
        <v>1056</v>
      </c>
      <c r="L597" s="117" t="s">
        <v>1153</v>
      </c>
      <c r="M597" s="118"/>
      <c r="N597" s="118"/>
      <c r="O597" s="140">
        <v>800</v>
      </c>
      <c r="P597" s="227">
        <f t="shared" si="13"/>
        <v>409.03350495697481</v>
      </c>
      <c r="Q597" s="107">
        <v>20</v>
      </c>
      <c r="R597" s="107">
        <v>500</v>
      </c>
      <c r="S597" s="231"/>
      <c r="T597" s="236"/>
      <c r="U597" s="236"/>
    </row>
    <row r="598" spans="1:21" ht="72" x14ac:dyDescent="0.3">
      <c r="A598" s="117">
        <v>596</v>
      </c>
      <c r="B598" s="131">
        <v>1934</v>
      </c>
      <c r="C598" s="111">
        <v>1</v>
      </c>
      <c r="D598" s="111">
        <v>1</v>
      </c>
      <c r="E598" s="118" t="s">
        <v>1163</v>
      </c>
      <c r="F598" s="118" t="s">
        <v>190</v>
      </c>
      <c r="G598" s="119" t="s">
        <v>87</v>
      </c>
      <c r="H598" s="119" t="s">
        <v>701</v>
      </c>
      <c r="I598" s="117"/>
      <c r="J598" s="117" t="s">
        <v>1049</v>
      </c>
      <c r="K598" s="117" t="s">
        <v>1063</v>
      </c>
      <c r="L598" s="117" t="s">
        <v>1149</v>
      </c>
      <c r="M598" s="111"/>
      <c r="N598" s="122">
        <v>16052013</v>
      </c>
      <c r="O598" s="140">
        <v>6393</v>
      </c>
      <c r="P598" s="227">
        <f t="shared" si="13"/>
        <v>3268.6889964874249</v>
      </c>
      <c r="Q598" s="107">
        <v>159.83000000000001</v>
      </c>
      <c r="R598" s="107">
        <v>0</v>
      </c>
      <c r="S598" s="231">
        <f t="shared" ref="S598:S605" si="14">P598*0.4</f>
        <v>1307.4755985949701</v>
      </c>
      <c r="T598" s="236"/>
      <c r="U598" s="236"/>
    </row>
    <row r="599" spans="1:21" ht="72" x14ac:dyDescent="0.3">
      <c r="A599" s="117">
        <v>597</v>
      </c>
      <c r="B599" s="131">
        <v>1935</v>
      </c>
      <c r="C599" s="111">
        <v>1</v>
      </c>
      <c r="D599" s="111">
        <v>1</v>
      </c>
      <c r="E599" s="118" t="s">
        <v>1163</v>
      </c>
      <c r="F599" s="118" t="s">
        <v>190</v>
      </c>
      <c r="G599" s="119" t="s">
        <v>87</v>
      </c>
      <c r="H599" s="117" t="s">
        <v>701</v>
      </c>
      <c r="I599" s="117"/>
      <c r="J599" s="117" t="s">
        <v>1049</v>
      </c>
      <c r="K599" s="117" t="s">
        <v>1063</v>
      </c>
      <c r="L599" s="117" t="s">
        <v>1149</v>
      </c>
      <c r="M599" s="111"/>
      <c r="N599" s="122">
        <v>16052013</v>
      </c>
      <c r="O599" s="140">
        <v>6393</v>
      </c>
      <c r="P599" s="227">
        <f t="shared" si="13"/>
        <v>3268.6889964874249</v>
      </c>
      <c r="Q599" s="107">
        <v>159.83000000000001</v>
      </c>
      <c r="R599" s="107">
        <v>0</v>
      </c>
      <c r="S599" s="231">
        <f t="shared" si="14"/>
        <v>1307.4755985949701</v>
      </c>
      <c r="T599" s="236"/>
      <c r="U599" s="236"/>
    </row>
    <row r="600" spans="1:21" ht="72" x14ac:dyDescent="0.3">
      <c r="A600" s="117">
        <v>598</v>
      </c>
      <c r="B600" s="131">
        <v>1936</v>
      </c>
      <c r="C600" s="111">
        <v>1</v>
      </c>
      <c r="D600" s="111">
        <v>1</v>
      </c>
      <c r="E600" s="118" t="s">
        <v>1163</v>
      </c>
      <c r="F600" s="118" t="s">
        <v>190</v>
      </c>
      <c r="G600" s="119" t="s">
        <v>87</v>
      </c>
      <c r="H600" s="119" t="s">
        <v>701</v>
      </c>
      <c r="I600" s="117"/>
      <c r="J600" s="117" t="s">
        <v>1049</v>
      </c>
      <c r="K600" s="117" t="s">
        <v>1063</v>
      </c>
      <c r="L600" s="117" t="s">
        <v>1149</v>
      </c>
      <c r="M600" s="111"/>
      <c r="N600" s="122">
        <v>16052013</v>
      </c>
      <c r="O600" s="140">
        <v>6393</v>
      </c>
      <c r="P600" s="227">
        <f t="shared" si="13"/>
        <v>3268.6889964874249</v>
      </c>
      <c r="Q600" s="107">
        <v>159.83000000000001</v>
      </c>
      <c r="R600" s="107">
        <v>0</v>
      </c>
      <c r="S600" s="231">
        <f t="shared" si="14"/>
        <v>1307.4755985949701</v>
      </c>
      <c r="T600" s="236"/>
      <c r="U600" s="236"/>
    </row>
    <row r="601" spans="1:21" ht="72" x14ac:dyDescent="0.3">
      <c r="A601" s="117">
        <v>599</v>
      </c>
      <c r="B601" s="131">
        <v>1937</v>
      </c>
      <c r="C601" s="111">
        <v>1</v>
      </c>
      <c r="D601" s="111">
        <v>1</v>
      </c>
      <c r="E601" s="118" t="s">
        <v>1163</v>
      </c>
      <c r="F601" s="118" t="s">
        <v>190</v>
      </c>
      <c r="G601" s="119" t="s">
        <v>87</v>
      </c>
      <c r="H601" s="119" t="s">
        <v>701</v>
      </c>
      <c r="I601" s="117"/>
      <c r="J601" s="117" t="s">
        <v>1049</v>
      </c>
      <c r="K601" s="117" t="s">
        <v>1063</v>
      </c>
      <c r="L601" s="117" t="s">
        <v>1149</v>
      </c>
      <c r="M601" s="111"/>
      <c r="N601" s="122">
        <v>16052013</v>
      </c>
      <c r="O601" s="140">
        <v>6393</v>
      </c>
      <c r="P601" s="227">
        <f t="shared" si="13"/>
        <v>3268.6889964874249</v>
      </c>
      <c r="Q601" s="107">
        <v>159.83000000000001</v>
      </c>
      <c r="R601" s="107">
        <v>0</v>
      </c>
      <c r="S601" s="231">
        <f t="shared" si="14"/>
        <v>1307.4755985949701</v>
      </c>
      <c r="T601" s="236"/>
      <c r="U601" s="236"/>
    </row>
    <row r="602" spans="1:21" ht="72" x14ac:dyDescent="0.3">
      <c r="A602" s="117">
        <v>600</v>
      </c>
      <c r="B602" s="131">
        <v>1938</v>
      </c>
      <c r="C602" s="111">
        <v>1</v>
      </c>
      <c r="D602" s="111">
        <v>1</v>
      </c>
      <c r="E602" s="118" t="s">
        <v>1163</v>
      </c>
      <c r="F602" s="118" t="s">
        <v>190</v>
      </c>
      <c r="G602" s="119" t="s">
        <v>87</v>
      </c>
      <c r="H602" s="119" t="s">
        <v>701</v>
      </c>
      <c r="I602" s="117"/>
      <c r="J602" s="117" t="s">
        <v>1049</v>
      </c>
      <c r="K602" s="117" t="s">
        <v>1063</v>
      </c>
      <c r="L602" s="117" t="s">
        <v>1149</v>
      </c>
      <c r="M602" s="111"/>
      <c r="N602" s="122">
        <v>16052013</v>
      </c>
      <c r="O602" s="140">
        <v>6393</v>
      </c>
      <c r="P602" s="227">
        <f t="shared" si="13"/>
        <v>3268.6889964874249</v>
      </c>
      <c r="Q602" s="107">
        <v>159.83000000000001</v>
      </c>
      <c r="R602" s="107">
        <v>0</v>
      </c>
      <c r="S602" s="231">
        <f t="shared" si="14"/>
        <v>1307.4755985949701</v>
      </c>
      <c r="T602" s="236"/>
      <c r="U602" s="236"/>
    </row>
    <row r="603" spans="1:21" ht="72" x14ac:dyDescent="0.3">
      <c r="A603" s="117">
        <v>601</v>
      </c>
      <c r="B603" s="131">
        <v>1939</v>
      </c>
      <c r="C603" s="111">
        <v>1</v>
      </c>
      <c r="D603" s="111">
        <v>1</v>
      </c>
      <c r="E603" s="118" t="s">
        <v>1163</v>
      </c>
      <c r="F603" s="118" t="s">
        <v>190</v>
      </c>
      <c r="G603" s="119" t="s">
        <v>87</v>
      </c>
      <c r="H603" s="119" t="s">
        <v>701</v>
      </c>
      <c r="I603" s="117"/>
      <c r="J603" s="117" t="s">
        <v>1049</v>
      </c>
      <c r="K603" s="117" t="s">
        <v>1063</v>
      </c>
      <c r="L603" s="117" t="s">
        <v>1149</v>
      </c>
      <c r="M603" s="111"/>
      <c r="N603" s="122">
        <v>16052013</v>
      </c>
      <c r="O603" s="140">
        <v>6393</v>
      </c>
      <c r="P603" s="227">
        <f t="shared" si="13"/>
        <v>3268.6889964874249</v>
      </c>
      <c r="Q603" s="107">
        <v>159.83000000000001</v>
      </c>
      <c r="R603" s="107">
        <v>0</v>
      </c>
      <c r="S603" s="231">
        <f t="shared" si="14"/>
        <v>1307.4755985949701</v>
      </c>
      <c r="T603" s="236"/>
      <c r="U603" s="236"/>
    </row>
    <row r="604" spans="1:21" ht="72" x14ac:dyDescent="0.3">
      <c r="A604" s="117">
        <v>602</v>
      </c>
      <c r="B604" s="131">
        <v>1940</v>
      </c>
      <c r="C604" s="111">
        <v>1</v>
      </c>
      <c r="D604" s="111">
        <v>1</v>
      </c>
      <c r="E604" s="118" t="s">
        <v>1163</v>
      </c>
      <c r="F604" s="118" t="s">
        <v>190</v>
      </c>
      <c r="G604" s="119" t="s">
        <v>87</v>
      </c>
      <c r="H604" s="119" t="s">
        <v>701</v>
      </c>
      <c r="I604" s="117"/>
      <c r="J604" s="117" t="s">
        <v>1049</v>
      </c>
      <c r="K604" s="117" t="s">
        <v>1063</v>
      </c>
      <c r="L604" s="117" t="s">
        <v>1149</v>
      </c>
      <c r="M604" s="111"/>
      <c r="N604" s="122">
        <v>16052013</v>
      </c>
      <c r="O604" s="140">
        <v>6393</v>
      </c>
      <c r="P604" s="227">
        <f t="shared" si="13"/>
        <v>3268.6889964874249</v>
      </c>
      <c r="Q604" s="107">
        <v>159.83000000000001</v>
      </c>
      <c r="R604" s="107">
        <v>0</v>
      </c>
      <c r="S604" s="231">
        <f t="shared" si="14"/>
        <v>1307.4755985949701</v>
      </c>
      <c r="T604" s="236"/>
      <c r="U604" s="236"/>
    </row>
    <row r="605" spans="1:21" ht="72" x14ac:dyDescent="0.3">
      <c r="A605" s="117">
        <v>603</v>
      </c>
      <c r="B605" s="131">
        <v>1941</v>
      </c>
      <c r="C605" s="111">
        <v>1</v>
      </c>
      <c r="D605" s="111">
        <v>1</v>
      </c>
      <c r="E605" s="118" t="s">
        <v>1163</v>
      </c>
      <c r="F605" s="118" t="s">
        <v>190</v>
      </c>
      <c r="G605" s="119" t="s">
        <v>87</v>
      </c>
      <c r="H605" s="119" t="s">
        <v>701</v>
      </c>
      <c r="I605" s="117"/>
      <c r="J605" s="117" t="s">
        <v>1049</v>
      </c>
      <c r="K605" s="117" t="s">
        <v>1063</v>
      </c>
      <c r="L605" s="117" t="s">
        <v>1149</v>
      </c>
      <c r="M605" s="111"/>
      <c r="N605" s="122">
        <v>16052013</v>
      </c>
      <c r="O605" s="140">
        <v>6393</v>
      </c>
      <c r="P605" s="227">
        <f t="shared" si="13"/>
        <v>3268.6889964874249</v>
      </c>
      <c r="Q605" s="107">
        <v>159.83000000000001</v>
      </c>
      <c r="R605" s="107">
        <v>0</v>
      </c>
      <c r="S605" s="231">
        <f t="shared" si="14"/>
        <v>1307.4755985949701</v>
      </c>
      <c r="T605" s="236"/>
      <c r="U605" s="236"/>
    </row>
    <row r="606" spans="1:21" ht="72" x14ac:dyDescent="0.3">
      <c r="A606" s="117">
        <v>604</v>
      </c>
      <c r="B606" s="131">
        <v>1942</v>
      </c>
      <c r="C606" s="111">
        <v>4</v>
      </c>
      <c r="D606" s="111">
        <v>3</v>
      </c>
      <c r="E606" s="118" t="s">
        <v>1058</v>
      </c>
      <c r="F606" s="118" t="s">
        <v>213</v>
      </c>
      <c r="G606" s="118" t="s">
        <v>572</v>
      </c>
      <c r="H606" s="117" t="s">
        <v>702</v>
      </c>
      <c r="I606" s="117" t="s">
        <v>1068</v>
      </c>
      <c r="J606" s="117"/>
      <c r="K606" s="117" t="s">
        <v>1059</v>
      </c>
      <c r="L606" s="117" t="s">
        <v>1150</v>
      </c>
      <c r="M606" s="111"/>
      <c r="N606" s="122">
        <v>16052013</v>
      </c>
      <c r="O606" s="140">
        <v>11832</v>
      </c>
      <c r="P606" s="227">
        <f t="shared" si="13"/>
        <v>6049.6055383136572</v>
      </c>
      <c r="Q606" s="107">
        <v>295.8</v>
      </c>
      <c r="R606" s="107">
        <v>0</v>
      </c>
      <c r="S606" s="231"/>
      <c r="T606" s="236"/>
      <c r="U606" s="236"/>
    </row>
    <row r="607" spans="1:21" ht="72" x14ac:dyDescent="0.3">
      <c r="A607" s="117">
        <v>605</v>
      </c>
      <c r="B607" s="131">
        <v>1943</v>
      </c>
      <c r="C607" s="111">
        <v>4</v>
      </c>
      <c r="D607" s="111">
        <v>3</v>
      </c>
      <c r="E607" s="118" t="s">
        <v>1058</v>
      </c>
      <c r="F607" s="118" t="s">
        <v>213</v>
      </c>
      <c r="G607" s="118" t="s">
        <v>572</v>
      </c>
      <c r="H607" s="117" t="s">
        <v>702</v>
      </c>
      <c r="I607" s="117" t="s">
        <v>1068</v>
      </c>
      <c r="J607" s="117"/>
      <c r="K607" s="117" t="s">
        <v>1066</v>
      </c>
      <c r="L607" s="117" t="s">
        <v>1149</v>
      </c>
      <c r="M607" s="111"/>
      <c r="N607" s="122">
        <v>16052013</v>
      </c>
      <c r="O607" s="140">
        <v>11832</v>
      </c>
      <c r="P607" s="227">
        <f t="shared" si="13"/>
        <v>6049.6055383136572</v>
      </c>
      <c r="Q607" s="107">
        <v>295.8</v>
      </c>
      <c r="R607" s="107">
        <v>0</v>
      </c>
      <c r="S607" s="231">
        <f>P607*0.3</f>
        <v>1814.8816614940972</v>
      </c>
      <c r="T607" s="236"/>
      <c r="U607" s="236"/>
    </row>
    <row r="608" spans="1:21" ht="72" x14ac:dyDescent="0.3">
      <c r="A608" s="117">
        <v>606</v>
      </c>
      <c r="B608" s="131">
        <v>1944</v>
      </c>
      <c r="C608" s="111">
        <v>4</v>
      </c>
      <c r="D608" s="111">
        <v>3</v>
      </c>
      <c r="E608" s="118" t="s">
        <v>1058</v>
      </c>
      <c r="F608" s="118" t="s">
        <v>213</v>
      </c>
      <c r="G608" s="118" t="s">
        <v>572</v>
      </c>
      <c r="H608" s="117" t="s">
        <v>702</v>
      </c>
      <c r="I608" s="117" t="s">
        <v>1068</v>
      </c>
      <c r="J608" s="117"/>
      <c r="K608" s="117" t="s">
        <v>1066</v>
      </c>
      <c r="L608" s="117" t="s">
        <v>1149</v>
      </c>
      <c r="M608" s="111"/>
      <c r="N608" s="122">
        <v>16052013</v>
      </c>
      <c r="O608" s="140">
        <v>11832</v>
      </c>
      <c r="P608" s="227">
        <f t="shared" si="13"/>
        <v>6049.6055383136572</v>
      </c>
      <c r="Q608" s="107">
        <v>295.8</v>
      </c>
      <c r="R608" s="107">
        <v>0</v>
      </c>
      <c r="S608" s="231">
        <f>P608*0.3</f>
        <v>1814.8816614940972</v>
      </c>
      <c r="T608" s="236"/>
      <c r="U608" s="236"/>
    </row>
    <row r="609" spans="1:21" ht="72" x14ac:dyDescent="0.3">
      <c r="A609" s="117">
        <v>607</v>
      </c>
      <c r="B609" s="131">
        <v>1945</v>
      </c>
      <c r="C609" s="111">
        <v>4</v>
      </c>
      <c r="D609" s="111">
        <v>3</v>
      </c>
      <c r="E609" s="118" t="s">
        <v>1058</v>
      </c>
      <c r="F609" s="118" t="s">
        <v>213</v>
      </c>
      <c r="G609" s="118" t="s">
        <v>572</v>
      </c>
      <c r="H609" s="117" t="s">
        <v>702</v>
      </c>
      <c r="I609" s="117" t="s">
        <v>1068</v>
      </c>
      <c r="J609" s="117"/>
      <c r="K609" s="117" t="s">
        <v>1066</v>
      </c>
      <c r="L609" s="117" t="s">
        <v>1149</v>
      </c>
      <c r="M609" s="111"/>
      <c r="N609" s="122">
        <v>16052013</v>
      </c>
      <c r="O609" s="140">
        <v>11832</v>
      </c>
      <c r="P609" s="227">
        <f t="shared" si="13"/>
        <v>6049.6055383136572</v>
      </c>
      <c r="Q609" s="107">
        <v>295.8</v>
      </c>
      <c r="R609" s="107">
        <v>0</v>
      </c>
      <c r="S609" s="231">
        <f>P609*0.3</f>
        <v>1814.8816614940972</v>
      </c>
      <c r="T609" s="236"/>
      <c r="U609" s="236"/>
    </row>
    <row r="610" spans="1:21" ht="72" x14ac:dyDescent="0.3">
      <c r="A610" s="117">
        <v>608</v>
      </c>
      <c r="B610" s="131">
        <v>1946</v>
      </c>
      <c r="C610" s="111">
        <v>7</v>
      </c>
      <c r="D610" s="111">
        <v>3</v>
      </c>
      <c r="E610" s="118" t="s">
        <v>1058</v>
      </c>
      <c r="F610" s="118" t="s">
        <v>193</v>
      </c>
      <c r="G610" s="119" t="s">
        <v>88</v>
      </c>
      <c r="H610" s="117" t="s">
        <v>706</v>
      </c>
      <c r="I610" s="117" t="s">
        <v>1224</v>
      </c>
      <c r="J610" s="117" t="s">
        <v>1228</v>
      </c>
      <c r="K610" s="117" t="s">
        <v>1066</v>
      </c>
      <c r="L610" s="117" t="s">
        <v>1149</v>
      </c>
      <c r="M610" s="111"/>
      <c r="N610" s="122">
        <v>16052013</v>
      </c>
      <c r="O610" s="140">
        <v>7575</v>
      </c>
      <c r="P610" s="227">
        <f t="shared" si="13"/>
        <v>3873.036000061355</v>
      </c>
      <c r="Q610" s="107">
        <v>189.38</v>
      </c>
      <c r="R610" s="107">
        <v>0</v>
      </c>
      <c r="S610" s="231">
        <f>P610*0.4</f>
        <v>1549.2144000245421</v>
      </c>
      <c r="T610" s="236"/>
      <c r="U610" s="236"/>
    </row>
    <row r="611" spans="1:21" ht="72" x14ac:dyDescent="0.3">
      <c r="A611" s="117">
        <v>609</v>
      </c>
      <c r="B611" s="131">
        <v>1947</v>
      </c>
      <c r="C611" s="111">
        <v>3</v>
      </c>
      <c r="D611" s="111">
        <v>3</v>
      </c>
      <c r="E611" s="118" t="s">
        <v>1058</v>
      </c>
      <c r="F611" s="118" t="s">
        <v>192</v>
      </c>
      <c r="G611" s="119" t="s">
        <v>89</v>
      </c>
      <c r="H611" s="117" t="s">
        <v>703</v>
      </c>
      <c r="I611" s="117"/>
      <c r="J611" s="117"/>
      <c r="K611" s="117" t="s">
        <v>1052</v>
      </c>
      <c r="L611" s="117" t="s">
        <v>1150</v>
      </c>
      <c r="M611" s="111"/>
      <c r="N611" s="122">
        <v>16052013</v>
      </c>
      <c r="O611" s="140">
        <v>8968</v>
      </c>
      <c r="P611" s="227">
        <f t="shared" si="13"/>
        <v>4585.2655905676875</v>
      </c>
      <c r="Q611" s="107">
        <v>224.2</v>
      </c>
      <c r="R611" s="107">
        <v>0</v>
      </c>
      <c r="S611" s="231"/>
      <c r="T611" s="236"/>
      <c r="U611" s="236"/>
    </row>
    <row r="612" spans="1:21" ht="72" x14ac:dyDescent="0.3">
      <c r="A612" s="117">
        <v>610</v>
      </c>
      <c r="B612" s="131">
        <v>1948</v>
      </c>
      <c r="C612" s="111">
        <v>3</v>
      </c>
      <c r="D612" s="111">
        <v>3</v>
      </c>
      <c r="E612" s="118" t="s">
        <v>1058</v>
      </c>
      <c r="F612" s="118" t="s">
        <v>192</v>
      </c>
      <c r="G612" s="119" t="s">
        <v>89</v>
      </c>
      <c r="H612" s="119" t="s">
        <v>703</v>
      </c>
      <c r="I612" s="117"/>
      <c r="J612" s="117" t="s">
        <v>1088</v>
      </c>
      <c r="K612" s="117" t="s">
        <v>1066</v>
      </c>
      <c r="L612" s="117" t="s">
        <v>1149</v>
      </c>
      <c r="M612" s="111"/>
      <c r="N612" s="122">
        <v>16052013</v>
      </c>
      <c r="O612" s="140">
        <v>8968</v>
      </c>
      <c r="P612" s="227">
        <f t="shared" si="13"/>
        <v>4585.2655905676875</v>
      </c>
      <c r="Q612" s="107">
        <v>224.2</v>
      </c>
      <c r="R612" s="107">
        <v>0</v>
      </c>
      <c r="S612" s="231">
        <f>P612*0.4</f>
        <v>1834.106236227075</v>
      </c>
      <c r="T612" s="236"/>
      <c r="U612" s="236"/>
    </row>
    <row r="613" spans="1:21" ht="72" x14ac:dyDescent="0.3">
      <c r="A613" s="117">
        <v>611</v>
      </c>
      <c r="B613" s="131">
        <v>1949</v>
      </c>
      <c r="C613" s="111">
        <v>3</v>
      </c>
      <c r="D613" s="111">
        <v>3</v>
      </c>
      <c r="E613" s="118" t="s">
        <v>1058</v>
      </c>
      <c r="F613" s="118" t="s">
        <v>192</v>
      </c>
      <c r="G613" s="119" t="s">
        <v>89</v>
      </c>
      <c r="H613" s="119" t="s">
        <v>703</v>
      </c>
      <c r="I613" s="117"/>
      <c r="J613" s="117"/>
      <c r="K613" s="117" t="s">
        <v>1066</v>
      </c>
      <c r="L613" s="117" t="s">
        <v>1149</v>
      </c>
      <c r="M613" s="111"/>
      <c r="N613" s="122">
        <v>16052013</v>
      </c>
      <c r="O613" s="140">
        <v>8968</v>
      </c>
      <c r="P613" s="227">
        <f t="shared" si="13"/>
        <v>4585.2655905676875</v>
      </c>
      <c r="Q613" s="107">
        <v>224.2</v>
      </c>
      <c r="R613" s="107">
        <v>0</v>
      </c>
      <c r="S613" s="231">
        <f>P613*0.4</f>
        <v>1834.106236227075</v>
      </c>
      <c r="T613" s="236"/>
      <c r="U613" s="236"/>
    </row>
    <row r="614" spans="1:21" ht="72" x14ac:dyDescent="0.3">
      <c r="A614" s="117">
        <v>612</v>
      </c>
      <c r="B614" s="131">
        <v>1950</v>
      </c>
      <c r="C614" s="111">
        <v>3</v>
      </c>
      <c r="D614" s="111">
        <v>3</v>
      </c>
      <c r="E614" s="118" t="s">
        <v>1058</v>
      </c>
      <c r="F614" s="118" t="s">
        <v>192</v>
      </c>
      <c r="G614" s="119" t="s">
        <v>89</v>
      </c>
      <c r="H614" s="119" t="s">
        <v>703</v>
      </c>
      <c r="I614" s="117"/>
      <c r="J614" s="117"/>
      <c r="K614" s="117" t="s">
        <v>1066</v>
      </c>
      <c r="L614" s="117" t="s">
        <v>1149</v>
      </c>
      <c r="M614" s="111"/>
      <c r="N614" s="122">
        <v>16052013</v>
      </c>
      <c r="O614" s="140">
        <v>8968</v>
      </c>
      <c r="P614" s="227">
        <f t="shared" si="13"/>
        <v>4585.2655905676875</v>
      </c>
      <c r="Q614" s="107">
        <v>224.2</v>
      </c>
      <c r="R614" s="107">
        <v>0</v>
      </c>
      <c r="S614" s="231">
        <f>P614*0.4</f>
        <v>1834.106236227075</v>
      </c>
      <c r="T614" s="236"/>
      <c r="U614" s="236"/>
    </row>
    <row r="615" spans="1:21" ht="72" x14ac:dyDescent="0.3">
      <c r="A615" s="117">
        <v>613</v>
      </c>
      <c r="B615" s="131">
        <v>1951</v>
      </c>
      <c r="C615" s="111">
        <v>3</v>
      </c>
      <c r="D615" s="111">
        <v>3</v>
      </c>
      <c r="E615" s="118" t="s">
        <v>1058</v>
      </c>
      <c r="F615" s="118" t="s">
        <v>192</v>
      </c>
      <c r="G615" s="119" t="s">
        <v>89</v>
      </c>
      <c r="H615" s="119" t="s">
        <v>703</v>
      </c>
      <c r="I615" s="117"/>
      <c r="J615" s="117"/>
      <c r="K615" s="117" t="s">
        <v>1059</v>
      </c>
      <c r="L615" s="117" t="s">
        <v>1150</v>
      </c>
      <c r="M615" s="111"/>
      <c r="N615" s="122">
        <v>16052013</v>
      </c>
      <c r="O615" s="140">
        <v>8968</v>
      </c>
      <c r="P615" s="227">
        <f t="shared" si="13"/>
        <v>4585.2655905676875</v>
      </c>
      <c r="Q615" s="107">
        <v>224.2</v>
      </c>
      <c r="R615" s="107">
        <v>0</v>
      </c>
      <c r="S615" s="231"/>
      <c r="T615" s="236"/>
      <c r="U615" s="236"/>
    </row>
    <row r="616" spans="1:21" ht="72" x14ac:dyDescent="0.3">
      <c r="A616" s="117">
        <v>614</v>
      </c>
      <c r="B616" s="131">
        <v>1952</v>
      </c>
      <c r="C616" s="111">
        <v>3</v>
      </c>
      <c r="D616" s="111">
        <v>3</v>
      </c>
      <c r="E616" s="118" t="s">
        <v>1058</v>
      </c>
      <c r="F616" s="118" t="s">
        <v>192</v>
      </c>
      <c r="G616" s="119" t="s">
        <v>89</v>
      </c>
      <c r="H616" s="119" t="s">
        <v>703</v>
      </c>
      <c r="I616" s="117"/>
      <c r="J616" s="117"/>
      <c r="K616" s="117" t="s">
        <v>1132</v>
      </c>
      <c r="L616" s="117" t="s">
        <v>1149</v>
      </c>
      <c r="M616" s="111"/>
      <c r="N616" s="122">
        <v>16052013</v>
      </c>
      <c r="O616" s="140">
        <v>8968</v>
      </c>
      <c r="P616" s="227">
        <f t="shared" si="13"/>
        <v>4585.2655905676875</v>
      </c>
      <c r="Q616" s="107">
        <v>224.2</v>
      </c>
      <c r="R616" s="107">
        <v>0</v>
      </c>
      <c r="S616" s="231">
        <f>P616*0.4</f>
        <v>1834.106236227075</v>
      </c>
      <c r="T616" s="236"/>
      <c r="U616" s="236"/>
    </row>
    <row r="617" spans="1:21" ht="72" x14ac:dyDescent="0.3">
      <c r="A617" s="117">
        <v>615</v>
      </c>
      <c r="B617" s="131">
        <v>1953</v>
      </c>
      <c r="C617" s="111">
        <v>3</v>
      </c>
      <c r="D617" s="111">
        <v>3</v>
      </c>
      <c r="E617" s="118" t="s">
        <v>1058</v>
      </c>
      <c r="F617" s="118" t="s">
        <v>192</v>
      </c>
      <c r="G617" s="119" t="s">
        <v>89</v>
      </c>
      <c r="H617" s="119" t="s">
        <v>703</v>
      </c>
      <c r="I617" s="117"/>
      <c r="J617" s="117"/>
      <c r="K617" s="117" t="s">
        <v>1066</v>
      </c>
      <c r="L617" s="117" t="s">
        <v>1149</v>
      </c>
      <c r="M617" s="111"/>
      <c r="N617" s="122">
        <v>16052013</v>
      </c>
      <c r="O617" s="140">
        <v>8968</v>
      </c>
      <c r="P617" s="227">
        <f t="shared" si="13"/>
        <v>4585.2655905676875</v>
      </c>
      <c r="Q617" s="107">
        <v>224.2</v>
      </c>
      <c r="R617" s="107">
        <v>0</v>
      </c>
      <c r="S617" s="231">
        <f>P617*0.4</f>
        <v>1834.106236227075</v>
      </c>
      <c r="T617" s="236"/>
      <c r="U617" s="236"/>
    </row>
    <row r="618" spans="1:21" ht="72" x14ac:dyDescent="0.3">
      <c r="A618" s="117">
        <v>616</v>
      </c>
      <c r="B618" s="131">
        <v>1954</v>
      </c>
      <c r="C618" s="111">
        <v>3</v>
      </c>
      <c r="D618" s="111">
        <v>3</v>
      </c>
      <c r="E618" s="118" t="s">
        <v>1058</v>
      </c>
      <c r="F618" s="118" t="s">
        <v>192</v>
      </c>
      <c r="G618" s="119" t="s">
        <v>89</v>
      </c>
      <c r="H618" s="119" t="s">
        <v>703</v>
      </c>
      <c r="I618" s="117"/>
      <c r="J618" s="117"/>
      <c r="K618" s="117" t="s">
        <v>1052</v>
      </c>
      <c r="L618" s="117" t="s">
        <v>1150</v>
      </c>
      <c r="M618" s="111"/>
      <c r="N618" s="122">
        <v>16052013</v>
      </c>
      <c r="O618" s="140">
        <v>8968</v>
      </c>
      <c r="P618" s="227">
        <f t="shared" si="13"/>
        <v>4585.2655905676875</v>
      </c>
      <c r="Q618" s="107">
        <v>224.2</v>
      </c>
      <c r="R618" s="107">
        <v>0</v>
      </c>
      <c r="S618" s="231"/>
      <c r="T618" s="236"/>
      <c r="U618" s="236"/>
    </row>
    <row r="619" spans="1:21" ht="72" x14ac:dyDescent="0.3">
      <c r="A619" s="117">
        <v>617</v>
      </c>
      <c r="B619" s="131">
        <v>1955</v>
      </c>
      <c r="C619" s="111">
        <v>3</v>
      </c>
      <c r="D619" s="111">
        <v>3</v>
      </c>
      <c r="E619" s="118" t="s">
        <v>1058</v>
      </c>
      <c r="F619" s="118" t="s">
        <v>192</v>
      </c>
      <c r="G619" s="119" t="s">
        <v>89</v>
      </c>
      <c r="H619" s="119" t="s">
        <v>703</v>
      </c>
      <c r="I619" s="117"/>
      <c r="J619" s="117"/>
      <c r="K619" s="117" t="s">
        <v>1052</v>
      </c>
      <c r="L619" s="117" t="s">
        <v>1150</v>
      </c>
      <c r="M619" s="111"/>
      <c r="N619" s="122">
        <v>16052013</v>
      </c>
      <c r="O619" s="140">
        <v>8968</v>
      </c>
      <c r="P619" s="227">
        <f t="shared" si="13"/>
        <v>4585.2655905676875</v>
      </c>
      <c r="Q619" s="107">
        <v>224.2</v>
      </c>
      <c r="R619" s="107">
        <v>0</v>
      </c>
      <c r="S619" s="231"/>
      <c r="T619" s="236"/>
      <c r="U619" s="236"/>
    </row>
    <row r="620" spans="1:21" ht="72" x14ac:dyDescent="0.3">
      <c r="A620" s="117">
        <v>618</v>
      </c>
      <c r="B620" s="131">
        <v>1956</v>
      </c>
      <c r="C620" s="111">
        <v>3</v>
      </c>
      <c r="D620" s="111">
        <v>3</v>
      </c>
      <c r="E620" s="118" t="s">
        <v>1058</v>
      </c>
      <c r="F620" s="118" t="s">
        <v>192</v>
      </c>
      <c r="G620" s="119" t="s">
        <v>89</v>
      </c>
      <c r="H620" s="119" t="s">
        <v>703</v>
      </c>
      <c r="I620" s="117"/>
      <c r="J620" s="117"/>
      <c r="K620" s="117" t="s">
        <v>1063</v>
      </c>
      <c r="L620" s="117" t="s">
        <v>1149</v>
      </c>
      <c r="M620" s="111"/>
      <c r="N620" s="122">
        <v>16052013</v>
      </c>
      <c r="O620" s="140">
        <v>8968</v>
      </c>
      <c r="P620" s="227">
        <f t="shared" si="13"/>
        <v>4585.2655905676875</v>
      </c>
      <c r="Q620" s="107">
        <v>224.2</v>
      </c>
      <c r="R620" s="107">
        <v>0</v>
      </c>
      <c r="S620" s="231">
        <f>P620*0.4</f>
        <v>1834.106236227075</v>
      </c>
      <c r="T620" s="236"/>
      <c r="U620" s="236"/>
    </row>
    <row r="621" spans="1:21" ht="72" x14ac:dyDescent="0.3">
      <c r="A621" s="117">
        <v>619</v>
      </c>
      <c r="B621" s="131">
        <v>1957</v>
      </c>
      <c r="C621" s="111">
        <v>8</v>
      </c>
      <c r="D621" s="111">
        <v>2</v>
      </c>
      <c r="E621" s="118" t="s">
        <v>1151</v>
      </c>
      <c r="F621" s="118" t="s">
        <v>194</v>
      </c>
      <c r="G621" s="119" t="s">
        <v>90</v>
      </c>
      <c r="H621" s="117" t="s">
        <v>704</v>
      </c>
      <c r="I621" s="117" t="s">
        <v>1133</v>
      </c>
      <c r="J621" s="117" t="s">
        <v>1088</v>
      </c>
      <c r="K621" s="117" t="s">
        <v>1059</v>
      </c>
      <c r="L621" s="117" t="s">
        <v>1150</v>
      </c>
      <c r="M621" s="111"/>
      <c r="N621" s="122">
        <v>16052013</v>
      </c>
      <c r="O621" s="140">
        <v>7215</v>
      </c>
      <c r="P621" s="227">
        <f t="shared" si="13"/>
        <v>3688.9709228307165</v>
      </c>
      <c r="Q621" s="107">
        <v>180.38</v>
      </c>
      <c r="R621" s="107">
        <v>0</v>
      </c>
      <c r="S621" s="231"/>
      <c r="T621" s="236"/>
      <c r="U621" s="236"/>
    </row>
    <row r="622" spans="1:21" ht="72" x14ac:dyDescent="0.3">
      <c r="A622" s="117">
        <v>620</v>
      </c>
      <c r="B622" s="131">
        <v>1958</v>
      </c>
      <c r="C622" s="111">
        <v>8</v>
      </c>
      <c r="D622" s="111">
        <v>2</v>
      </c>
      <c r="E622" s="118" t="s">
        <v>1151</v>
      </c>
      <c r="F622" s="118" t="s">
        <v>194</v>
      </c>
      <c r="G622" s="119" t="s">
        <v>90</v>
      </c>
      <c r="H622" s="117" t="s">
        <v>704</v>
      </c>
      <c r="I622" s="117" t="s">
        <v>1133</v>
      </c>
      <c r="J622" s="117" t="s">
        <v>1088</v>
      </c>
      <c r="K622" s="117" t="s">
        <v>1059</v>
      </c>
      <c r="L622" s="117" t="s">
        <v>1150</v>
      </c>
      <c r="M622" s="111"/>
      <c r="N622" s="122">
        <v>16052013</v>
      </c>
      <c r="O622" s="140">
        <v>7215</v>
      </c>
      <c r="P622" s="227">
        <f t="shared" si="13"/>
        <v>3688.9709228307165</v>
      </c>
      <c r="Q622" s="107">
        <v>180.38</v>
      </c>
      <c r="R622" s="107">
        <v>0</v>
      </c>
      <c r="S622" s="231"/>
      <c r="T622" s="236"/>
      <c r="U622" s="236"/>
    </row>
    <row r="623" spans="1:21" ht="72" x14ac:dyDescent="0.3">
      <c r="A623" s="117">
        <v>621</v>
      </c>
      <c r="B623" s="131">
        <v>1959</v>
      </c>
      <c r="C623" s="111">
        <v>8</v>
      </c>
      <c r="D623" s="111">
        <v>2</v>
      </c>
      <c r="E623" s="118" t="s">
        <v>1151</v>
      </c>
      <c r="F623" s="118" t="s">
        <v>194</v>
      </c>
      <c r="G623" s="119" t="s">
        <v>90</v>
      </c>
      <c r="H623" s="117" t="s">
        <v>704</v>
      </c>
      <c r="I623" s="117" t="s">
        <v>1133</v>
      </c>
      <c r="J623" s="117" t="s">
        <v>1088</v>
      </c>
      <c r="K623" s="117" t="s">
        <v>1059</v>
      </c>
      <c r="L623" s="117" t="s">
        <v>1150</v>
      </c>
      <c r="M623" s="111"/>
      <c r="N623" s="122">
        <v>16052013</v>
      </c>
      <c r="O623" s="140">
        <v>7215</v>
      </c>
      <c r="P623" s="227">
        <f t="shared" si="13"/>
        <v>3688.9709228307165</v>
      </c>
      <c r="Q623" s="107">
        <v>180.38</v>
      </c>
      <c r="R623" s="107">
        <v>0</v>
      </c>
      <c r="S623" s="231"/>
      <c r="T623" s="236"/>
      <c r="U623" s="236"/>
    </row>
    <row r="624" spans="1:21" ht="72" x14ac:dyDescent="0.3">
      <c r="A624" s="117">
        <v>622</v>
      </c>
      <c r="B624" s="131">
        <v>1960</v>
      </c>
      <c r="C624" s="111">
        <v>8</v>
      </c>
      <c r="D624" s="111">
        <v>2</v>
      </c>
      <c r="E624" s="118" t="s">
        <v>1151</v>
      </c>
      <c r="F624" s="118" t="s">
        <v>194</v>
      </c>
      <c r="G624" s="119" t="s">
        <v>90</v>
      </c>
      <c r="H624" s="117" t="s">
        <v>704</v>
      </c>
      <c r="I624" s="117" t="s">
        <v>1133</v>
      </c>
      <c r="J624" s="117" t="s">
        <v>1088</v>
      </c>
      <c r="K624" s="117" t="s">
        <v>1066</v>
      </c>
      <c r="L624" s="117" t="s">
        <v>1149</v>
      </c>
      <c r="M624" s="111"/>
      <c r="N624" s="122">
        <v>16052013</v>
      </c>
      <c r="O624" s="140">
        <v>7215</v>
      </c>
      <c r="P624" s="227">
        <f t="shared" si="13"/>
        <v>3688.9709228307165</v>
      </c>
      <c r="Q624" s="107">
        <v>180.38</v>
      </c>
      <c r="R624" s="107">
        <v>0</v>
      </c>
      <c r="S624" s="231">
        <f>P624*0.4</f>
        <v>1475.5883691322867</v>
      </c>
      <c r="T624" s="236"/>
      <c r="U624" s="236"/>
    </row>
    <row r="625" spans="1:21" ht="72" x14ac:dyDescent="0.3">
      <c r="A625" s="117">
        <v>623</v>
      </c>
      <c r="B625" s="131">
        <v>1961</v>
      </c>
      <c r="C625" s="111">
        <v>8</v>
      </c>
      <c r="D625" s="111">
        <v>2</v>
      </c>
      <c r="E625" s="118" t="s">
        <v>1151</v>
      </c>
      <c r="F625" s="118" t="s">
        <v>194</v>
      </c>
      <c r="G625" s="119" t="s">
        <v>90</v>
      </c>
      <c r="H625" s="117" t="s">
        <v>704</v>
      </c>
      <c r="I625" s="117" t="s">
        <v>1133</v>
      </c>
      <c r="J625" s="117" t="s">
        <v>1088</v>
      </c>
      <c r="K625" s="117" t="s">
        <v>1066</v>
      </c>
      <c r="L625" s="117" t="s">
        <v>1149</v>
      </c>
      <c r="M625" s="111"/>
      <c r="N625" s="122">
        <v>16052013</v>
      </c>
      <c r="O625" s="140">
        <v>7215</v>
      </c>
      <c r="P625" s="227">
        <f t="shared" si="13"/>
        <v>3688.9709228307165</v>
      </c>
      <c r="Q625" s="107">
        <v>180.38</v>
      </c>
      <c r="R625" s="107">
        <v>0</v>
      </c>
      <c r="S625" s="231">
        <f>P625*0.4</f>
        <v>1475.5883691322867</v>
      </c>
      <c r="T625" s="236"/>
      <c r="U625" s="236"/>
    </row>
    <row r="626" spans="1:21" ht="72" x14ac:dyDescent="0.3">
      <c r="A626" s="117">
        <v>624</v>
      </c>
      <c r="B626" s="131">
        <v>1962</v>
      </c>
      <c r="C626" s="111">
        <v>8</v>
      </c>
      <c r="D626" s="111">
        <v>2</v>
      </c>
      <c r="E626" s="118" t="s">
        <v>1151</v>
      </c>
      <c r="F626" s="118" t="s">
        <v>194</v>
      </c>
      <c r="G626" s="119" t="s">
        <v>90</v>
      </c>
      <c r="H626" s="117" t="s">
        <v>704</v>
      </c>
      <c r="I626" s="117" t="s">
        <v>1133</v>
      </c>
      <c r="J626" s="117" t="s">
        <v>1088</v>
      </c>
      <c r="K626" s="117" t="s">
        <v>1066</v>
      </c>
      <c r="L626" s="117" t="s">
        <v>1149</v>
      </c>
      <c r="M626" s="111"/>
      <c r="N626" s="122">
        <v>16052013</v>
      </c>
      <c r="O626" s="140">
        <v>7215</v>
      </c>
      <c r="P626" s="227">
        <f t="shared" si="13"/>
        <v>3688.9709228307165</v>
      </c>
      <c r="Q626" s="107">
        <v>180.38</v>
      </c>
      <c r="R626" s="107">
        <v>0</v>
      </c>
      <c r="S626" s="231">
        <f>P626*0.4</f>
        <v>1475.5883691322867</v>
      </c>
      <c r="T626" s="236"/>
      <c r="U626" s="236"/>
    </row>
    <row r="627" spans="1:21" ht="72" x14ac:dyDescent="0.3">
      <c r="A627" s="117">
        <v>625</v>
      </c>
      <c r="B627" s="131">
        <v>1963</v>
      </c>
      <c r="C627" s="111">
        <v>2</v>
      </c>
      <c r="D627" s="111">
        <v>1</v>
      </c>
      <c r="E627" s="118" t="s">
        <v>1163</v>
      </c>
      <c r="F627" s="118" t="s">
        <v>191</v>
      </c>
      <c r="G627" s="119" t="s">
        <v>91</v>
      </c>
      <c r="H627" s="117" t="s">
        <v>705</v>
      </c>
      <c r="I627" s="117" t="s">
        <v>1213</v>
      </c>
      <c r="J627" s="117" t="s">
        <v>1098</v>
      </c>
      <c r="K627" s="117" t="s">
        <v>1052</v>
      </c>
      <c r="L627" s="117" t="s">
        <v>1150</v>
      </c>
      <c r="M627" s="111"/>
      <c r="N627" s="122">
        <v>7052013</v>
      </c>
      <c r="O627" s="140">
        <v>37559</v>
      </c>
      <c r="P627" s="227">
        <f t="shared" si="13"/>
        <v>19203.611765848771</v>
      </c>
      <c r="Q627" s="107">
        <v>938.98</v>
      </c>
      <c r="R627" s="107">
        <v>0</v>
      </c>
      <c r="S627" s="231"/>
      <c r="T627" s="236"/>
      <c r="U627" s="236"/>
    </row>
    <row r="628" spans="1:21" ht="72" x14ac:dyDescent="0.3">
      <c r="A628" s="117">
        <v>626</v>
      </c>
      <c r="B628" s="131">
        <v>1964</v>
      </c>
      <c r="C628" s="111">
        <v>2</v>
      </c>
      <c r="D628" s="111">
        <v>1</v>
      </c>
      <c r="E628" s="118" t="s">
        <v>1163</v>
      </c>
      <c r="F628" s="118" t="s">
        <v>191</v>
      </c>
      <c r="G628" s="119" t="s">
        <v>91</v>
      </c>
      <c r="H628" s="119" t="s">
        <v>705</v>
      </c>
      <c r="I628" s="117" t="s">
        <v>1213</v>
      </c>
      <c r="J628" s="117" t="s">
        <v>1098</v>
      </c>
      <c r="K628" s="117" t="s">
        <v>1061</v>
      </c>
      <c r="L628" s="117" t="s">
        <v>1150</v>
      </c>
      <c r="M628" s="111"/>
      <c r="N628" s="122">
        <v>7052013</v>
      </c>
      <c r="O628" s="140">
        <v>37559</v>
      </c>
      <c r="P628" s="227">
        <f t="shared" si="13"/>
        <v>19203.611765848771</v>
      </c>
      <c r="Q628" s="107">
        <v>938.98</v>
      </c>
      <c r="R628" s="107">
        <v>0</v>
      </c>
      <c r="S628" s="231"/>
      <c r="T628" s="236"/>
      <c r="U628" s="236"/>
    </row>
    <row r="629" spans="1:21" ht="72" x14ac:dyDescent="0.3">
      <c r="A629" s="117">
        <v>627</v>
      </c>
      <c r="B629" s="131">
        <v>1965</v>
      </c>
      <c r="C629" s="111">
        <v>2</v>
      </c>
      <c r="D629" s="111">
        <v>1</v>
      </c>
      <c r="E629" s="118" t="s">
        <v>1163</v>
      </c>
      <c r="F629" s="118" t="s">
        <v>191</v>
      </c>
      <c r="G629" s="119" t="s">
        <v>91</v>
      </c>
      <c r="H629" s="119" t="s">
        <v>705</v>
      </c>
      <c r="I629" s="117" t="s">
        <v>1213</v>
      </c>
      <c r="J629" s="117" t="s">
        <v>1098</v>
      </c>
      <c r="K629" s="117" t="s">
        <v>1066</v>
      </c>
      <c r="L629" s="117" t="s">
        <v>1149</v>
      </c>
      <c r="M629" s="111"/>
      <c r="N629" s="122">
        <v>7052013</v>
      </c>
      <c r="O629" s="140">
        <v>37559</v>
      </c>
      <c r="P629" s="227">
        <f t="shared" si="13"/>
        <v>19203.611765848771</v>
      </c>
      <c r="Q629" s="107">
        <v>938.98</v>
      </c>
      <c r="R629" s="107">
        <v>0</v>
      </c>
      <c r="S629" s="231">
        <f>P629*0.4</f>
        <v>7681.4447063395091</v>
      </c>
      <c r="T629" s="236"/>
      <c r="U629" s="236"/>
    </row>
    <row r="630" spans="1:21" ht="72" x14ac:dyDescent="0.3">
      <c r="A630" s="117">
        <v>628</v>
      </c>
      <c r="B630" s="131">
        <v>1966</v>
      </c>
      <c r="C630" s="111">
        <v>2</v>
      </c>
      <c r="D630" s="111">
        <v>1</v>
      </c>
      <c r="E630" s="118" t="s">
        <v>1163</v>
      </c>
      <c r="F630" s="118" t="s">
        <v>191</v>
      </c>
      <c r="G630" s="119" t="s">
        <v>91</v>
      </c>
      <c r="H630" s="119" t="s">
        <v>705</v>
      </c>
      <c r="I630" s="117" t="s">
        <v>1213</v>
      </c>
      <c r="J630" s="117" t="s">
        <v>1098</v>
      </c>
      <c r="K630" s="117" t="s">
        <v>1052</v>
      </c>
      <c r="L630" s="117" t="s">
        <v>1150</v>
      </c>
      <c r="M630" s="111"/>
      <c r="N630" s="122">
        <v>7052013</v>
      </c>
      <c r="O630" s="140">
        <v>37559</v>
      </c>
      <c r="P630" s="227">
        <f t="shared" si="13"/>
        <v>19203.611765848771</v>
      </c>
      <c r="Q630" s="107">
        <v>938.98</v>
      </c>
      <c r="R630" s="107">
        <v>0</v>
      </c>
      <c r="S630" s="231"/>
      <c r="T630" s="236"/>
      <c r="U630" s="236"/>
    </row>
    <row r="631" spans="1:21" ht="72" x14ac:dyDescent="0.3">
      <c r="A631" s="117">
        <v>629</v>
      </c>
      <c r="B631" s="131">
        <v>1967</v>
      </c>
      <c r="C631" s="111">
        <v>2</v>
      </c>
      <c r="D631" s="111">
        <v>1</v>
      </c>
      <c r="E631" s="118" t="s">
        <v>1163</v>
      </c>
      <c r="F631" s="118" t="s">
        <v>191</v>
      </c>
      <c r="G631" s="119" t="s">
        <v>91</v>
      </c>
      <c r="H631" s="119" t="s">
        <v>705</v>
      </c>
      <c r="I631" s="117" t="s">
        <v>1213</v>
      </c>
      <c r="J631" s="117" t="s">
        <v>1098</v>
      </c>
      <c r="K631" s="117" t="s">
        <v>1066</v>
      </c>
      <c r="L631" s="117" t="s">
        <v>1149</v>
      </c>
      <c r="M631" s="111"/>
      <c r="N631" s="122">
        <v>7052013</v>
      </c>
      <c r="O631" s="140">
        <v>37559</v>
      </c>
      <c r="P631" s="227">
        <f t="shared" si="13"/>
        <v>19203.611765848771</v>
      </c>
      <c r="Q631" s="107">
        <v>938.98</v>
      </c>
      <c r="R631" s="107">
        <v>0</v>
      </c>
      <c r="S631" s="231">
        <f>P631*0.4</f>
        <v>7681.4447063395091</v>
      </c>
      <c r="T631" s="236"/>
      <c r="U631" s="236"/>
    </row>
    <row r="632" spans="1:21" ht="72" x14ac:dyDescent="0.3">
      <c r="A632" s="117">
        <v>630</v>
      </c>
      <c r="B632" s="131">
        <v>1968</v>
      </c>
      <c r="C632" s="111">
        <v>2</v>
      </c>
      <c r="D632" s="111">
        <v>1</v>
      </c>
      <c r="E632" s="118" t="s">
        <v>1163</v>
      </c>
      <c r="F632" s="118" t="s">
        <v>191</v>
      </c>
      <c r="G632" s="119" t="s">
        <v>91</v>
      </c>
      <c r="H632" s="119" t="s">
        <v>705</v>
      </c>
      <c r="I632" s="117" t="s">
        <v>1213</v>
      </c>
      <c r="J632" s="117" t="s">
        <v>1098</v>
      </c>
      <c r="K632" s="117" t="s">
        <v>1067</v>
      </c>
      <c r="L632" s="117" t="s">
        <v>1150</v>
      </c>
      <c r="M632" s="111"/>
      <c r="N632" s="122">
        <v>7052013</v>
      </c>
      <c r="O632" s="140">
        <v>37559</v>
      </c>
      <c r="P632" s="227">
        <f t="shared" si="13"/>
        <v>19203.611765848771</v>
      </c>
      <c r="Q632" s="107">
        <v>938.98</v>
      </c>
      <c r="R632" s="107">
        <v>0</v>
      </c>
      <c r="S632" s="231"/>
      <c r="T632" s="236"/>
      <c r="U632" s="236"/>
    </row>
    <row r="633" spans="1:21" ht="72" x14ac:dyDescent="0.3">
      <c r="A633" s="117">
        <v>631</v>
      </c>
      <c r="B633" s="131">
        <v>1969</v>
      </c>
      <c r="C633" s="111">
        <v>2</v>
      </c>
      <c r="D633" s="111">
        <v>1</v>
      </c>
      <c r="E633" s="118" t="s">
        <v>1163</v>
      </c>
      <c r="F633" s="118" t="s">
        <v>191</v>
      </c>
      <c r="G633" s="119" t="s">
        <v>91</v>
      </c>
      <c r="H633" s="119" t="s">
        <v>705</v>
      </c>
      <c r="I633" s="117" t="s">
        <v>1213</v>
      </c>
      <c r="J633" s="117" t="s">
        <v>1098</v>
      </c>
      <c r="K633" s="117" t="s">
        <v>1066</v>
      </c>
      <c r="L633" s="117" t="s">
        <v>1149</v>
      </c>
      <c r="M633" s="111"/>
      <c r="N633" s="122">
        <v>7052013</v>
      </c>
      <c r="O633" s="140">
        <v>37559</v>
      </c>
      <c r="P633" s="227">
        <f t="shared" si="13"/>
        <v>19203.611765848771</v>
      </c>
      <c r="Q633" s="107">
        <v>938.98</v>
      </c>
      <c r="R633" s="107">
        <v>0</v>
      </c>
      <c r="S633" s="231">
        <f>P633*0.4</f>
        <v>7681.4447063395091</v>
      </c>
      <c r="T633" s="236"/>
      <c r="U633" s="236"/>
    </row>
    <row r="634" spans="1:21" ht="72" x14ac:dyDescent="0.3">
      <c r="A634" s="117">
        <v>632</v>
      </c>
      <c r="B634" s="131">
        <v>1970</v>
      </c>
      <c r="C634" s="111">
        <v>2</v>
      </c>
      <c r="D634" s="111">
        <v>1</v>
      </c>
      <c r="E634" s="118" t="s">
        <v>1163</v>
      </c>
      <c r="F634" s="118" t="s">
        <v>191</v>
      </c>
      <c r="G634" s="119" t="s">
        <v>91</v>
      </c>
      <c r="H634" s="119" t="s">
        <v>705</v>
      </c>
      <c r="I634" s="117" t="s">
        <v>1213</v>
      </c>
      <c r="J634" s="117" t="s">
        <v>1098</v>
      </c>
      <c r="K634" s="117" t="s">
        <v>1066</v>
      </c>
      <c r="L634" s="117" t="s">
        <v>1149</v>
      </c>
      <c r="M634" s="111"/>
      <c r="N634" s="122">
        <v>7052013</v>
      </c>
      <c r="O634" s="140">
        <v>37559</v>
      </c>
      <c r="P634" s="227">
        <f t="shared" si="13"/>
        <v>19203.611765848771</v>
      </c>
      <c r="Q634" s="107">
        <v>938.98</v>
      </c>
      <c r="R634" s="107">
        <v>0</v>
      </c>
      <c r="S634" s="231">
        <f>P634*0.4</f>
        <v>7681.4447063395091</v>
      </c>
      <c r="T634" s="236"/>
      <c r="U634" s="236"/>
    </row>
    <row r="635" spans="1:21" ht="72" x14ac:dyDescent="0.3">
      <c r="A635" s="117">
        <v>633</v>
      </c>
      <c r="B635" s="131">
        <v>1971</v>
      </c>
      <c r="C635" s="111">
        <v>10</v>
      </c>
      <c r="D635" s="111">
        <v>2</v>
      </c>
      <c r="E635" s="118" t="s">
        <v>1151</v>
      </c>
      <c r="F635" s="118" t="s">
        <v>43</v>
      </c>
      <c r="G635" s="119" t="s">
        <v>92</v>
      </c>
      <c r="H635" s="117" t="s">
        <v>707</v>
      </c>
      <c r="I635" s="117" t="s">
        <v>1064</v>
      </c>
      <c r="J635" s="117" t="s">
        <v>1085</v>
      </c>
      <c r="K635" s="117" t="s">
        <v>1061</v>
      </c>
      <c r="L635" s="117" t="s">
        <v>1150</v>
      </c>
      <c r="M635" s="111"/>
      <c r="N635" s="122">
        <v>7052013</v>
      </c>
      <c r="O635" s="140">
        <v>46798</v>
      </c>
      <c r="P635" s="227">
        <f t="shared" si="13"/>
        <v>23927.437456220632</v>
      </c>
      <c r="Q635" s="107">
        <v>1169.95</v>
      </c>
      <c r="R635" s="107">
        <v>0</v>
      </c>
      <c r="S635" s="231"/>
      <c r="T635" s="236"/>
      <c r="U635" s="236"/>
    </row>
    <row r="636" spans="1:21" ht="72" x14ac:dyDescent="0.3">
      <c r="A636" s="117">
        <v>634</v>
      </c>
      <c r="B636" s="131">
        <v>1972</v>
      </c>
      <c r="C636" s="111">
        <v>10</v>
      </c>
      <c r="D636" s="111">
        <v>2</v>
      </c>
      <c r="E636" s="118" t="s">
        <v>1151</v>
      </c>
      <c r="F636" s="118" t="s">
        <v>43</v>
      </c>
      <c r="G636" s="119" t="s">
        <v>93</v>
      </c>
      <c r="H636" s="117" t="s">
        <v>708</v>
      </c>
      <c r="I636" s="117" t="s">
        <v>1064</v>
      </c>
      <c r="J636" s="117" t="s">
        <v>1085</v>
      </c>
      <c r="K636" s="117" t="s">
        <v>1052</v>
      </c>
      <c r="L636" s="117" t="s">
        <v>1149</v>
      </c>
      <c r="M636" s="111"/>
      <c r="N636" s="122">
        <v>7052013</v>
      </c>
      <c r="O636" s="140">
        <v>30319</v>
      </c>
      <c r="P636" s="227">
        <f t="shared" si="13"/>
        <v>15501.858545988149</v>
      </c>
      <c r="Q636" s="107">
        <v>757.98</v>
      </c>
      <c r="R636" s="107">
        <v>0</v>
      </c>
      <c r="S636" s="231">
        <f>P636*0.4</f>
        <v>6200.7434183952601</v>
      </c>
      <c r="T636" s="236"/>
      <c r="U636" s="236"/>
    </row>
    <row r="637" spans="1:21" ht="72" x14ac:dyDescent="0.3">
      <c r="A637" s="117">
        <v>635</v>
      </c>
      <c r="B637" s="131">
        <v>1973</v>
      </c>
      <c r="C637" s="111">
        <v>10</v>
      </c>
      <c r="D637" s="111">
        <v>2</v>
      </c>
      <c r="E637" s="118" t="s">
        <v>1151</v>
      </c>
      <c r="F637" s="118" t="s">
        <v>43</v>
      </c>
      <c r="G637" s="119" t="s">
        <v>93</v>
      </c>
      <c r="H637" s="117" t="s">
        <v>708</v>
      </c>
      <c r="I637" s="117" t="s">
        <v>1064</v>
      </c>
      <c r="J637" s="117" t="s">
        <v>1085</v>
      </c>
      <c r="K637" s="117" t="s">
        <v>1063</v>
      </c>
      <c r="L637" s="117" t="s">
        <v>1149</v>
      </c>
      <c r="M637" s="111"/>
      <c r="N637" s="122">
        <v>7052013</v>
      </c>
      <c r="O637" s="140">
        <v>30319</v>
      </c>
      <c r="P637" s="227">
        <f t="shared" si="13"/>
        <v>15501.858545988149</v>
      </c>
      <c r="Q637" s="107">
        <v>757.98</v>
      </c>
      <c r="R637" s="107">
        <v>0</v>
      </c>
      <c r="S637" s="231">
        <f>P637*0.4</f>
        <v>6200.7434183952601</v>
      </c>
      <c r="T637" s="236"/>
      <c r="U637" s="236"/>
    </row>
    <row r="638" spans="1:21" ht="72" x14ac:dyDescent="0.3">
      <c r="A638" s="117">
        <v>636</v>
      </c>
      <c r="B638" s="131">
        <v>1974</v>
      </c>
      <c r="C638" s="111">
        <v>1</v>
      </c>
      <c r="D638" s="111">
        <v>1</v>
      </c>
      <c r="E638" s="118" t="s">
        <v>1163</v>
      </c>
      <c r="F638" s="118" t="s">
        <v>190</v>
      </c>
      <c r="G638" s="119" t="s">
        <v>15</v>
      </c>
      <c r="H638" s="119" t="s">
        <v>709</v>
      </c>
      <c r="I638" s="117"/>
      <c r="J638" s="117" t="s">
        <v>1048</v>
      </c>
      <c r="K638" s="117" t="s">
        <v>1059</v>
      </c>
      <c r="L638" s="117" t="s">
        <v>1150</v>
      </c>
      <c r="M638" s="111"/>
      <c r="N638" s="122">
        <v>7052013</v>
      </c>
      <c r="O638" s="140">
        <v>10599</v>
      </c>
      <c r="P638" s="227">
        <f t="shared" si="13"/>
        <v>5419.18264879872</v>
      </c>
      <c r="Q638" s="107">
        <v>264.98</v>
      </c>
      <c r="R638" s="107">
        <v>0</v>
      </c>
      <c r="S638" s="231"/>
      <c r="T638" s="236"/>
      <c r="U638" s="236"/>
    </row>
    <row r="639" spans="1:21" ht="72" x14ac:dyDescent="0.3">
      <c r="A639" s="117">
        <v>637</v>
      </c>
      <c r="B639" s="131">
        <v>1975</v>
      </c>
      <c r="C639" s="111">
        <v>1</v>
      </c>
      <c r="D639" s="111">
        <v>1</v>
      </c>
      <c r="E639" s="118" t="s">
        <v>1163</v>
      </c>
      <c r="F639" s="118" t="s">
        <v>190</v>
      </c>
      <c r="G639" s="119" t="s">
        <v>15</v>
      </c>
      <c r="H639" s="119" t="s">
        <v>709</v>
      </c>
      <c r="I639" s="117"/>
      <c r="J639" s="117" t="s">
        <v>1048</v>
      </c>
      <c r="K639" s="117" t="s">
        <v>1063</v>
      </c>
      <c r="L639" s="117" t="s">
        <v>1149</v>
      </c>
      <c r="M639" s="111"/>
      <c r="N639" s="122">
        <v>7052013</v>
      </c>
      <c r="O639" s="140">
        <v>10599</v>
      </c>
      <c r="P639" s="227">
        <f t="shared" si="13"/>
        <v>5419.18264879872</v>
      </c>
      <c r="Q639" s="107">
        <v>264.98</v>
      </c>
      <c r="R639" s="107">
        <v>0</v>
      </c>
      <c r="S639" s="231">
        <f>P639*0.4</f>
        <v>2167.6730595194881</v>
      </c>
      <c r="T639" s="236"/>
      <c r="U639" s="236"/>
    </row>
    <row r="640" spans="1:21" ht="72" x14ac:dyDescent="0.3">
      <c r="A640" s="117">
        <v>638</v>
      </c>
      <c r="B640" s="131">
        <v>1976</v>
      </c>
      <c r="C640" s="111">
        <v>1</v>
      </c>
      <c r="D640" s="111">
        <v>1</v>
      </c>
      <c r="E640" s="118" t="s">
        <v>1163</v>
      </c>
      <c r="F640" s="118" t="s">
        <v>190</v>
      </c>
      <c r="G640" s="119" t="s">
        <v>15</v>
      </c>
      <c r="H640" s="119" t="s">
        <v>709</v>
      </c>
      <c r="I640" s="117"/>
      <c r="J640" s="117" t="s">
        <v>1048</v>
      </c>
      <c r="K640" s="117" t="s">
        <v>1066</v>
      </c>
      <c r="L640" s="117" t="s">
        <v>1149</v>
      </c>
      <c r="M640" s="111"/>
      <c r="N640" s="122">
        <v>7052013</v>
      </c>
      <c r="O640" s="140">
        <v>10599</v>
      </c>
      <c r="P640" s="227">
        <f t="shared" si="13"/>
        <v>5419.18264879872</v>
      </c>
      <c r="Q640" s="107">
        <v>264.98</v>
      </c>
      <c r="R640" s="107">
        <v>0</v>
      </c>
      <c r="S640" s="231">
        <f>P640*0.4</f>
        <v>2167.6730595194881</v>
      </c>
      <c r="T640" s="236"/>
      <c r="U640" s="236"/>
    </row>
    <row r="641" spans="1:21" ht="72" x14ac:dyDescent="0.3">
      <c r="A641" s="117">
        <v>639</v>
      </c>
      <c r="B641" s="131">
        <v>1977</v>
      </c>
      <c r="C641" s="111">
        <v>1</v>
      </c>
      <c r="D641" s="111">
        <v>1</v>
      </c>
      <c r="E641" s="118" t="s">
        <v>1163</v>
      </c>
      <c r="F641" s="118" t="s">
        <v>190</v>
      </c>
      <c r="G641" s="119" t="s">
        <v>15</v>
      </c>
      <c r="H641" s="119" t="s">
        <v>709</v>
      </c>
      <c r="I641" s="117"/>
      <c r="J641" s="117" t="s">
        <v>1048</v>
      </c>
      <c r="K641" s="117" t="s">
        <v>1059</v>
      </c>
      <c r="L641" s="117" t="s">
        <v>1150</v>
      </c>
      <c r="M641" s="111"/>
      <c r="N641" s="122">
        <v>7052013</v>
      </c>
      <c r="O641" s="140">
        <v>10599</v>
      </c>
      <c r="P641" s="227">
        <f t="shared" si="13"/>
        <v>5419.18264879872</v>
      </c>
      <c r="Q641" s="107">
        <v>264.98</v>
      </c>
      <c r="R641" s="107">
        <v>0</v>
      </c>
      <c r="S641" s="231"/>
      <c r="T641" s="236"/>
      <c r="U641" s="236"/>
    </row>
    <row r="642" spans="1:21" ht="72" x14ac:dyDescent="0.3">
      <c r="A642" s="117">
        <v>640</v>
      </c>
      <c r="B642" s="131">
        <v>1978</v>
      </c>
      <c r="C642" s="111">
        <v>1</v>
      </c>
      <c r="D642" s="111">
        <v>1</v>
      </c>
      <c r="E642" s="118" t="s">
        <v>1163</v>
      </c>
      <c r="F642" s="118" t="s">
        <v>190</v>
      </c>
      <c r="G642" s="119" t="s">
        <v>15</v>
      </c>
      <c r="H642" s="119" t="s">
        <v>709</v>
      </c>
      <c r="I642" s="117"/>
      <c r="J642" s="117" t="s">
        <v>1048</v>
      </c>
      <c r="K642" s="117" t="s">
        <v>1059</v>
      </c>
      <c r="L642" s="117" t="s">
        <v>1150</v>
      </c>
      <c r="M642" s="111"/>
      <c r="N642" s="122">
        <v>7052013</v>
      </c>
      <c r="O642" s="140">
        <v>10599</v>
      </c>
      <c r="P642" s="227">
        <f t="shared" si="13"/>
        <v>5419.18264879872</v>
      </c>
      <c r="Q642" s="107">
        <v>264.98</v>
      </c>
      <c r="R642" s="107">
        <v>0</v>
      </c>
      <c r="S642" s="231"/>
      <c r="T642" s="236"/>
      <c r="U642" s="236"/>
    </row>
    <row r="643" spans="1:21" ht="72" x14ac:dyDescent="0.3">
      <c r="A643" s="117">
        <v>641</v>
      </c>
      <c r="B643" s="131">
        <v>1979</v>
      </c>
      <c r="C643" s="111">
        <v>12</v>
      </c>
      <c r="D643" s="111">
        <v>2</v>
      </c>
      <c r="E643" s="118" t="s">
        <v>1151</v>
      </c>
      <c r="F643" s="118" t="s">
        <v>197</v>
      </c>
      <c r="G643" s="119" t="s">
        <v>17</v>
      </c>
      <c r="H643" s="119" t="s">
        <v>646</v>
      </c>
      <c r="I643" s="117"/>
      <c r="J643" s="117" t="s">
        <v>1134</v>
      </c>
      <c r="K643" s="117" t="s">
        <v>1066</v>
      </c>
      <c r="L643" s="117" t="s">
        <v>1149</v>
      </c>
      <c r="M643" s="111"/>
      <c r="N643" s="122">
        <v>7052013</v>
      </c>
      <c r="O643" s="140">
        <v>55449</v>
      </c>
      <c r="P643" s="227">
        <f t="shared" si="13"/>
        <v>28350.62352044912</v>
      </c>
      <c r="Q643" s="107">
        <v>1386.23</v>
      </c>
      <c r="R643" s="107">
        <v>0</v>
      </c>
      <c r="S643" s="234">
        <f>P643*0.2</f>
        <v>5670.1247040898243</v>
      </c>
      <c r="T643" s="236"/>
      <c r="U643" s="236"/>
    </row>
    <row r="644" spans="1:21" ht="72" x14ac:dyDescent="0.3">
      <c r="A644" s="117">
        <v>642</v>
      </c>
      <c r="B644" s="131">
        <v>1980</v>
      </c>
      <c r="C644" s="111">
        <v>12</v>
      </c>
      <c r="D644" s="111">
        <v>2</v>
      </c>
      <c r="E644" s="118" t="s">
        <v>1151</v>
      </c>
      <c r="F644" s="118" t="s">
        <v>197</v>
      </c>
      <c r="G644" s="119" t="s">
        <v>17</v>
      </c>
      <c r="H644" s="119" t="s">
        <v>646</v>
      </c>
      <c r="I644" s="117"/>
      <c r="J644" s="117" t="s">
        <v>1134</v>
      </c>
      <c r="K644" s="117" t="s">
        <v>1066</v>
      </c>
      <c r="L644" s="117" t="s">
        <v>1149</v>
      </c>
      <c r="M644" s="111"/>
      <c r="N644" s="122">
        <v>7052013</v>
      </c>
      <c r="O644" s="140">
        <v>55449</v>
      </c>
      <c r="P644" s="227">
        <f t="shared" ref="P644:P707" si="15">O644/$P$1</f>
        <v>28350.62352044912</v>
      </c>
      <c r="Q644" s="107">
        <v>1386.23</v>
      </c>
      <c r="R644" s="107">
        <v>0</v>
      </c>
      <c r="S644" s="234">
        <f>P644*0.2</f>
        <v>5670.1247040898243</v>
      </c>
      <c r="T644" s="236"/>
      <c r="U644" s="236"/>
    </row>
    <row r="645" spans="1:21" ht="72" x14ac:dyDescent="0.3">
      <c r="A645" s="117">
        <v>643</v>
      </c>
      <c r="B645" s="131">
        <v>1981</v>
      </c>
      <c r="C645" s="111">
        <v>15</v>
      </c>
      <c r="D645" s="111">
        <v>2</v>
      </c>
      <c r="E645" s="118" t="s">
        <v>1151</v>
      </c>
      <c r="F645" s="118" t="s">
        <v>200</v>
      </c>
      <c r="G645" s="119" t="s">
        <v>94</v>
      </c>
      <c r="H645" s="117" t="s">
        <v>710</v>
      </c>
      <c r="I645" s="117"/>
      <c r="J645" s="117"/>
      <c r="K645" s="117" t="s">
        <v>1067</v>
      </c>
      <c r="L645" s="117" t="s">
        <v>1150</v>
      </c>
      <c r="M645" s="111"/>
      <c r="N645" s="122">
        <v>7052013</v>
      </c>
      <c r="O645" s="140">
        <v>29099</v>
      </c>
      <c r="P645" s="227">
        <f t="shared" si="15"/>
        <v>14878.082450928761</v>
      </c>
      <c r="Q645" s="107">
        <v>727.48</v>
      </c>
      <c r="R645" s="107">
        <v>0</v>
      </c>
      <c r="S645" s="231"/>
      <c r="T645" s="236"/>
      <c r="U645" s="236"/>
    </row>
    <row r="646" spans="1:21" ht="72" x14ac:dyDescent="0.3">
      <c r="A646" s="117">
        <v>644</v>
      </c>
      <c r="B646" s="131">
        <v>1982</v>
      </c>
      <c r="C646" s="111">
        <v>12</v>
      </c>
      <c r="D646" s="111">
        <v>2</v>
      </c>
      <c r="E646" s="118" t="s">
        <v>1151</v>
      </c>
      <c r="F646" s="118" t="s">
        <v>197</v>
      </c>
      <c r="G646" s="119" t="s">
        <v>17</v>
      </c>
      <c r="H646" s="119" t="s">
        <v>646</v>
      </c>
      <c r="I646" s="117"/>
      <c r="J646" s="117" t="s">
        <v>1082</v>
      </c>
      <c r="K646" s="117" t="s">
        <v>1061</v>
      </c>
      <c r="L646" s="117" t="s">
        <v>1150</v>
      </c>
      <c r="M646" s="111"/>
      <c r="N646" s="122">
        <v>7052013</v>
      </c>
      <c r="O646" s="140">
        <v>62299</v>
      </c>
      <c r="P646" s="227">
        <f t="shared" si="15"/>
        <v>31852.972906643216</v>
      </c>
      <c r="Q646" s="107">
        <v>1557.48</v>
      </c>
      <c r="R646" s="107">
        <v>0</v>
      </c>
      <c r="S646" s="231"/>
      <c r="T646" s="236" t="s">
        <v>1529</v>
      </c>
      <c r="U646" s="236"/>
    </row>
    <row r="647" spans="1:21" ht="72" x14ac:dyDescent="0.3">
      <c r="A647" s="117">
        <v>645</v>
      </c>
      <c r="B647" s="131">
        <v>1983</v>
      </c>
      <c r="C647" s="111">
        <v>12</v>
      </c>
      <c r="D647" s="111">
        <v>2</v>
      </c>
      <c r="E647" s="118" t="s">
        <v>1151</v>
      </c>
      <c r="F647" s="118" t="s">
        <v>197</v>
      </c>
      <c r="G647" s="119" t="s">
        <v>17</v>
      </c>
      <c r="H647" s="119" t="s">
        <v>646</v>
      </c>
      <c r="I647" s="117"/>
      <c r="J647" s="117" t="s">
        <v>1082</v>
      </c>
      <c r="K647" s="117" t="s">
        <v>1067</v>
      </c>
      <c r="L647" s="117" t="s">
        <v>1150</v>
      </c>
      <c r="M647" s="111"/>
      <c r="N647" s="122">
        <v>7052013</v>
      </c>
      <c r="O647" s="140">
        <v>62299</v>
      </c>
      <c r="P647" s="227">
        <f t="shared" si="15"/>
        <v>31852.972906643216</v>
      </c>
      <c r="Q647" s="107">
        <v>1557.48</v>
      </c>
      <c r="R647" s="107">
        <v>0</v>
      </c>
      <c r="S647" s="231"/>
      <c r="T647" s="236" t="s">
        <v>1531</v>
      </c>
      <c r="U647" s="236"/>
    </row>
    <row r="648" spans="1:21" ht="72" x14ac:dyDescent="0.3">
      <c r="A648" s="117">
        <v>646</v>
      </c>
      <c r="B648" s="131">
        <v>1984</v>
      </c>
      <c r="C648" s="111">
        <v>8</v>
      </c>
      <c r="D648" s="111">
        <v>2</v>
      </c>
      <c r="E648" s="118" t="s">
        <v>1151</v>
      </c>
      <c r="F648" s="118" t="s">
        <v>194</v>
      </c>
      <c r="G648" s="119" t="s">
        <v>97</v>
      </c>
      <c r="H648" s="117" t="s">
        <v>711</v>
      </c>
      <c r="I648" s="117" t="s">
        <v>1087</v>
      </c>
      <c r="J648" s="117" t="s">
        <v>1233</v>
      </c>
      <c r="K648" s="117" t="s">
        <v>1059</v>
      </c>
      <c r="L648" s="117" t="s">
        <v>1150</v>
      </c>
      <c r="M648" s="111"/>
      <c r="N648" s="122">
        <v>7052013</v>
      </c>
      <c r="O648" s="140">
        <v>19659</v>
      </c>
      <c r="P648" s="227">
        <f t="shared" si="15"/>
        <v>10051.487092436459</v>
      </c>
      <c r="Q648" s="107">
        <v>491.48</v>
      </c>
      <c r="R648" s="107">
        <v>0</v>
      </c>
      <c r="S648" s="231"/>
      <c r="T648" s="236"/>
      <c r="U648" s="236"/>
    </row>
    <row r="649" spans="1:21" ht="72" x14ac:dyDescent="0.3">
      <c r="A649" s="117">
        <v>647</v>
      </c>
      <c r="B649" s="131">
        <v>1985</v>
      </c>
      <c r="C649" s="111">
        <v>8</v>
      </c>
      <c r="D649" s="111">
        <v>2</v>
      </c>
      <c r="E649" s="118" t="s">
        <v>1151</v>
      </c>
      <c r="F649" s="118" t="s">
        <v>194</v>
      </c>
      <c r="G649" s="119" t="s">
        <v>97</v>
      </c>
      <c r="H649" s="117" t="s">
        <v>711</v>
      </c>
      <c r="I649" s="117" t="s">
        <v>1087</v>
      </c>
      <c r="J649" s="117" t="s">
        <v>1233</v>
      </c>
      <c r="K649" s="117" t="s">
        <v>1063</v>
      </c>
      <c r="L649" s="117" t="s">
        <v>1149</v>
      </c>
      <c r="M649" s="111"/>
      <c r="N649" s="122">
        <v>7052013</v>
      </c>
      <c r="O649" s="140">
        <v>19659</v>
      </c>
      <c r="P649" s="227">
        <f t="shared" si="15"/>
        <v>10051.487092436459</v>
      </c>
      <c r="Q649" s="107">
        <v>491.48</v>
      </c>
      <c r="R649" s="107">
        <v>0</v>
      </c>
      <c r="S649" s="231">
        <f>P649*0.4</f>
        <v>4020.5948369745838</v>
      </c>
      <c r="T649" s="236"/>
      <c r="U649" s="236"/>
    </row>
    <row r="650" spans="1:21" ht="72" x14ac:dyDescent="0.3">
      <c r="A650" s="117">
        <v>648</v>
      </c>
      <c r="B650" s="131">
        <v>1986</v>
      </c>
      <c r="C650" s="111">
        <v>8</v>
      </c>
      <c r="D650" s="111">
        <v>2</v>
      </c>
      <c r="E650" s="118" t="s">
        <v>1151</v>
      </c>
      <c r="F650" s="118" t="s">
        <v>194</v>
      </c>
      <c r="G650" s="119" t="s">
        <v>97</v>
      </c>
      <c r="H650" s="119" t="s">
        <v>711</v>
      </c>
      <c r="I650" s="117" t="s">
        <v>1087</v>
      </c>
      <c r="J650" s="117" t="s">
        <v>1233</v>
      </c>
      <c r="K650" s="117" t="s">
        <v>1059</v>
      </c>
      <c r="L650" s="117" t="s">
        <v>1150</v>
      </c>
      <c r="M650" s="111"/>
      <c r="N650" s="122">
        <v>7052013</v>
      </c>
      <c r="O650" s="140">
        <v>19659</v>
      </c>
      <c r="P650" s="227">
        <f t="shared" si="15"/>
        <v>10051.487092436459</v>
      </c>
      <c r="Q650" s="107">
        <v>491.48</v>
      </c>
      <c r="R650" s="107">
        <v>0</v>
      </c>
      <c r="S650" s="231"/>
      <c r="T650" s="236"/>
      <c r="U650" s="236"/>
    </row>
    <row r="651" spans="1:21" ht="72" x14ac:dyDescent="0.3">
      <c r="A651" s="117">
        <v>649</v>
      </c>
      <c r="B651" s="131">
        <v>1987</v>
      </c>
      <c r="C651" s="111">
        <v>1</v>
      </c>
      <c r="D651" s="111">
        <v>1</v>
      </c>
      <c r="E651" s="118" t="s">
        <v>1163</v>
      </c>
      <c r="F651" s="118" t="s">
        <v>190</v>
      </c>
      <c r="G651" s="119" t="s">
        <v>15</v>
      </c>
      <c r="H651" s="119" t="s">
        <v>709</v>
      </c>
      <c r="I651" s="117" t="s">
        <v>6</v>
      </c>
      <c r="J651" s="117" t="s">
        <v>1072</v>
      </c>
      <c r="K651" s="117" t="s">
        <v>1052</v>
      </c>
      <c r="L651" s="117" t="s">
        <v>1150</v>
      </c>
      <c r="M651" s="111"/>
      <c r="N651" s="122">
        <v>7052013</v>
      </c>
      <c r="O651" s="140">
        <v>19369</v>
      </c>
      <c r="P651" s="227">
        <f t="shared" si="15"/>
        <v>9903.2124468895563</v>
      </c>
      <c r="Q651" s="107">
        <v>484.23</v>
      </c>
      <c r="R651" s="107">
        <v>0</v>
      </c>
      <c r="S651" s="231"/>
      <c r="T651" s="236"/>
      <c r="U651" s="236"/>
    </row>
    <row r="652" spans="1:21" ht="72" x14ac:dyDescent="0.3">
      <c r="A652" s="117">
        <v>650</v>
      </c>
      <c r="B652" s="131">
        <v>1988</v>
      </c>
      <c r="C652" s="111">
        <v>1</v>
      </c>
      <c r="D652" s="111">
        <v>1</v>
      </c>
      <c r="E652" s="118" t="s">
        <v>1163</v>
      </c>
      <c r="F652" s="118" t="s">
        <v>190</v>
      </c>
      <c r="G652" s="119" t="s">
        <v>15</v>
      </c>
      <c r="H652" s="119" t="s">
        <v>709</v>
      </c>
      <c r="I652" s="117" t="s">
        <v>6</v>
      </c>
      <c r="J652" s="117" t="s">
        <v>1050</v>
      </c>
      <c r="K652" s="117" t="s">
        <v>1063</v>
      </c>
      <c r="L652" s="117" t="s">
        <v>1149</v>
      </c>
      <c r="M652" s="111"/>
      <c r="N652" s="122">
        <v>7052013</v>
      </c>
      <c r="O652" s="140">
        <v>14999</v>
      </c>
      <c r="P652" s="227">
        <f t="shared" si="15"/>
        <v>7668.8669260620809</v>
      </c>
      <c r="Q652" s="107">
        <v>374.98</v>
      </c>
      <c r="R652" s="107">
        <v>0</v>
      </c>
      <c r="S652" s="231">
        <f>P652*0.4</f>
        <v>3067.5467704248326</v>
      </c>
      <c r="T652" s="236"/>
      <c r="U652" s="236"/>
    </row>
    <row r="653" spans="1:21" ht="57.6" x14ac:dyDescent="0.3">
      <c r="A653" s="117">
        <v>651</v>
      </c>
      <c r="B653" s="131">
        <v>1989</v>
      </c>
      <c r="C653" s="111">
        <v>17</v>
      </c>
      <c r="D653" s="111">
        <v>4</v>
      </c>
      <c r="E653" s="118" t="s">
        <v>1353</v>
      </c>
      <c r="F653" s="118" t="s">
        <v>202</v>
      </c>
      <c r="G653" s="119" t="s">
        <v>372</v>
      </c>
      <c r="H653" s="117" t="s">
        <v>712</v>
      </c>
      <c r="I653" s="117" t="s">
        <v>1171</v>
      </c>
      <c r="J653" s="117"/>
      <c r="K653" s="117" t="s">
        <v>1061</v>
      </c>
      <c r="L653" s="117" t="s">
        <v>1150</v>
      </c>
      <c r="M653" s="111"/>
      <c r="N653" s="122">
        <v>7052013</v>
      </c>
      <c r="O653" s="140">
        <v>42999</v>
      </c>
      <c r="P653" s="227">
        <f t="shared" si="15"/>
        <v>21985.039599556199</v>
      </c>
      <c r="Q653" s="107">
        <v>1074.98</v>
      </c>
      <c r="R653" s="107">
        <v>0</v>
      </c>
      <c r="S653" s="231"/>
      <c r="T653" s="236"/>
      <c r="U653" s="236"/>
    </row>
    <row r="654" spans="1:21" ht="57.6" x14ac:dyDescent="0.3">
      <c r="A654" s="117">
        <v>652</v>
      </c>
      <c r="B654" s="131">
        <v>1990</v>
      </c>
      <c r="C654" s="111">
        <v>17</v>
      </c>
      <c r="D654" s="111">
        <v>4</v>
      </c>
      <c r="E654" s="118" t="s">
        <v>1353</v>
      </c>
      <c r="F654" s="118" t="s">
        <v>202</v>
      </c>
      <c r="G654" s="119" t="s">
        <v>372</v>
      </c>
      <c r="H654" s="117" t="s">
        <v>712</v>
      </c>
      <c r="I654" s="117" t="s">
        <v>1171</v>
      </c>
      <c r="J654" s="117"/>
      <c r="K654" s="117" t="s">
        <v>1052</v>
      </c>
      <c r="L654" s="117" t="s">
        <v>1150</v>
      </c>
      <c r="M654" s="111"/>
      <c r="N654" s="122">
        <v>7052013</v>
      </c>
      <c r="O654" s="140">
        <v>42999</v>
      </c>
      <c r="P654" s="227">
        <f t="shared" si="15"/>
        <v>21985.039599556199</v>
      </c>
      <c r="Q654" s="107">
        <v>1074.98</v>
      </c>
      <c r="R654" s="107">
        <v>0</v>
      </c>
      <c r="S654" s="231"/>
      <c r="T654" s="236"/>
      <c r="U654" s="236"/>
    </row>
    <row r="655" spans="1:21" ht="57.6" x14ac:dyDescent="0.3">
      <c r="A655" s="117">
        <v>653</v>
      </c>
      <c r="B655" s="131">
        <v>1991</v>
      </c>
      <c r="C655" s="111">
        <v>16</v>
      </c>
      <c r="D655" s="111">
        <v>4</v>
      </c>
      <c r="E655" s="118" t="s">
        <v>1353</v>
      </c>
      <c r="F655" s="118" t="s">
        <v>201</v>
      </c>
      <c r="G655" s="119" t="s">
        <v>1177</v>
      </c>
      <c r="H655" s="117" t="s">
        <v>713</v>
      </c>
      <c r="I655" s="117" t="s">
        <v>1060</v>
      </c>
      <c r="J655" s="117" t="s">
        <v>1196</v>
      </c>
      <c r="K655" s="117" t="s">
        <v>1067</v>
      </c>
      <c r="L655" s="117" t="s">
        <v>1150</v>
      </c>
      <c r="M655" s="111"/>
      <c r="N655" s="122">
        <v>7052013</v>
      </c>
      <c r="O655" s="140">
        <v>8509</v>
      </c>
      <c r="P655" s="227">
        <f t="shared" si="15"/>
        <v>4350.5826170986229</v>
      </c>
      <c r="Q655" s="107">
        <v>212.73</v>
      </c>
      <c r="R655" s="107">
        <v>0</v>
      </c>
      <c r="S655" s="231"/>
      <c r="T655" s="236"/>
      <c r="U655" s="236"/>
    </row>
    <row r="656" spans="1:21" ht="57.6" x14ac:dyDescent="0.3">
      <c r="A656" s="117">
        <v>654</v>
      </c>
      <c r="B656" s="131">
        <v>1992</v>
      </c>
      <c r="C656" s="111">
        <v>16</v>
      </c>
      <c r="D656" s="111">
        <v>4</v>
      </c>
      <c r="E656" s="118" t="s">
        <v>1353</v>
      </c>
      <c r="F656" s="118" t="s">
        <v>201</v>
      </c>
      <c r="G656" s="119" t="s">
        <v>1177</v>
      </c>
      <c r="H656" s="119" t="s">
        <v>713</v>
      </c>
      <c r="I656" s="117" t="s">
        <v>1060</v>
      </c>
      <c r="J656" s="117" t="s">
        <v>1196</v>
      </c>
      <c r="K656" s="117" t="s">
        <v>1061</v>
      </c>
      <c r="L656" s="117" t="s">
        <v>1150</v>
      </c>
      <c r="M656" s="111"/>
      <c r="N656" s="122">
        <v>7052013</v>
      </c>
      <c r="O656" s="140">
        <v>8509</v>
      </c>
      <c r="P656" s="227">
        <f t="shared" si="15"/>
        <v>4350.5826170986229</v>
      </c>
      <c r="Q656" s="107">
        <v>212.73</v>
      </c>
      <c r="R656" s="107">
        <v>0</v>
      </c>
      <c r="S656" s="231"/>
      <c r="T656" s="236"/>
      <c r="U656" s="236"/>
    </row>
    <row r="657" spans="1:21" ht="57.6" x14ac:dyDescent="0.3">
      <c r="A657" s="117">
        <v>655</v>
      </c>
      <c r="B657" s="131">
        <v>1993</v>
      </c>
      <c r="C657" s="111">
        <v>16</v>
      </c>
      <c r="D657" s="111">
        <v>4</v>
      </c>
      <c r="E657" s="118" t="s">
        <v>1353</v>
      </c>
      <c r="F657" s="118" t="s">
        <v>201</v>
      </c>
      <c r="G657" s="119" t="s">
        <v>1177</v>
      </c>
      <c r="H657" s="119" t="s">
        <v>713</v>
      </c>
      <c r="I657" s="117" t="s">
        <v>1060</v>
      </c>
      <c r="J657" s="117" t="s">
        <v>1196</v>
      </c>
      <c r="K657" s="117" t="s">
        <v>1059</v>
      </c>
      <c r="L657" s="117" t="s">
        <v>1150</v>
      </c>
      <c r="M657" s="111"/>
      <c r="N657" s="122">
        <v>7052013</v>
      </c>
      <c r="O657" s="140">
        <v>8509</v>
      </c>
      <c r="P657" s="227">
        <f t="shared" si="15"/>
        <v>4350.5826170986229</v>
      </c>
      <c r="Q657" s="107">
        <v>212.73</v>
      </c>
      <c r="R657" s="107">
        <v>0</v>
      </c>
      <c r="S657" s="231"/>
      <c r="T657" s="236"/>
      <c r="U657" s="236"/>
    </row>
    <row r="658" spans="1:21" ht="57.6" x14ac:dyDescent="0.3">
      <c r="A658" s="117">
        <v>656</v>
      </c>
      <c r="B658" s="131">
        <v>1994</v>
      </c>
      <c r="C658" s="111">
        <v>16</v>
      </c>
      <c r="D658" s="111">
        <v>4</v>
      </c>
      <c r="E658" s="118" t="s">
        <v>1353</v>
      </c>
      <c r="F658" s="118" t="s">
        <v>201</v>
      </c>
      <c r="G658" s="119" t="s">
        <v>1177</v>
      </c>
      <c r="H658" s="119" t="s">
        <v>713</v>
      </c>
      <c r="I658" s="117" t="s">
        <v>1060</v>
      </c>
      <c r="J658" s="117" t="s">
        <v>1196</v>
      </c>
      <c r="K658" s="117" t="s">
        <v>1061</v>
      </c>
      <c r="L658" s="117" t="s">
        <v>1150</v>
      </c>
      <c r="M658" s="111"/>
      <c r="N658" s="122">
        <v>7052013</v>
      </c>
      <c r="O658" s="140">
        <v>8509</v>
      </c>
      <c r="P658" s="227">
        <f t="shared" si="15"/>
        <v>4350.5826170986229</v>
      </c>
      <c r="Q658" s="107">
        <v>212.73</v>
      </c>
      <c r="R658" s="107">
        <v>0</v>
      </c>
      <c r="S658" s="231"/>
      <c r="T658" s="236"/>
      <c r="U658" s="236"/>
    </row>
    <row r="659" spans="1:21" ht="57.6" x14ac:dyDescent="0.3">
      <c r="A659" s="117">
        <v>657</v>
      </c>
      <c r="B659" s="131">
        <v>1995</v>
      </c>
      <c r="C659" s="111">
        <v>16</v>
      </c>
      <c r="D659" s="111">
        <v>4</v>
      </c>
      <c r="E659" s="118" t="s">
        <v>1353</v>
      </c>
      <c r="F659" s="118" t="s">
        <v>201</v>
      </c>
      <c r="G659" s="119" t="s">
        <v>1177</v>
      </c>
      <c r="H659" s="119" t="s">
        <v>713</v>
      </c>
      <c r="I659" s="117" t="s">
        <v>1060</v>
      </c>
      <c r="J659" s="117" t="s">
        <v>1196</v>
      </c>
      <c r="K659" s="117" t="s">
        <v>1052</v>
      </c>
      <c r="L659" s="117" t="s">
        <v>1150</v>
      </c>
      <c r="M659" s="111"/>
      <c r="N659" s="122">
        <v>7052013</v>
      </c>
      <c r="O659" s="140">
        <v>8509</v>
      </c>
      <c r="P659" s="227">
        <f t="shared" si="15"/>
        <v>4350.5826170986229</v>
      </c>
      <c r="Q659" s="107">
        <v>212.73</v>
      </c>
      <c r="R659" s="107">
        <v>0</v>
      </c>
      <c r="S659" s="231"/>
      <c r="T659" s="236"/>
      <c r="U659" s="236"/>
    </row>
    <row r="660" spans="1:21" ht="57.6" x14ac:dyDescent="0.3">
      <c r="A660" s="117">
        <v>658</v>
      </c>
      <c r="B660" s="131">
        <v>1997</v>
      </c>
      <c r="C660" s="111">
        <v>16</v>
      </c>
      <c r="D660" s="111">
        <v>4</v>
      </c>
      <c r="E660" s="118" t="s">
        <v>1353</v>
      </c>
      <c r="F660" s="118" t="s">
        <v>201</v>
      </c>
      <c r="G660" s="119" t="s">
        <v>1177</v>
      </c>
      <c r="H660" s="119" t="s">
        <v>713</v>
      </c>
      <c r="I660" s="117" t="s">
        <v>1060</v>
      </c>
      <c r="J660" s="117" t="s">
        <v>1196</v>
      </c>
      <c r="K660" s="117" t="s">
        <v>1061</v>
      </c>
      <c r="L660" s="117" t="s">
        <v>1150</v>
      </c>
      <c r="M660" s="111"/>
      <c r="N660" s="122">
        <v>7052013</v>
      </c>
      <c r="O660" s="140">
        <v>8509</v>
      </c>
      <c r="P660" s="227">
        <f t="shared" si="15"/>
        <v>4350.5826170986229</v>
      </c>
      <c r="Q660" s="107">
        <v>212.73</v>
      </c>
      <c r="R660" s="107">
        <v>0</v>
      </c>
      <c r="S660" s="231"/>
      <c r="T660" s="236"/>
      <c r="U660" s="236"/>
    </row>
    <row r="661" spans="1:21" ht="57.6" x14ac:dyDescent="0.3">
      <c r="A661" s="117">
        <v>659</v>
      </c>
      <c r="B661" s="131">
        <v>1998</v>
      </c>
      <c r="C661" s="111">
        <v>16</v>
      </c>
      <c r="D661" s="111">
        <v>4</v>
      </c>
      <c r="E661" s="118" t="s">
        <v>1353</v>
      </c>
      <c r="F661" s="118" t="s">
        <v>201</v>
      </c>
      <c r="G661" s="119" t="s">
        <v>1177</v>
      </c>
      <c r="H661" s="119" t="s">
        <v>713</v>
      </c>
      <c r="I661" s="117" t="s">
        <v>1060</v>
      </c>
      <c r="J661" s="117" t="s">
        <v>1196</v>
      </c>
      <c r="K661" s="117" t="s">
        <v>1052</v>
      </c>
      <c r="L661" s="117" t="s">
        <v>1150</v>
      </c>
      <c r="M661" s="111"/>
      <c r="N661" s="122">
        <v>7052013</v>
      </c>
      <c r="O661" s="140">
        <v>8509</v>
      </c>
      <c r="P661" s="227">
        <f t="shared" si="15"/>
        <v>4350.5826170986229</v>
      </c>
      <c r="Q661" s="107">
        <v>212.73</v>
      </c>
      <c r="R661" s="107">
        <v>0</v>
      </c>
      <c r="S661" s="231"/>
      <c r="T661" s="236"/>
      <c r="U661" s="236"/>
    </row>
    <row r="662" spans="1:21" ht="57.6" x14ac:dyDescent="0.3">
      <c r="A662" s="117">
        <v>660</v>
      </c>
      <c r="B662" s="131">
        <v>1999</v>
      </c>
      <c r="C662" s="111">
        <v>17</v>
      </c>
      <c r="D662" s="111">
        <v>4</v>
      </c>
      <c r="E662" s="118" t="s">
        <v>1353</v>
      </c>
      <c r="F662" s="118" t="s">
        <v>202</v>
      </c>
      <c r="G662" s="119" t="s">
        <v>240</v>
      </c>
      <c r="H662" s="119" t="s">
        <v>714</v>
      </c>
      <c r="I662" s="117" t="s">
        <v>1325</v>
      </c>
      <c r="J662" s="117"/>
      <c r="K662" s="117" t="s">
        <v>1052</v>
      </c>
      <c r="L662" s="117" t="s">
        <v>1150</v>
      </c>
      <c r="M662" s="111"/>
      <c r="N662" s="122">
        <v>7052013</v>
      </c>
      <c r="O662" s="140">
        <v>164529</v>
      </c>
      <c r="P662" s="227">
        <f t="shared" si="15"/>
        <v>84122.341921332627</v>
      </c>
      <c r="Q662" s="107">
        <v>4113.2299999999996</v>
      </c>
      <c r="R662" s="107">
        <v>0</v>
      </c>
      <c r="S662" s="231"/>
      <c r="T662" s="236"/>
      <c r="U662" s="236"/>
    </row>
    <row r="663" spans="1:21" ht="57.6" x14ac:dyDescent="0.3">
      <c r="A663" s="117">
        <v>661</v>
      </c>
      <c r="B663" s="131">
        <v>2000</v>
      </c>
      <c r="C663" s="111">
        <v>17</v>
      </c>
      <c r="D663" s="111">
        <v>4</v>
      </c>
      <c r="E663" s="118" t="s">
        <v>1353</v>
      </c>
      <c r="F663" s="118" t="s">
        <v>202</v>
      </c>
      <c r="G663" s="119" t="s">
        <v>384</v>
      </c>
      <c r="H663" s="117" t="s">
        <v>715</v>
      </c>
      <c r="I663" s="117" t="s">
        <v>1283</v>
      </c>
      <c r="J663" s="117"/>
      <c r="K663" s="117" t="s">
        <v>1077</v>
      </c>
      <c r="L663" s="117" t="s">
        <v>1150</v>
      </c>
      <c r="M663" s="111"/>
      <c r="N663" s="122">
        <v>7052013</v>
      </c>
      <c r="O663" s="140">
        <v>92799</v>
      </c>
      <c r="P663" s="227">
        <f t="shared" si="15"/>
        <v>47447.375283127883</v>
      </c>
      <c r="Q663" s="107">
        <v>2319.98</v>
      </c>
      <c r="R663" s="107">
        <v>0</v>
      </c>
      <c r="S663" s="231"/>
      <c r="T663" s="236"/>
      <c r="U663" s="236"/>
    </row>
    <row r="664" spans="1:21" ht="57.6" x14ac:dyDescent="0.3">
      <c r="A664" s="117">
        <v>662</v>
      </c>
      <c r="B664" s="131">
        <v>2001</v>
      </c>
      <c r="C664" s="111">
        <v>17</v>
      </c>
      <c r="D664" s="111">
        <v>4</v>
      </c>
      <c r="E664" s="118" t="s">
        <v>1353</v>
      </c>
      <c r="F664" s="118" t="s">
        <v>202</v>
      </c>
      <c r="G664" s="119" t="s">
        <v>380</v>
      </c>
      <c r="H664" s="117" t="s">
        <v>716</v>
      </c>
      <c r="I664" s="117" t="s">
        <v>1279</v>
      </c>
      <c r="J664" s="117"/>
      <c r="K664" s="117" t="s">
        <v>1059</v>
      </c>
      <c r="L664" s="117" t="s">
        <v>1150</v>
      </c>
      <c r="M664" s="111"/>
      <c r="N664" s="122">
        <v>7052013</v>
      </c>
      <c r="O664" s="140">
        <v>63399</v>
      </c>
      <c r="P664" s="227">
        <f t="shared" si="15"/>
        <v>32415.393975959058</v>
      </c>
      <c r="Q664" s="107">
        <v>1584.98</v>
      </c>
      <c r="R664" s="107">
        <v>0</v>
      </c>
      <c r="S664" s="231"/>
      <c r="T664" s="236"/>
      <c r="U664" s="236"/>
    </row>
    <row r="665" spans="1:21" ht="57.6" x14ac:dyDescent="0.3">
      <c r="A665" s="117">
        <v>663</v>
      </c>
      <c r="B665" s="131">
        <v>2002</v>
      </c>
      <c r="C665" s="111">
        <v>17</v>
      </c>
      <c r="D665" s="111">
        <v>4</v>
      </c>
      <c r="E665" s="118" t="s">
        <v>1353</v>
      </c>
      <c r="F665" s="118" t="s">
        <v>202</v>
      </c>
      <c r="G665" s="119" t="s">
        <v>381</v>
      </c>
      <c r="H665" s="119" t="s">
        <v>716</v>
      </c>
      <c r="I665" s="117" t="s">
        <v>1280</v>
      </c>
      <c r="J665" s="117"/>
      <c r="K665" s="117" t="s">
        <v>1077</v>
      </c>
      <c r="L665" s="117" t="s">
        <v>1150</v>
      </c>
      <c r="M665" s="111"/>
      <c r="N665" s="122">
        <v>7052013</v>
      </c>
      <c r="O665" s="140">
        <v>83249</v>
      </c>
      <c r="P665" s="227">
        <f t="shared" si="15"/>
        <v>42564.537817703997</v>
      </c>
      <c r="Q665" s="107">
        <v>2081.23</v>
      </c>
      <c r="R665" s="107">
        <v>0</v>
      </c>
      <c r="S665" s="231"/>
      <c r="T665" s="236"/>
      <c r="U665" s="236"/>
    </row>
    <row r="666" spans="1:21" ht="57.6" x14ac:dyDescent="0.3">
      <c r="A666" s="117">
        <v>664</v>
      </c>
      <c r="B666" s="131">
        <v>2003</v>
      </c>
      <c r="C666" s="111">
        <v>17</v>
      </c>
      <c r="D666" s="111">
        <v>4</v>
      </c>
      <c r="E666" s="118" t="s">
        <v>1353</v>
      </c>
      <c r="F666" s="118" t="s">
        <v>202</v>
      </c>
      <c r="G666" s="119" t="s">
        <v>376</v>
      </c>
      <c r="H666" s="117" t="s">
        <v>717</v>
      </c>
      <c r="I666" s="117" t="s">
        <v>1281</v>
      </c>
      <c r="J666" s="117"/>
      <c r="K666" s="117" t="s">
        <v>1052</v>
      </c>
      <c r="L666" s="117" t="s">
        <v>1150</v>
      </c>
      <c r="M666" s="111"/>
      <c r="N666" s="122">
        <v>7052013</v>
      </c>
      <c r="O666" s="140">
        <v>42749</v>
      </c>
      <c r="P666" s="227">
        <f t="shared" si="15"/>
        <v>21857.216629257146</v>
      </c>
      <c r="Q666" s="107">
        <v>1068.73</v>
      </c>
      <c r="R666" s="107">
        <v>0</v>
      </c>
      <c r="S666" s="231"/>
      <c r="T666" s="236"/>
      <c r="U666" s="236"/>
    </row>
    <row r="667" spans="1:21" ht="57.6" x14ac:dyDescent="0.3">
      <c r="A667" s="117">
        <v>665</v>
      </c>
      <c r="B667" s="131">
        <v>2004</v>
      </c>
      <c r="C667" s="111">
        <v>17</v>
      </c>
      <c r="D667" s="111">
        <v>4</v>
      </c>
      <c r="E667" s="118" t="s">
        <v>1353</v>
      </c>
      <c r="F667" s="118" t="s">
        <v>202</v>
      </c>
      <c r="G667" s="119" t="s">
        <v>241</v>
      </c>
      <c r="H667" s="117" t="s">
        <v>718</v>
      </c>
      <c r="I667" s="117" t="s">
        <v>1080</v>
      </c>
      <c r="J667" s="117"/>
      <c r="K667" s="117" t="s">
        <v>1066</v>
      </c>
      <c r="L667" s="117" t="s">
        <v>1149</v>
      </c>
      <c r="M667" s="111"/>
      <c r="N667" s="122">
        <v>7052013</v>
      </c>
      <c r="O667" s="140">
        <v>50649</v>
      </c>
      <c r="P667" s="227">
        <f t="shared" si="15"/>
        <v>25896.422490707271</v>
      </c>
      <c r="Q667" s="107">
        <v>1266.23</v>
      </c>
      <c r="R667" s="107">
        <v>0</v>
      </c>
      <c r="S667" s="235">
        <f>P667*0.2</f>
        <v>5179.2844981414546</v>
      </c>
      <c r="T667" s="236"/>
      <c r="U667" s="236"/>
    </row>
    <row r="668" spans="1:21" ht="57.6" x14ac:dyDescent="0.3">
      <c r="A668" s="117">
        <v>666</v>
      </c>
      <c r="B668" s="131">
        <v>2005</v>
      </c>
      <c r="C668" s="111">
        <v>17</v>
      </c>
      <c r="D668" s="111">
        <v>4</v>
      </c>
      <c r="E668" s="118" t="s">
        <v>1353</v>
      </c>
      <c r="F668" s="118" t="s">
        <v>202</v>
      </c>
      <c r="G668" s="119" t="s">
        <v>241</v>
      </c>
      <c r="H668" s="119" t="s">
        <v>718</v>
      </c>
      <c r="I668" s="117" t="s">
        <v>1080</v>
      </c>
      <c r="J668" s="117"/>
      <c r="K668" s="117" t="s">
        <v>1066</v>
      </c>
      <c r="L668" s="117" t="s">
        <v>1149</v>
      </c>
      <c r="M668" s="111"/>
      <c r="N668" s="122">
        <v>7052013</v>
      </c>
      <c r="O668" s="140">
        <v>50649</v>
      </c>
      <c r="P668" s="227">
        <f t="shared" si="15"/>
        <v>25896.422490707271</v>
      </c>
      <c r="Q668" s="107">
        <v>1266.23</v>
      </c>
      <c r="R668" s="107">
        <v>0</v>
      </c>
      <c r="S668" s="235">
        <f>P668*0.2</f>
        <v>5179.2844981414546</v>
      </c>
      <c r="T668" s="236"/>
      <c r="U668" s="236"/>
    </row>
    <row r="669" spans="1:21" ht="57.6" x14ac:dyDescent="0.3">
      <c r="A669" s="117">
        <v>667</v>
      </c>
      <c r="B669" s="131">
        <v>2006</v>
      </c>
      <c r="C669" s="111">
        <v>17</v>
      </c>
      <c r="D669" s="111">
        <v>4</v>
      </c>
      <c r="E669" s="118" t="s">
        <v>1353</v>
      </c>
      <c r="F669" s="118" t="s">
        <v>202</v>
      </c>
      <c r="G669" s="119" t="s">
        <v>268</v>
      </c>
      <c r="H669" s="117" t="s">
        <v>719</v>
      </c>
      <c r="I669" s="117" t="s">
        <v>1286</v>
      </c>
      <c r="J669" s="117"/>
      <c r="K669" s="117" t="s">
        <v>1066</v>
      </c>
      <c r="L669" s="117" t="s">
        <v>1149</v>
      </c>
      <c r="M669" s="111"/>
      <c r="N669" s="122">
        <v>7052013</v>
      </c>
      <c r="O669" s="140">
        <v>137299</v>
      </c>
      <c r="P669" s="227">
        <f t="shared" si="15"/>
        <v>70199.863996359607</v>
      </c>
      <c r="Q669" s="107">
        <v>3432.48</v>
      </c>
      <c r="R669" s="107">
        <v>0</v>
      </c>
      <c r="S669" s="235">
        <f>P669*0.2</f>
        <v>14039.972799271922</v>
      </c>
      <c r="T669" s="236"/>
      <c r="U669" s="236"/>
    </row>
    <row r="670" spans="1:21" ht="57.6" x14ac:dyDescent="0.3">
      <c r="A670" s="117">
        <v>668</v>
      </c>
      <c r="B670" s="131">
        <v>2007</v>
      </c>
      <c r="C670" s="111">
        <v>17</v>
      </c>
      <c r="D670" s="111">
        <v>4</v>
      </c>
      <c r="E670" s="118" t="s">
        <v>1353</v>
      </c>
      <c r="F670" s="118" t="s">
        <v>202</v>
      </c>
      <c r="G670" s="119" t="s">
        <v>268</v>
      </c>
      <c r="H670" s="117" t="s">
        <v>719</v>
      </c>
      <c r="I670" s="117" t="s">
        <v>1286</v>
      </c>
      <c r="J670" s="117"/>
      <c r="K670" s="117" t="s">
        <v>1066</v>
      </c>
      <c r="L670" s="117" t="s">
        <v>1149</v>
      </c>
      <c r="M670" s="111"/>
      <c r="N670" s="122">
        <v>7052013</v>
      </c>
      <c r="O670" s="140">
        <v>137299</v>
      </c>
      <c r="P670" s="227">
        <f t="shared" si="15"/>
        <v>70199.863996359607</v>
      </c>
      <c r="Q670" s="107">
        <v>3432.48</v>
      </c>
      <c r="R670" s="107">
        <v>0</v>
      </c>
      <c r="S670" s="235">
        <f>P670*0.2</f>
        <v>14039.972799271922</v>
      </c>
      <c r="T670" s="236"/>
      <c r="U670" s="236"/>
    </row>
    <row r="671" spans="1:21" ht="57.6" x14ac:dyDescent="0.3">
      <c r="A671" s="117">
        <v>669</v>
      </c>
      <c r="B671" s="131">
        <v>2008</v>
      </c>
      <c r="C671" s="111">
        <v>16</v>
      </c>
      <c r="D671" s="111">
        <v>4</v>
      </c>
      <c r="E671" s="118" t="s">
        <v>1353</v>
      </c>
      <c r="F671" s="118" t="s">
        <v>201</v>
      </c>
      <c r="G671" s="119" t="s">
        <v>1191</v>
      </c>
      <c r="H671" s="117" t="s">
        <v>720</v>
      </c>
      <c r="I671" s="117" t="s">
        <v>1192</v>
      </c>
      <c r="J671" s="117" t="s">
        <v>1076</v>
      </c>
      <c r="K671" s="117" t="s">
        <v>1066</v>
      </c>
      <c r="L671" s="117" t="s">
        <v>1149</v>
      </c>
      <c r="M671" s="111"/>
      <c r="N671" s="122">
        <v>7052013</v>
      </c>
      <c r="O671" s="140">
        <v>9099</v>
      </c>
      <c r="P671" s="227">
        <f t="shared" si="15"/>
        <v>4652.2448270043924</v>
      </c>
      <c r="Q671" s="107">
        <v>227.48</v>
      </c>
      <c r="R671" s="107">
        <v>0</v>
      </c>
      <c r="S671" s="231">
        <f>P671*0.4</f>
        <v>1860.897930801757</v>
      </c>
      <c r="T671" s="236"/>
      <c r="U671" s="236"/>
    </row>
    <row r="672" spans="1:21" ht="57.6" x14ac:dyDescent="0.3">
      <c r="A672" s="117">
        <v>670</v>
      </c>
      <c r="B672" s="131">
        <v>2009</v>
      </c>
      <c r="C672" s="111">
        <v>16</v>
      </c>
      <c r="D672" s="111">
        <v>4</v>
      </c>
      <c r="E672" s="118" t="s">
        <v>1353</v>
      </c>
      <c r="F672" s="118" t="s">
        <v>201</v>
      </c>
      <c r="G672" s="119" t="s">
        <v>375</v>
      </c>
      <c r="H672" s="119" t="s">
        <v>721</v>
      </c>
      <c r="I672" s="117" t="s">
        <v>1195</v>
      </c>
      <c r="J672" s="117"/>
      <c r="K672" s="117" t="s">
        <v>1059</v>
      </c>
      <c r="L672" s="117" t="s">
        <v>1150</v>
      </c>
      <c r="M672" s="111"/>
      <c r="N672" s="122">
        <v>7052013</v>
      </c>
      <c r="O672" s="140">
        <v>20049</v>
      </c>
      <c r="P672" s="227">
        <f t="shared" si="15"/>
        <v>10250.890926102984</v>
      </c>
      <c r="Q672" s="107">
        <v>501.23</v>
      </c>
      <c r="R672" s="107">
        <v>0</v>
      </c>
      <c r="S672" s="231"/>
      <c r="T672" s="236"/>
      <c r="U672" s="236"/>
    </row>
    <row r="673" spans="1:21" ht="57.6" x14ac:dyDescent="0.3">
      <c r="A673" s="117">
        <v>671</v>
      </c>
      <c r="B673" s="131">
        <v>2010</v>
      </c>
      <c r="C673" s="111">
        <v>16</v>
      </c>
      <c r="D673" s="111">
        <v>4</v>
      </c>
      <c r="E673" s="118" t="s">
        <v>1353</v>
      </c>
      <c r="F673" s="118" t="s">
        <v>201</v>
      </c>
      <c r="G673" s="119" t="s">
        <v>375</v>
      </c>
      <c r="H673" s="119" t="s">
        <v>721</v>
      </c>
      <c r="I673" s="117" t="s">
        <v>1195</v>
      </c>
      <c r="J673" s="117"/>
      <c r="K673" s="117" t="s">
        <v>1059</v>
      </c>
      <c r="L673" s="117" t="s">
        <v>1150</v>
      </c>
      <c r="M673" s="111"/>
      <c r="N673" s="122">
        <v>7052013</v>
      </c>
      <c r="O673" s="140">
        <v>20049</v>
      </c>
      <c r="P673" s="227">
        <f t="shared" si="15"/>
        <v>10250.890926102984</v>
      </c>
      <c r="Q673" s="107">
        <v>501.23</v>
      </c>
      <c r="R673" s="107">
        <v>0</v>
      </c>
      <c r="S673" s="231"/>
      <c r="T673" s="236"/>
      <c r="U673" s="236"/>
    </row>
    <row r="674" spans="1:21" ht="57.6" x14ac:dyDescent="0.3">
      <c r="A674" s="117">
        <v>672</v>
      </c>
      <c r="B674" s="131">
        <v>2011</v>
      </c>
      <c r="C674" s="111">
        <v>16</v>
      </c>
      <c r="D674" s="111">
        <v>4</v>
      </c>
      <c r="E674" s="118" t="s">
        <v>1353</v>
      </c>
      <c r="F674" s="118" t="s">
        <v>201</v>
      </c>
      <c r="G674" s="119" t="s">
        <v>375</v>
      </c>
      <c r="H674" s="119" t="s">
        <v>721</v>
      </c>
      <c r="I674" s="117" t="s">
        <v>1195</v>
      </c>
      <c r="J674" s="117"/>
      <c r="K674" s="117" t="s">
        <v>1059</v>
      </c>
      <c r="L674" s="117" t="s">
        <v>1150</v>
      </c>
      <c r="M674" s="111"/>
      <c r="N674" s="122">
        <v>7052013</v>
      </c>
      <c r="O674" s="140">
        <v>20049</v>
      </c>
      <c r="P674" s="227">
        <f t="shared" si="15"/>
        <v>10250.890926102984</v>
      </c>
      <c r="Q674" s="107">
        <v>501.23</v>
      </c>
      <c r="R674" s="107">
        <v>0</v>
      </c>
      <c r="S674" s="231"/>
      <c r="T674" s="236"/>
      <c r="U674" s="236"/>
    </row>
    <row r="675" spans="1:21" ht="57.6" x14ac:dyDescent="0.3">
      <c r="A675" s="117">
        <v>673</v>
      </c>
      <c r="B675" s="131">
        <v>2012</v>
      </c>
      <c r="C675" s="111">
        <v>16</v>
      </c>
      <c r="D675" s="111">
        <v>4</v>
      </c>
      <c r="E675" s="118" t="s">
        <v>1353</v>
      </c>
      <c r="F675" s="118" t="s">
        <v>201</v>
      </c>
      <c r="G675" s="119" t="s">
        <v>1186</v>
      </c>
      <c r="H675" s="117" t="s">
        <v>722</v>
      </c>
      <c r="I675" s="117" t="s">
        <v>1171</v>
      </c>
      <c r="J675" s="117" t="s">
        <v>1076</v>
      </c>
      <c r="K675" s="117" t="s">
        <v>1063</v>
      </c>
      <c r="L675" s="117" t="s">
        <v>1149</v>
      </c>
      <c r="M675" s="111"/>
      <c r="N675" s="122">
        <v>7052013</v>
      </c>
      <c r="O675" s="140">
        <v>9099</v>
      </c>
      <c r="P675" s="227">
        <f t="shared" si="15"/>
        <v>4652.2448270043924</v>
      </c>
      <c r="Q675" s="107">
        <v>227.48</v>
      </c>
      <c r="R675" s="107">
        <v>0</v>
      </c>
      <c r="S675" s="231">
        <f>P675*0.4</f>
        <v>1860.897930801757</v>
      </c>
      <c r="T675" s="236"/>
      <c r="U675" s="236"/>
    </row>
    <row r="676" spans="1:21" ht="57.6" x14ac:dyDescent="0.3">
      <c r="A676" s="117">
        <v>674</v>
      </c>
      <c r="B676" s="131">
        <v>2013</v>
      </c>
      <c r="C676" s="111">
        <v>16</v>
      </c>
      <c r="D676" s="111">
        <v>4</v>
      </c>
      <c r="E676" s="118" t="s">
        <v>1353</v>
      </c>
      <c r="F676" s="118" t="s">
        <v>201</v>
      </c>
      <c r="G676" s="119" t="s">
        <v>375</v>
      </c>
      <c r="H676" s="119" t="s">
        <v>721</v>
      </c>
      <c r="I676" s="117" t="s">
        <v>1195</v>
      </c>
      <c r="J676" s="117"/>
      <c r="K676" s="117" t="s">
        <v>1059</v>
      </c>
      <c r="L676" s="117" t="s">
        <v>1150</v>
      </c>
      <c r="M676" s="111"/>
      <c r="N676" s="122">
        <v>7052013</v>
      </c>
      <c r="O676" s="140">
        <v>20049</v>
      </c>
      <c r="P676" s="227">
        <f t="shared" si="15"/>
        <v>10250.890926102984</v>
      </c>
      <c r="Q676" s="107">
        <v>501.23</v>
      </c>
      <c r="R676" s="107">
        <v>0</v>
      </c>
      <c r="S676" s="231"/>
      <c r="T676" s="236"/>
      <c r="U676" s="236"/>
    </row>
    <row r="677" spans="1:21" ht="57.6" x14ac:dyDescent="0.3">
      <c r="A677" s="117">
        <v>675</v>
      </c>
      <c r="B677" s="131">
        <v>2014</v>
      </c>
      <c r="C677" s="111">
        <v>16</v>
      </c>
      <c r="D677" s="111">
        <v>4</v>
      </c>
      <c r="E677" s="118" t="s">
        <v>1353</v>
      </c>
      <c r="F677" s="118" t="s">
        <v>201</v>
      </c>
      <c r="G677" s="119" t="s">
        <v>375</v>
      </c>
      <c r="H677" s="119" t="s">
        <v>721</v>
      </c>
      <c r="I677" s="117" t="s">
        <v>1195</v>
      </c>
      <c r="J677" s="117"/>
      <c r="K677" s="117" t="s">
        <v>1059</v>
      </c>
      <c r="L677" s="117" t="s">
        <v>1150</v>
      </c>
      <c r="M677" s="111"/>
      <c r="N677" s="122">
        <v>7052013</v>
      </c>
      <c r="O677" s="140">
        <v>20049</v>
      </c>
      <c r="P677" s="227">
        <f t="shared" si="15"/>
        <v>10250.890926102984</v>
      </c>
      <c r="Q677" s="107">
        <v>501.23</v>
      </c>
      <c r="R677" s="107">
        <v>0</v>
      </c>
      <c r="S677" s="231"/>
      <c r="T677" s="236"/>
      <c r="U677" s="236"/>
    </row>
    <row r="678" spans="1:21" ht="57.6" x14ac:dyDescent="0.3">
      <c r="A678" s="117">
        <v>676</v>
      </c>
      <c r="B678" s="131">
        <v>2015</v>
      </c>
      <c r="C678" s="111">
        <v>16</v>
      </c>
      <c r="D678" s="111">
        <v>4</v>
      </c>
      <c r="E678" s="118" t="s">
        <v>1353</v>
      </c>
      <c r="F678" s="118" t="s">
        <v>201</v>
      </c>
      <c r="G678" s="119" t="s">
        <v>375</v>
      </c>
      <c r="H678" s="119" t="s">
        <v>721</v>
      </c>
      <c r="I678" s="117" t="s">
        <v>1195</v>
      </c>
      <c r="J678" s="117"/>
      <c r="K678" s="117" t="s">
        <v>1059</v>
      </c>
      <c r="L678" s="117" t="s">
        <v>1150</v>
      </c>
      <c r="M678" s="111"/>
      <c r="N678" s="122">
        <v>7052013</v>
      </c>
      <c r="O678" s="140">
        <v>20049</v>
      </c>
      <c r="P678" s="227">
        <f t="shared" si="15"/>
        <v>10250.890926102984</v>
      </c>
      <c r="Q678" s="107">
        <v>501.23</v>
      </c>
      <c r="R678" s="107">
        <v>0</v>
      </c>
      <c r="S678" s="231"/>
      <c r="T678" s="236"/>
      <c r="U678" s="236"/>
    </row>
    <row r="679" spans="1:21" ht="57.6" x14ac:dyDescent="0.3">
      <c r="A679" s="117">
        <v>677</v>
      </c>
      <c r="B679" s="131">
        <v>2016</v>
      </c>
      <c r="C679" s="111">
        <v>16</v>
      </c>
      <c r="D679" s="111">
        <v>4</v>
      </c>
      <c r="E679" s="118" t="s">
        <v>1353</v>
      </c>
      <c r="F679" s="118" t="s">
        <v>201</v>
      </c>
      <c r="G679" s="119" t="s">
        <v>1199</v>
      </c>
      <c r="H679" s="119" t="s">
        <v>723</v>
      </c>
      <c r="I679" s="117" t="s">
        <v>1081</v>
      </c>
      <c r="J679" s="117"/>
      <c r="K679" s="117" t="s">
        <v>1066</v>
      </c>
      <c r="L679" s="117" t="s">
        <v>1149</v>
      </c>
      <c r="M679" s="111"/>
      <c r="N679" s="122">
        <v>7052013</v>
      </c>
      <c r="O679" s="140">
        <v>14379</v>
      </c>
      <c r="P679" s="227">
        <f t="shared" si="15"/>
        <v>7351.865959720426</v>
      </c>
      <c r="Q679" s="107">
        <v>359.48</v>
      </c>
      <c r="R679" s="107">
        <v>0</v>
      </c>
      <c r="S679" s="231">
        <f>P679*0.4</f>
        <v>2940.7463838881704</v>
      </c>
      <c r="T679" s="236"/>
      <c r="U679" s="236"/>
    </row>
    <row r="680" spans="1:21" ht="57.6" x14ac:dyDescent="0.3">
      <c r="A680" s="117">
        <v>678</v>
      </c>
      <c r="B680" s="131">
        <v>2017</v>
      </c>
      <c r="C680" s="111">
        <v>16</v>
      </c>
      <c r="D680" s="111">
        <v>4</v>
      </c>
      <c r="E680" s="118" t="s">
        <v>1353</v>
      </c>
      <c r="F680" s="118" t="s">
        <v>201</v>
      </c>
      <c r="G680" s="119" t="s">
        <v>1193</v>
      </c>
      <c r="H680" s="117" t="s">
        <v>724</v>
      </c>
      <c r="I680" s="117"/>
      <c r="J680" s="117" t="s">
        <v>1194</v>
      </c>
      <c r="K680" s="117" t="s">
        <v>11</v>
      </c>
      <c r="L680" s="117" t="s">
        <v>1149</v>
      </c>
      <c r="M680" s="111"/>
      <c r="N680" s="122">
        <v>7052013</v>
      </c>
      <c r="O680" s="140">
        <v>12429</v>
      </c>
      <c r="P680" s="227">
        <f t="shared" si="15"/>
        <v>6354.8467913877994</v>
      </c>
      <c r="Q680" s="107">
        <v>310.73</v>
      </c>
      <c r="R680" s="107">
        <v>0</v>
      </c>
      <c r="S680" s="231">
        <f>P680*0.4</f>
        <v>2541.9387165551198</v>
      </c>
      <c r="T680" s="236"/>
      <c r="U680" s="236"/>
    </row>
    <row r="681" spans="1:21" ht="72" x14ac:dyDescent="0.3">
      <c r="A681" s="117">
        <v>679</v>
      </c>
      <c r="B681" s="131">
        <v>10001</v>
      </c>
      <c r="C681" s="111">
        <v>1</v>
      </c>
      <c r="D681" s="111">
        <v>1</v>
      </c>
      <c r="E681" s="118" t="s">
        <v>1163</v>
      </c>
      <c r="F681" s="118" t="s">
        <v>190</v>
      </c>
      <c r="G681" s="119" t="s">
        <v>95</v>
      </c>
      <c r="H681" s="117" t="s">
        <v>725</v>
      </c>
      <c r="I681" s="117"/>
      <c r="J681" s="117"/>
      <c r="K681" s="117" t="s">
        <v>1063</v>
      </c>
      <c r="L681" s="117" t="s">
        <v>1149</v>
      </c>
      <c r="M681" s="111"/>
      <c r="N681" s="122">
        <v>20052010</v>
      </c>
      <c r="O681" s="140">
        <v>2599.3000000000002</v>
      </c>
      <c r="P681" s="227">
        <f t="shared" si="15"/>
        <v>1329.0009867933309</v>
      </c>
      <c r="Q681" s="107">
        <v>64.98</v>
      </c>
      <c r="R681" s="107">
        <v>0</v>
      </c>
      <c r="S681" s="231">
        <v>205</v>
      </c>
      <c r="T681" s="236"/>
      <c r="U681" s="236"/>
    </row>
    <row r="682" spans="1:21" ht="72" x14ac:dyDescent="0.3">
      <c r="A682" s="117">
        <v>680</v>
      </c>
      <c r="B682" s="131">
        <v>10007</v>
      </c>
      <c r="C682" s="111">
        <v>1</v>
      </c>
      <c r="D682" s="111">
        <v>1</v>
      </c>
      <c r="E682" s="118" t="s">
        <v>1163</v>
      </c>
      <c r="F682" s="118" t="s">
        <v>190</v>
      </c>
      <c r="G682" s="119" t="s">
        <v>95</v>
      </c>
      <c r="H682" s="119" t="s">
        <v>726</v>
      </c>
      <c r="I682" s="117"/>
      <c r="J682" s="117"/>
      <c r="K682" s="117" t="s">
        <v>1066</v>
      </c>
      <c r="L682" s="117" t="s">
        <v>1149</v>
      </c>
      <c r="M682" s="111"/>
      <c r="N682" s="122">
        <v>12042011</v>
      </c>
      <c r="O682" s="140">
        <v>2444.79</v>
      </c>
      <c r="P682" s="227">
        <f t="shared" si="15"/>
        <v>1250.0012782297031</v>
      </c>
      <c r="Q682" s="107">
        <v>61.12</v>
      </c>
      <c r="R682" s="107">
        <v>0</v>
      </c>
      <c r="S682" s="231">
        <v>205</v>
      </c>
      <c r="T682" s="236"/>
      <c r="U682" s="236"/>
    </row>
    <row r="683" spans="1:21" ht="72" x14ac:dyDescent="0.3">
      <c r="A683" s="117">
        <v>681</v>
      </c>
      <c r="B683" s="131">
        <v>10008</v>
      </c>
      <c r="C683" s="111">
        <v>1</v>
      </c>
      <c r="D683" s="111">
        <v>1</v>
      </c>
      <c r="E683" s="118" t="s">
        <v>1163</v>
      </c>
      <c r="F683" s="118" t="s">
        <v>190</v>
      </c>
      <c r="G683" s="119" t="s">
        <v>95</v>
      </c>
      <c r="H683" s="119" t="s">
        <v>726</v>
      </c>
      <c r="I683" s="117"/>
      <c r="J683" s="117"/>
      <c r="K683" s="117" t="s">
        <v>1059</v>
      </c>
      <c r="L683" s="117" t="s">
        <v>1150</v>
      </c>
      <c r="M683" s="111"/>
      <c r="N683" s="122">
        <v>12042011</v>
      </c>
      <c r="O683" s="140">
        <v>2444.79</v>
      </c>
      <c r="P683" s="227">
        <f t="shared" si="15"/>
        <v>1250.0012782297031</v>
      </c>
      <c r="Q683" s="107">
        <v>61.12</v>
      </c>
      <c r="R683" s="107">
        <v>0</v>
      </c>
      <c r="S683" s="231"/>
      <c r="T683" s="236"/>
      <c r="U683" s="236"/>
    </row>
    <row r="684" spans="1:21" ht="72" x14ac:dyDescent="0.3">
      <c r="A684" s="117">
        <v>682</v>
      </c>
      <c r="B684" s="131">
        <v>10009</v>
      </c>
      <c r="C684" s="111">
        <v>1</v>
      </c>
      <c r="D684" s="111">
        <v>1</v>
      </c>
      <c r="E684" s="118" t="s">
        <v>1163</v>
      </c>
      <c r="F684" s="118" t="s">
        <v>190</v>
      </c>
      <c r="G684" s="119" t="s">
        <v>95</v>
      </c>
      <c r="H684" s="119" t="s">
        <v>726</v>
      </c>
      <c r="I684" s="117"/>
      <c r="J684" s="117"/>
      <c r="K684" s="117" t="s">
        <v>1066</v>
      </c>
      <c r="L684" s="117" t="s">
        <v>1149</v>
      </c>
      <c r="M684" s="111"/>
      <c r="N684" s="122">
        <v>12042011</v>
      </c>
      <c r="O684" s="140">
        <v>2444.79</v>
      </c>
      <c r="P684" s="227">
        <f t="shared" si="15"/>
        <v>1250.0012782297031</v>
      </c>
      <c r="Q684" s="107">
        <v>61.12</v>
      </c>
      <c r="R684" s="107">
        <v>0</v>
      </c>
      <c r="S684" s="231">
        <v>205</v>
      </c>
      <c r="T684" s="236"/>
      <c r="U684" s="236"/>
    </row>
    <row r="685" spans="1:21" ht="72" x14ac:dyDescent="0.3">
      <c r="A685" s="117">
        <v>683</v>
      </c>
      <c r="B685" s="131">
        <v>10010</v>
      </c>
      <c r="C685" s="111">
        <v>1</v>
      </c>
      <c r="D685" s="111">
        <v>1</v>
      </c>
      <c r="E685" s="118" t="s">
        <v>1163</v>
      </c>
      <c r="F685" s="118" t="s">
        <v>190</v>
      </c>
      <c r="G685" s="119" t="s">
        <v>95</v>
      </c>
      <c r="H685" s="119" t="s">
        <v>726</v>
      </c>
      <c r="I685" s="117"/>
      <c r="J685" s="117"/>
      <c r="K685" s="117" t="s">
        <v>1066</v>
      </c>
      <c r="L685" s="117" t="s">
        <v>1149</v>
      </c>
      <c r="M685" s="111"/>
      <c r="N685" s="122">
        <v>12042011</v>
      </c>
      <c r="O685" s="140">
        <v>2444.79</v>
      </c>
      <c r="P685" s="227">
        <f t="shared" si="15"/>
        <v>1250.0012782297031</v>
      </c>
      <c r="Q685" s="107">
        <v>61.12</v>
      </c>
      <c r="R685" s="107">
        <v>0</v>
      </c>
      <c r="S685" s="231">
        <v>205</v>
      </c>
      <c r="T685" s="236"/>
      <c r="U685" s="236"/>
    </row>
    <row r="686" spans="1:21" ht="72" x14ac:dyDescent="0.3">
      <c r="A686" s="117">
        <v>684</v>
      </c>
      <c r="B686" s="131">
        <v>10011</v>
      </c>
      <c r="C686" s="111">
        <v>1</v>
      </c>
      <c r="D686" s="111">
        <v>1</v>
      </c>
      <c r="E686" s="118" t="s">
        <v>1163</v>
      </c>
      <c r="F686" s="118" t="s">
        <v>190</v>
      </c>
      <c r="G686" s="119" t="s">
        <v>95</v>
      </c>
      <c r="H686" s="119" t="s">
        <v>726</v>
      </c>
      <c r="I686" s="117"/>
      <c r="J686" s="117"/>
      <c r="K686" s="117" t="s">
        <v>1059</v>
      </c>
      <c r="L686" s="117" t="s">
        <v>1150</v>
      </c>
      <c r="M686" s="111"/>
      <c r="N686" s="122">
        <v>12042011</v>
      </c>
      <c r="O686" s="140">
        <v>2444.79</v>
      </c>
      <c r="P686" s="227">
        <f t="shared" si="15"/>
        <v>1250.0012782297031</v>
      </c>
      <c r="Q686" s="107">
        <v>61.12</v>
      </c>
      <c r="R686" s="107">
        <v>0</v>
      </c>
      <c r="S686" s="231"/>
      <c r="T686" s="236"/>
      <c r="U686" s="236"/>
    </row>
    <row r="687" spans="1:21" ht="72" x14ac:dyDescent="0.3">
      <c r="A687" s="117">
        <v>685</v>
      </c>
      <c r="B687" s="131">
        <v>10012</v>
      </c>
      <c r="C687" s="111">
        <v>1</v>
      </c>
      <c r="D687" s="111">
        <v>1</v>
      </c>
      <c r="E687" s="118" t="s">
        <v>1163</v>
      </c>
      <c r="F687" s="118" t="s">
        <v>190</v>
      </c>
      <c r="G687" s="119" t="s">
        <v>95</v>
      </c>
      <c r="H687" s="119" t="s">
        <v>726</v>
      </c>
      <c r="I687" s="117"/>
      <c r="J687" s="117"/>
      <c r="K687" s="117" t="s">
        <v>1063</v>
      </c>
      <c r="L687" s="117" t="s">
        <v>1149</v>
      </c>
      <c r="M687" s="111"/>
      <c r="N687" s="122">
        <v>12042011</v>
      </c>
      <c r="O687" s="140">
        <v>2444.79</v>
      </c>
      <c r="P687" s="227">
        <f t="shared" si="15"/>
        <v>1250.0012782297031</v>
      </c>
      <c r="Q687" s="107">
        <v>61.12</v>
      </c>
      <c r="R687" s="107">
        <v>0</v>
      </c>
      <c r="S687" s="231">
        <v>205</v>
      </c>
      <c r="T687" s="236"/>
      <c r="U687" s="236"/>
    </row>
    <row r="688" spans="1:21" ht="72" x14ac:dyDescent="0.3">
      <c r="A688" s="117">
        <v>686</v>
      </c>
      <c r="B688" s="131">
        <v>10013</v>
      </c>
      <c r="C688" s="111">
        <v>1</v>
      </c>
      <c r="D688" s="111">
        <v>1</v>
      </c>
      <c r="E688" s="118" t="s">
        <v>1163</v>
      </c>
      <c r="F688" s="118" t="s">
        <v>190</v>
      </c>
      <c r="G688" s="119" t="s">
        <v>95</v>
      </c>
      <c r="H688" s="119" t="s">
        <v>726</v>
      </c>
      <c r="I688" s="117"/>
      <c r="J688" s="117"/>
      <c r="K688" s="117" t="s">
        <v>1063</v>
      </c>
      <c r="L688" s="117" t="s">
        <v>1149</v>
      </c>
      <c r="M688" s="111"/>
      <c r="N688" s="122">
        <v>12042011</v>
      </c>
      <c r="O688" s="140">
        <v>2444.79</v>
      </c>
      <c r="P688" s="227">
        <f t="shared" si="15"/>
        <v>1250.0012782297031</v>
      </c>
      <c r="Q688" s="107">
        <v>61.12</v>
      </c>
      <c r="R688" s="107">
        <v>0</v>
      </c>
      <c r="S688" s="231">
        <v>205</v>
      </c>
      <c r="T688" s="236"/>
      <c r="U688" s="236"/>
    </row>
    <row r="689" spans="1:21" ht="57.6" x14ac:dyDescent="0.3">
      <c r="A689" s="117">
        <v>687</v>
      </c>
      <c r="B689" s="131">
        <v>10014</v>
      </c>
      <c r="C689" s="111">
        <v>16</v>
      </c>
      <c r="D689" s="111">
        <v>4</v>
      </c>
      <c r="E689" s="118" t="s">
        <v>1353</v>
      </c>
      <c r="F689" s="118" t="s">
        <v>201</v>
      </c>
      <c r="G689" s="119" t="s">
        <v>1189</v>
      </c>
      <c r="H689" s="119" t="s">
        <v>727</v>
      </c>
      <c r="I689" s="117" t="s">
        <v>1171</v>
      </c>
      <c r="J689" s="117" t="s">
        <v>1176</v>
      </c>
      <c r="K689" s="117" t="s">
        <v>1059</v>
      </c>
      <c r="L689" s="117" t="s">
        <v>1150</v>
      </c>
      <c r="M689" s="111"/>
      <c r="N689" s="122">
        <v>31032011</v>
      </c>
      <c r="O689" s="140">
        <v>6027.12</v>
      </c>
      <c r="P689" s="227">
        <f t="shared" si="15"/>
        <v>3081.6175229953524</v>
      </c>
      <c r="Q689" s="107">
        <v>150.68</v>
      </c>
      <c r="R689" s="107">
        <v>0</v>
      </c>
      <c r="S689" s="231"/>
      <c r="T689" s="236"/>
      <c r="U689" s="236"/>
    </row>
    <row r="690" spans="1:21" ht="57.6" x14ac:dyDescent="0.3">
      <c r="A690" s="117">
        <v>688</v>
      </c>
      <c r="B690" s="131">
        <v>10015</v>
      </c>
      <c r="C690" s="111">
        <v>16</v>
      </c>
      <c r="D690" s="111">
        <v>4</v>
      </c>
      <c r="E690" s="118" t="s">
        <v>1353</v>
      </c>
      <c r="F690" s="118" t="s">
        <v>201</v>
      </c>
      <c r="G690" s="119" t="s">
        <v>1189</v>
      </c>
      <c r="H690" s="119" t="s">
        <v>727</v>
      </c>
      <c r="I690" s="117" t="s">
        <v>1171</v>
      </c>
      <c r="J690" s="117" t="s">
        <v>1176</v>
      </c>
      <c r="K690" s="117" t="s">
        <v>1063</v>
      </c>
      <c r="L690" s="117" t="s">
        <v>1149</v>
      </c>
      <c r="M690" s="111"/>
      <c r="N690" s="122">
        <v>31032011</v>
      </c>
      <c r="O690" s="140">
        <v>6027.13</v>
      </c>
      <c r="P690" s="227">
        <f t="shared" si="15"/>
        <v>3081.6226359141642</v>
      </c>
      <c r="Q690" s="107">
        <v>150.68</v>
      </c>
      <c r="R690" s="107">
        <v>0</v>
      </c>
      <c r="S690" s="231">
        <f>P690*0.4</f>
        <v>1232.6490543656657</v>
      </c>
      <c r="T690" s="236"/>
      <c r="U690" s="236"/>
    </row>
    <row r="691" spans="1:21" ht="57.6" x14ac:dyDescent="0.3">
      <c r="A691" s="117">
        <v>689</v>
      </c>
      <c r="B691" s="131">
        <v>10017</v>
      </c>
      <c r="C691" s="111">
        <v>18</v>
      </c>
      <c r="D691" s="111">
        <v>4</v>
      </c>
      <c r="E691" s="118" t="s">
        <v>1353</v>
      </c>
      <c r="F691" s="118" t="s">
        <v>1157</v>
      </c>
      <c r="G691" s="119" t="s">
        <v>1165</v>
      </c>
      <c r="H691" s="117" t="s">
        <v>728</v>
      </c>
      <c r="I691" s="117" t="s">
        <v>1168</v>
      </c>
      <c r="J691" s="117"/>
      <c r="K691" s="117" t="s">
        <v>1059</v>
      </c>
      <c r="L691" s="117" t="s">
        <v>1150</v>
      </c>
      <c r="M691" s="111"/>
      <c r="N691" s="122">
        <v>31032011</v>
      </c>
      <c r="O691" s="140">
        <v>3520.49</v>
      </c>
      <c r="P691" s="227">
        <f t="shared" si="15"/>
        <v>1799.9979548324752</v>
      </c>
      <c r="Q691" s="107">
        <v>88.01</v>
      </c>
      <c r="R691" s="107">
        <v>0</v>
      </c>
      <c r="S691" s="231"/>
      <c r="T691" s="236"/>
      <c r="U691" s="236"/>
    </row>
    <row r="692" spans="1:21" ht="72" x14ac:dyDescent="0.3">
      <c r="A692" s="117">
        <v>690</v>
      </c>
      <c r="B692" s="131">
        <v>10018</v>
      </c>
      <c r="C692" s="111">
        <v>1</v>
      </c>
      <c r="D692" s="111">
        <v>1</v>
      </c>
      <c r="E692" s="118" t="s">
        <v>1163</v>
      </c>
      <c r="F692" s="118" t="s">
        <v>190</v>
      </c>
      <c r="G692" s="119" t="s">
        <v>15</v>
      </c>
      <c r="H692" s="119" t="s">
        <v>709</v>
      </c>
      <c r="I692" s="117"/>
      <c r="J692" s="117" t="s">
        <v>1048</v>
      </c>
      <c r="K692" s="117" t="s">
        <v>1063</v>
      </c>
      <c r="L692" s="117" t="s">
        <v>1149</v>
      </c>
      <c r="M692" s="111"/>
      <c r="N692" s="122">
        <v>31032011</v>
      </c>
      <c r="O692" s="140">
        <v>6443.5</v>
      </c>
      <c r="P692" s="227">
        <f t="shared" si="15"/>
        <v>3294.5092364878337</v>
      </c>
      <c r="Q692" s="107">
        <v>161.09</v>
      </c>
      <c r="R692" s="107">
        <v>0</v>
      </c>
      <c r="S692" s="231">
        <f>P692*0.4</f>
        <v>1317.8036945951335</v>
      </c>
      <c r="T692" s="236"/>
      <c r="U692" s="236"/>
    </row>
    <row r="693" spans="1:21" ht="72" x14ac:dyDescent="0.3">
      <c r="A693" s="117">
        <v>691</v>
      </c>
      <c r="B693" s="131">
        <v>10019</v>
      </c>
      <c r="C693" s="111">
        <v>1</v>
      </c>
      <c r="D693" s="111">
        <v>1</v>
      </c>
      <c r="E693" s="118" t="s">
        <v>1163</v>
      </c>
      <c r="F693" s="118" t="s">
        <v>190</v>
      </c>
      <c r="G693" s="119" t="s">
        <v>96</v>
      </c>
      <c r="H693" s="119" t="s">
        <v>709</v>
      </c>
      <c r="I693" s="117"/>
      <c r="J693" s="117" t="s">
        <v>1106</v>
      </c>
      <c r="K693" s="117" t="s">
        <v>1059</v>
      </c>
      <c r="L693" s="117" t="s">
        <v>1149</v>
      </c>
      <c r="M693" s="111"/>
      <c r="N693" s="122">
        <v>31032011</v>
      </c>
      <c r="O693" s="140">
        <v>7109.44</v>
      </c>
      <c r="P693" s="227">
        <f t="shared" si="15"/>
        <v>3634.9989518516436</v>
      </c>
      <c r="Q693" s="107">
        <v>177.74</v>
      </c>
      <c r="R693" s="107">
        <v>0</v>
      </c>
      <c r="S693" s="231">
        <f>P693*0.4</f>
        <v>1453.9995807406576</v>
      </c>
      <c r="T693" s="236"/>
      <c r="U693" s="236"/>
    </row>
    <row r="694" spans="1:21" ht="72" x14ac:dyDescent="0.3">
      <c r="A694" s="117">
        <v>692</v>
      </c>
      <c r="B694" s="131">
        <v>10020</v>
      </c>
      <c r="C694" s="111">
        <v>8</v>
      </c>
      <c r="D694" s="111">
        <v>2</v>
      </c>
      <c r="E694" s="118" t="s">
        <v>1151</v>
      </c>
      <c r="F694" s="118" t="s">
        <v>194</v>
      </c>
      <c r="G694" s="119" t="s">
        <v>97</v>
      </c>
      <c r="H694" s="119" t="s">
        <v>729</v>
      </c>
      <c r="I694" s="117" t="s">
        <v>1087</v>
      </c>
      <c r="J694" s="117" t="s">
        <v>1233</v>
      </c>
      <c r="K694" s="117" t="s">
        <v>1059</v>
      </c>
      <c r="L694" s="117" t="s">
        <v>1150</v>
      </c>
      <c r="M694" s="111"/>
      <c r="N694" s="122">
        <v>20012011</v>
      </c>
      <c r="O694" s="141">
        <v>12830</v>
      </c>
      <c r="P694" s="228">
        <f t="shared" si="15"/>
        <v>6559.8748357474833</v>
      </c>
      <c r="Q694" s="107">
        <v>0</v>
      </c>
      <c r="R694" s="107">
        <v>0</v>
      </c>
      <c r="S694" s="231"/>
      <c r="T694" s="236"/>
      <c r="U694" s="236"/>
    </row>
    <row r="695" spans="1:21" ht="72" x14ac:dyDescent="0.3">
      <c r="A695" s="117">
        <v>693</v>
      </c>
      <c r="B695" s="131">
        <v>10021</v>
      </c>
      <c r="C695" s="111">
        <v>8</v>
      </c>
      <c r="D695" s="111">
        <v>2</v>
      </c>
      <c r="E695" s="118" t="s">
        <v>1151</v>
      </c>
      <c r="F695" s="118" t="s">
        <v>194</v>
      </c>
      <c r="G695" s="119" t="s">
        <v>589</v>
      </c>
      <c r="H695" s="119" t="s">
        <v>730</v>
      </c>
      <c r="I695" s="117" t="s">
        <v>1087</v>
      </c>
      <c r="J695" s="117" t="s">
        <v>1233</v>
      </c>
      <c r="K695" s="117" t="s">
        <v>1059</v>
      </c>
      <c r="L695" s="117" t="s">
        <v>1150</v>
      </c>
      <c r="M695" s="111"/>
      <c r="N695" s="122">
        <v>20012011</v>
      </c>
      <c r="O695" s="141">
        <v>11735</v>
      </c>
      <c r="P695" s="228">
        <f t="shared" si="15"/>
        <v>6000.0102258376237</v>
      </c>
      <c r="Q695" s="107">
        <v>0</v>
      </c>
      <c r="R695" s="107">
        <v>0</v>
      </c>
      <c r="S695" s="231"/>
      <c r="T695" s="236"/>
      <c r="U695" s="236"/>
    </row>
    <row r="696" spans="1:21" ht="57.6" x14ac:dyDescent="0.3">
      <c r="A696" s="117">
        <v>694</v>
      </c>
      <c r="B696" s="131">
        <v>10022</v>
      </c>
      <c r="C696" s="111">
        <v>16</v>
      </c>
      <c r="D696" s="111">
        <v>4</v>
      </c>
      <c r="E696" s="118" t="s">
        <v>1353</v>
      </c>
      <c r="F696" s="118" t="s">
        <v>201</v>
      </c>
      <c r="G696" s="119" t="s">
        <v>1204</v>
      </c>
      <c r="H696" s="119" t="s">
        <v>731</v>
      </c>
      <c r="I696" s="117" t="s">
        <v>1135</v>
      </c>
      <c r="J696" s="117"/>
      <c r="K696" s="117" t="s">
        <v>1061</v>
      </c>
      <c r="L696" s="117" t="s">
        <v>1150</v>
      </c>
      <c r="M696" s="111"/>
      <c r="N696" s="122">
        <v>20012011</v>
      </c>
      <c r="O696" s="141">
        <v>10159</v>
      </c>
      <c r="P696" s="228">
        <f t="shared" si="15"/>
        <v>5194.2142210723841</v>
      </c>
      <c r="Q696" s="107">
        <v>0</v>
      </c>
      <c r="R696" s="107">
        <v>0</v>
      </c>
      <c r="S696" s="231"/>
      <c r="T696" s="236"/>
      <c r="U696" s="236"/>
    </row>
    <row r="697" spans="1:21" ht="57.6" x14ac:dyDescent="0.3">
      <c r="A697" s="117">
        <v>695</v>
      </c>
      <c r="B697" s="131">
        <v>10023</v>
      </c>
      <c r="C697" s="111">
        <v>16</v>
      </c>
      <c r="D697" s="111">
        <v>4</v>
      </c>
      <c r="E697" s="118" t="s">
        <v>1353</v>
      </c>
      <c r="F697" s="118" t="s">
        <v>201</v>
      </c>
      <c r="G697" s="119" t="s">
        <v>1198</v>
      </c>
      <c r="H697" s="117" t="s">
        <v>732</v>
      </c>
      <c r="I697" s="117" t="s">
        <v>1103</v>
      </c>
      <c r="J697" s="117" t="s">
        <v>1136</v>
      </c>
      <c r="K697" s="117" t="s">
        <v>1067</v>
      </c>
      <c r="L697" s="117" t="s">
        <v>1150</v>
      </c>
      <c r="M697" s="111"/>
      <c r="N697" s="122">
        <v>20012011</v>
      </c>
      <c r="O697" s="141">
        <v>22903</v>
      </c>
      <c r="P697" s="228">
        <f t="shared" si="15"/>
        <v>11710.117955036992</v>
      </c>
      <c r="Q697" s="107">
        <v>0</v>
      </c>
      <c r="R697" s="107">
        <v>0</v>
      </c>
      <c r="S697" s="231"/>
      <c r="T697" s="236"/>
      <c r="U697" s="236"/>
    </row>
    <row r="698" spans="1:21" ht="72" x14ac:dyDescent="0.3">
      <c r="A698" s="117">
        <v>696</v>
      </c>
      <c r="B698" s="131">
        <v>10024</v>
      </c>
      <c r="C698" s="111">
        <v>10</v>
      </c>
      <c r="D698" s="111">
        <v>2</v>
      </c>
      <c r="E698" s="118" t="s">
        <v>1151</v>
      </c>
      <c r="F698" s="118" t="s">
        <v>43</v>
      </c>
      <c r="G698" s="119" t="s">
        <v>92</v>
      </c>
      <c r="H698" s="119" t="s">
        <v>707</v>
      </c>
      <c r="I698" s="117" t="s">
        <v>1064</v>
      </c>
      <c r="J698" s="117" t="s">
        <v>1085</v>
      </c>
      <c r="K698" s="117" t="s">
        <v>1061</v>
      </c>
      <c r="L698" s="117" t="s">
        <v>1150</v>
      </c>
      <c r="M698" s="111"/>
      <c r="N698" s="122">
        <v>20012011</v>
      </c>
      <c r="O698" s="141">
        <v>33249</v>
      </c>
      <c r="P698" s="228">
        <f t="shared" si="15"/>
        <v>16999.94375789307</v>
      </c>
      <c r="Q698" s="107">
        <v>0</v>
      </c>
      <c r="R698" s="107">
        <v>0</v>
      </c>
      <c r="S698" s="231"/>
      <c r="T698" s="236"/>
      <c r="U698" s="236"/>
    </row>
    <row r="699" spans="1:21" ht="72" x14ac:dyDescent="0.3">
      <c r="A699" s="117">
        <v>697</v>
      </c>
      <c r="B699" s="131">
        <v>10025</v>
      </c>
      <c r="C699" s="111">
        <v>2</v>
      </c>
      <c r="D699" s="111">
        <v>1</v>
      </c>
      <c r="E699" s="118" t="s">
        <v>1163</v>
      </c>
      <c r="F699" s="118" t="s">
        <v>191</v>
      </c>
      <c r="G699" s="119" t="s">
        <v>98</v>
      </c>
      <c r="H699" s="119" t="s">
        <v>733</v>
      </c>
      <c r="I699" s="117" t="s">
        <v>1102</v>
      </c>
      <c r="J699" s="117" t="s">
        <v>1212</v>
      </c>
      <c r="K699" s="117" t="s">
        <v>1061</v>
      </c>
      <c r="L699" s="117" t="s">
        <v>1150</v>
      </c>
      <c r="M699" s="111"/>
      <c r="N699" s="122">
        <v>31032011</v>
      </c>
      <c r="O699" s="140">
        <v>3129.33</v>
      </c>
      <c r="P699" s="227">
        <f t="shared" si="15"/>
        <v>1600.0010225837623</v>
      </c>
      <c r="Q699" s="107">
        <v>78.23</v>
      </c>
      <c r="R699" s="107">
        <v>0</v>
      </c>
      <c r="S699" s="231"/>
      <c r="T699" s="236"/>
      <c r="U699" s="236"/>
    </row>
    <row r="700" spans="1:21" ht="72" x14ac:dyDescent="0.3">
      <c r="A700" s="117">
        <v>698</v>
      </c>
      <c r="B700" s="131">
        <v>10026</v>
      </c>
      <c r="C700" s="111">
        <v>1</v>
      </c>
      <c r="D700" s="111">
        <v>1</v>
      </c>
      <c r="E700" s="118" t="s">
        <v>1163</v>
      </c>
      <c r="F700" s="118" t="s">
        <v>190</v>
      </c>
      <c r="G700" s="119" t="s">
        <v>63</v>
      </c>
      <c r="H700" s="119" t="s">
        <v>734</v>
      </c>
      <c r="I700" s="117" t="s">
        <v>1209</v>
      </c>
      <c r="J700" s="117" t="s">
        <v>1049</v>
      </c>
      <c r="K700" s="117" t="s">
        <v>1067</v>
      </c>
      <c r="L700" s="117" t="s">
        <v>1150</v>
      </c>
      <c r="M700" s="111"/>
      <c r="N700" s="122">
        <v>26042010</v>
      </c>
      <c r="O700" s="140">
        <v>8977.26</v>
      </c>
      <c r="P700" s="227">
        <f t="shared" si="15"/>
        <v>4590.0001533875648</v>
      </c>
      <c r="Q700" s="107">
        <v>0</v>
      </c>
      <c r="R700" s="107">
        <v>0</v>
      </c>
      <c r="S700" s="231"/>
      <c r="T700" s="236"/>
      <c r="U700" s="236"/>
    </row>
    <row r="701" spans="1:21" ht="72" x14ac:dyDescent="0.3">
      <c r="A701" s="117">
        <v>699</v>
      </c>
      <c r="B701" s="131">
        <v>10027</v>
      </c>
      <c r="C701" s="111">
        <v>1</v>
      </c>
      <c r="D701" s="111">
        <v>1</v>
      </c>
      <c r="E701" s="118" t="s">
        <v>1163</v>
      </c>
      <c r="F701" s="118" t="s">
        <v>190</v>
      </c>
      <c r="G701" s="119" t="s">
        <v>63</v>
      </c>
      <c r="H701" s="119" t="s">
        <v>734</v>
      </c>
      <c r="I701" s="117" t="s">
        <v>1209</v>
      </c>
      <c r="J701" s="117" t="s">
        <v>1049</v>
      </c>
      <c r="K701" s="117" t="s">
        <v>1061</v>
      </c>
      <c r="L701" s="117" t="s">
        <v>1150</v>
      </c>
      <c r="M701" s="111"/>
      <c r="N701" s="122">
        <v>26042010</v>
      </c>
      <c r="O701" s="140">
        <v>8977.26</v>
      </c>
      <c r="P701" s="227">
        <f t="shared" si="15"/>
        <v>4590.0001533875648</v>
      </c>
      <c r="Q701" s="107">
        <v>0</v>
      </c>
      <c r="R701" s="107">
        <v>0</v>
      </c>
      <c r="S701" s="231"/>
      <c r="T701" s="236"/>
      <c r="U701" s="236"/>
    </row>
    <row r="702" spans="1:21" ht="72" x14ac:dyDescent="0.3">
      <c r="A702" s="117">
        <v>700</v>
      </c>
      <c r="B702" s="131">
        <v>10031</v>
      </c>
      <c r="C702" s="111">
        <v>23</v>
      </c>
      <c r="D702" s="111">
        <v>1</v>
      </c>
      <c r="E702" s="118" t="s">
        <v>1163</v>
      </c>
      <c r="F702" s="118" t="s">
        <v>114</v>
      </c>
      <c r="G702" s="119" t="s">
        <v>99</v>
      </c>
      <c r="H702" s="119" t="s">
        <v>735</v>
      </c>
      <c r="I702" s="117"/>
      <c r="J702" s="117"/>
      <c r="K702" s="117" t="s">
        <v>1055</v>
      </c>
      <c r="L702" s="117" t="s">
        <v>1148</v>
      </c>
      <c r="M702" s="111"/>
      <c r="N702" s="122">
        <v>31032011</v>
      </c>
      <c r="O702" s="140">
        <v>17172.189999999999</v>
      </c>
      <c r="P702" s="227">
        <f t="shared" si="15"/>
        <v>8780.0013293588909</v>
      </c>
      <c r="Q702" s="107">
        <v>429.3</v>
      </c>
      <c r="R702" s="107">
        <v>0</v>
      </c>
      <c r="S702" s="231"/>
      <c r="T702" s="236"/>
      <c r="U702" s="236"/>
    </row>
    <row r="703" spans="1:21" ht="57.6" x14ac:dyDescent="0.3">
      <c r="A703" s="117">
        <v>701</v>
      </c>
      <c r="B703" s="131">
        <v>10032</v>
      </c>
      <c r="C703" s="111">
        <v>16</v>
      </c>
      <c r="D703" s="111">
        <v>4</v>
      </c>
      <c r="E703" s="118" t="s">
        <v>1353</v>
      </c>
      <c r="F703" s="118" t="s">
        <v>201</v>
      </c>
      <c r="G703" s="119" t="s">
        <v>371</v>
      </c>
      <c r="H703" s="119" t="s">
        <v>736</v>
      </c>
      <c r="I703" s="117" t="s">
        <v>1060</v>
      </c>
      <c r="J703" s="117" t="s">
        <v>1196</v>
      </c>
      <c r="K703" s="117" t="s">
        <v>1052</v>
      </c>
      <c r="L703" s="117" t="s">
        <v>1150</v>
      </c>
      <c r="M703" s="111"/>
      <c r="N703" s="122">
        <v>26042010</v>
      </c>
      <c r="O703" s="141">
        <v>5705</v>
      </c>
      <c r="P703" s="228">
        <f t="shared" si="15"/>
        <v>2916.9201822244263</v>
      </c>
      <c r="Q703" s="107">
        <v>0</v>
      </c>
      <c r="R703" s="107">
        <v>0</v>
      </c>
      <c r="S703" s="231"/>
      <c r="T703" s="236"/>
      <c r="U703" s="236"/>
    </row>
    <row r="704" spans="1:21" ht="57.6" x14ac:dyDescent="0.3">
      <c r="A704" s="117">
        <v>702</v>
      </c>
      <c r="B704" s="131">
        <v>10033</v>
      </c>
      <c r="C704" s="111">
        <v>16</v>
      </c>
      <c r="D704" s="111">
        <v>4</v>
      </c>
      <c r="E704" s="118" t="s">
        <v>1353</v>
      </c>
      <c r="F704" s="118" t="s">
        <v>201</v>
      </c>
      <c r="G704" s="119" t="s">
        <v>370</v>
      </c>
      <c r="H704" s="119" t="s">
        <v>737</v>
      </c>
      <c r="I704" s="117" t="s">
        <v>1060</v>
      </c>
      <c r="J704" s="117" t="s">
        <v>1196</v>
      </c>
      <c r="K704" s="117" t="s">
        <v>1052</v>
      </c>
      <c r="L704" s="117" t="s">
        <v>1150</v>
      </c>
      <c r="M704" s="111"/>
      <c r="N704" s="122">
        <v>26042010</v>
      </c>
      <c r="O704" s="141">
        <v>5705</v>
      </c>
      <c r="P704" s="228">
        <f t="shared" si="15"/>
        <v>2916.9201822244263</v>
      </c>
      <c r="Q704" s="107">
        <v>0</v>
      </c>
      <c r="R704" s="107">
        <v>0</v>
      </c>
      <c r="S704" s="231"/>
      <c r="T704" s="236"/>
      <c r="U704" s="236"/>
    </row>
    <row r="705" spans="1:21" ht="57.6" x14ac:dyDescent="0.3">
      <c r="A705" s="117">
        <v>703</v>
      </c>
      <c r="B705" s="131">
        <v>10034</v>
      </c>
      <c r="C705" s="111">
        <v>16</v>
      </c>
      <c r="D705" s="111">
        <v>4</v>
      </c>
      <c r="E705" s="118" t="s">
        <v>1353</v>
      </c>
      <c r="F705" s="118" t="s">
        <v>201</v>
      </c>
      <c r="G705" s="119" t="s">
        <v>375</v>
      </c>
      <c r="H705" s="119" t="s">
        <v>1359</v>
      </c>
      <c r="I705" s="117" t="s">
        <v>1195</v>
      </c>
      <c r="J705" s="117"/>
      <c r="K705" s="117" t="s">
        <v>1059</v>
      </c>
      <c r="L705" s="117" t="s">
        <v>1150</v>
      </c>
      <c r="M705" s="111"/>
      <c r="N705" s="122">
        <v>26042010</v>
      </c>
      <c r="O705" s="141">
        <v>5705</v>
      </c>
      <c r="P705" s="228">
        <f t="shared" si="15"/>
        <v>2916.9201822244263</v>
      </c>
      <c r="Q705" s="107">
        <v>0</v>
      </c>
      <c r="R705" s="107">
        <v>0</v>
      </c>
      <c r="S705" s="231"/>
      <c r="T705" s="236"/>
      <c r="U705" s="236"/>
    </row>
    <row r="706" spans="1:21" ht="57.6" x14ac:dyDescent="0.3">
      <c r="A706" s="117">
        <v>704</v>
      </c>
      <c r="B706" s="131">
        <v>10040</v>
      </c>
      <c r="C706" s="111">
        <v>16</v>
      </c>
      <c r="D706" s="111">
        <v>4</v>
      </c>
      <c r="E706" s="118" t="s">
        <v>1353</v>
      </c>
      <c r="F706" s="118" t="s">
        <v>201</v>
      </c>
      <c r="G706" s="119" t="s">
        <v>100</v>
      </c>
      <c r="H706" s="119" t="s">
        <v>738</v>
      </c>
      <c r="I706" s="117" t="s">
        <v>1060</v>
      </c>
      <c r="J706" s="117" t="s">
        <v>1176</v>
      </c>
      <c r="K706" s="117" t="s">
        <v>1063</v>
      </c>
      <c r="L706" s="117" t="s">
        <v>1149</v>
      </c>
      <c r="M706" s="111"/>
      <c r="N706" s="122">
        <v>31032011</v>
      </c>
      <c r="O706" s="140">
        <v>3892.1</v>
      </c>
      <c r="P706" s="227">
        <f t="shared" si="15"/>
        <v>1989.999130803802</v>
      </c>
      <c r="Q706" s="107">
        <v>97.3</v>
      </c>
      <c r="R706" s="107">
        <v>0</v>
      </c>
      <c r="S706" s="231">
        <f t="shared" ref="S706:S713" si="16">P706*0.4</f>
        <v>795.9996523215209</v>
      </c>
      <c r="T706" s="236"/>
      <c r="U706" s="236"/>
    </row>
    <row r="707" spans="1:21" ht="57.6" x14ac:dyDescent="0.3">
      <c r="A707" s="117">
        <v>705</v>
      </c>
      <c r="B707" s="131">
        <v>10041</v>
      </c>
      <c r="C707" s="111">
        <v>16</v>
      </c>
      <c r="D707" s="111">
        <v>4</v>
      </c>
      <c r="E707" s="118" t="s">
        <v>1353</v>
      </c>
      <c r="F707" s="118" t="s">
        <v>201</v>
      </c>
      <c r="G707" s="119" t="s">
        <v>100</v>
      </c>
      <c r="H707" s="119" t="s">
        <v>738</v>
      </c>
      <c r="I707" s="117" t="s">
        <v>1060</v>
      </c>
      <c r="J707" s="117" t="s">
        <v>1176</v>
      </c>
      <c r="K707" s="117" t="s">
        <v>1066</v>
      </c>
      <c r="L707" s="117" t="s">
        <v>1149</v>
      </c>
      <c r="M707" s="111"/>
      <c r="N707" s="122">
        <v>31032011</v>
      </c>
      <c r="O707" s="140">
        <v>3892.1</v>
      </c>
      <c r="P707" s="227">
        <f t="shared" si="15"/>
        <v>1989.999130803802</v>
      </c>
      <c r="Q707" s="107">
        <v>97.3</v>
      </c>
      <c r="R707" s="107">
        <v>0</v>
      </c>
      <c r="S707" s="231">
        <f t="shared" si="16"/>
        <v>795.9996523215209</v>
      </c>
      <c r="T707" s="236"/>
      <c r="U707" s="236"/>
    </row>
    <row r="708" spans="1:21" ht="72" x14ac:dyDescent="0.3">
      <c r="A708" s="117">
        <v>706</v>
      </c>
      <c r="B708" s="131">
        <v>10042</v>
      </c>
      <c r="C708" s="111">
        <v>1</v>
      </c>
      <c r="D708" s="111">
        <v>1</v>
      </c>
      <c r="E708" s="118" t="s">
        <v>1163</v>
      </c>
      <c r="F708" s="118" t="s">
        <v>190</v>
      </c>
      <c r="G708" s="119" t="s">
        <v>15</v>
      </c>
      <c r="H708" s="130" t="s">
        <v>15</v>
      </c>
      <c r="I708" s="117" t="s">
        <v>6</v>
      </c>
      <c r="J708" s="117" t="s">
        <v>1137</v>
      </c>
      <c r="K708" s="117" t="s">
        <v>1066</v>
      </c>
      <c r="L708" s="117" t="s">
        <v>1149</v>
      </c>
      <c r="M708" s="111"/>
      <c r="N708" s="122">
        <v>31032011</v>
      </c>
      <c r="O708" s="140">
        <v>5182.95</v>
      </c>
      <c r="P708" s="227">
        <f t="shared" ref="P708:P771" si="17">O708/$P$1</f>
        <v>2650.0002556459403</v>
      </c>
      <c r="Q708" s="107">
        <v>129.57</v>
      </c>
      <c r="R708" s="107">
        <v>0</v>
      </c>
      <c r="S708" s="231">
        <f t="shared" si="16"/>
        <v>1060.0001022583763</v>
      </c>
      <c r="T708" s="236"/>
      <c r="U708" s="236"/>
    </row>
    <row r="709" spans="1:21" ht="72" x14ac:dyDescent="0.3">
      <c r="A709" s="117">
        <v>707</v>
      </c>
      <c r="B709" s="131">
        <v>10043</v>
      </c>
      <c r="C709" s="111">
        <v>8</v>
      </c>
      <c r="D709" s="111">
        <v>2</v>
      </c>
      <c r="E709" s="118" t="s">
        <v>1151</v>
      </c>
      <c r="F709" s="118" t="s">
        <v>194</v>
      </c>
      <c r="G709" s="119" t="s">
        <v>24</v>
      </c>
      <c r="H709" s="130" t="s">
        <v>24</v>
      </c>
      <c r="I709" s="117" t="s">
        <v>1087</v>
      </c>
      <c r="J709" s="117" t="s">
        <v>1229</v>
      </c>
      <c r="K709" s="117" t="s">
        <v>1066</v>
      </c>
      <c r="L709" s="117" t="s">
        <v>1149</v>
      </c>
      <c r="M709" s="111"/>
      <c r="N709" s="122">
        <v>31032011</v>
      </c>
      <c r="O709" s="140">
        <v>7138.78</v>
      </c>
      <c r="P709" s="227">
        <f t="shared" si="17"/>
        <v>3650.0002556459403</v>
      </c>
      <c r="Q709" s="107">
        <v>178.47</v>
      </c>
      <c r="R709" s="107">
        <v>0</v>
      </c>
      <c r="S709" s="231">
        <f t="shared" si="16"/>
        <v>1460.0001022583763</v>
      </c>
      <c r="T709" s="236"/>
      <c r="U709" s="236"/>
    </row>
    <row r="710" spans="1:21" ht="72" x14ac:dyDescent="0.3">
      <c r="A710" s="117">
        <v>708</v>
      </c>
      <c r="B710" s="131">
        <v>10044</v>
      </c>
      <c r="C710" s="111">
        <v>1</v>
      </c>
      <c r="D710" s="111">
        <v>1</v>
      </c>
      <c r="E710" s="118" t="s">
        <v>1163</v>
      </c>
      <c r="F710" s="118" t="s">
        <v>190</v>
      </c>
      <c r="G710" s="119" t="s">
        <v>63</v>
      </c>
      <c r="H710" s="119" t="s">
        <v>739</v>
      </c>
      <c r="I710" s="117" t="s">
        <v>6</v>
      </c>
      <c r="J710" s="117" t="s">
        <v>1138</v>
      </c>
      <c r="K710" s="117" t="s">
        <v>1063</v>
      </c>
      <c r="L710" s="117" t="s">
        <v>1149</v>
      </c>
      <c r="M710" s="111"/>
      <c r="N710" s="122">
        <v>31032011</v>
      </c>
      <c r="O710" s="140">
        <v>5182.95</v>
      </c>
      <c r="P710" s="227">
        <f t="shared" si="17"/>
        <v>2650.0002556459403</v>
      </c>
      <c r="Q710" s="107">
        <v>129.57</v>
      </c>
      <c r="R710" s="107">
        <v>0</v>
      </c>
      <c r="S710" s="231">
        <f t="shared" si="16"/>
        <v>1060.0001022583763</v>
      </c>
      <c r="T710" s="236"/>
      <c r="U710" s="236"/>
    </row>
    <row r="711" spans="1:21" ht="72" x14ac:dyDescent="0.3">
      <c r="A711" s="117">
        <v>709</v>
      </c>
      <c r="B711" s="131">
        <v>10045</v>
      </c>
      <c r="C711" s="111">
        <v>1</v>
      </c>
      <c r="D711" s="111">
        <v>1</v>
      </c>
      <c r="E711" s="118" t="s">
        <v>1163</v>
      </c>
      <c r="F711" s="118" t="s">
        <v>190</v>
      </c>
      <c r="G711" s="119" t="s">
        <v>15</v>
      </c>
      <c r="H711" s="119" t="s">
        <v>740</v>
      </c>
      <c r="I711" s="117"/>
      <c r="J711" s="117" t="s">
        <v>1048</v>
      </c>
      <c r="K711" s="117" t="s">
        <v>1063</v>
      </c>
      <c r="L711" s="117" t="s">
        <v>1149</v>
      </c>
      <c r="M711" s="111"/>
      <c r="N711" s="122">
        <v>31032011</v>
      </c>
      <c r="O711" s="140">
        <v>11030.88</v>
      </c>
      <c r="P711" s="233">
        <f t="shared" si="17"/>
        <v>5639.9993864497419</v>
      </c>
      <c r="Q711" s="107">
        <v>275.77</v>
      </c>
      <c r="R711" s="107">
        <v>0</v>
      </c>
      <c r="S711" s="235">
        <v>1748</v>
      </c>
      <c r="T711" s="236"/>
      <c r="U711" s="236"/>
    </row>
    <row r="712" spans="1:21" ht="72" x14ac:dyDescent="0.3">
      <c r="A712" s="117">
        <v>710</v>
      </c>
      <c r="B712" s="131">
        <v>10046</v>
      </c>
      <c r="C712" s="111">
        <v>8</v>
      </c>
      <c r="D712" s="111">
        <v>2</v>
      </c>
      <c r="E712" s="118" t="s">
        <v>1151</v>
      </c>
      <c r="F712" s="118" t="s">
        <v>194</v>
      </c>
      <c r="G712" s="119" t="s">
        <v>97</v>
      </c>
      <c r="H712" s="119" t="s">
        <v>741</v>
      </c>
      <c r="I712" s="117" t="s">
        <v>1087</v>
      </c>
      <c r="J712" s="117" t="s">
        <v>1233</v>
      </c>
      <c r="K712" s="117" t="s">
        <v>1063</v>
      </c>
      <c r="L712" s="117" t="s">
        <v>1149</v>
      </c>
      <c r="M712" s="111"/>
      <c r="N712" s="122">
        <v>26042010</v>
      </c>
      <c r="O712" s="141">
        <v>12830</v>
      </c>
      <c r="P712" s="228">
        <f t="shared" si="17"/>
        <v>6559.8748357474833</v>
      </c>
      <c r="Q712" s="107">
        <v>0</v>
      </c>
      <c r="R712" s="107">
        <v>0</v>
      </c>
      <c r="S712" s="231">
        <f t="shared" si="16"/>
        <v>2623.9499342989934</v>
      </c>
      <c r="T712" s="236"/>
      <c r="U712" s="236"/>
    </row>
    <row r="713" spans="1:21" ht="72" x14ac:dyDescent="0.3">
      <c r="A713" s="117">
        <v>711</v>
      </c>
      <c r="B713" s="131">
        <v>10047</v>
      </c>
      <c r="C713" s="111">
        <v>8</v>
      </c>
      <c r="D713" s="111">
        <v>2</v>
      </c>
      <c r="E713" s="118" t="s">
        <v>1151</v>
      </c>
      <c r="F713" s="118" t="s">
        <v>194</v>
      </c>
      <c r="G713" s="119" t="s">
        <v>97</v>
      </c>
      <c r="H713" s="119" t="s">
        <v>741</v>
      </c>
      <c r="I713" s="117" t="s">
        <v>1087</v>
      </c>
      <c r="J713" s="117" t="s">
        <v>1233</v>
      </c>
      <c r="K713" s="117" t="s">
        <v>1063</v>
      </c>
      <c r="L713" s="117" t="s">
        <v>1149</v>
      </c>
      <c r="M713" s="111"/>
      <c r="N713" s="122">
        <v>31032011</v>
      </c>
      <c r="O713" s="140">
        <v>12830.24</v>
      </c>
      <c r="P713" s="227">
        <f t="shared" si="17"/>
        <v>6559.9975457989704</v>
      </c>
      <c r="Q713" s="107">
        <v>320.76</v>
      </c>
      <c r="R713" s="107">
        <v>0</v>
      </c>
      <c r="S713" s="231">
        <f t="shared" si="16"/>
        <v>2623.9990183195882</v>
      </c>
      <c r="T713" s="236"/>
      <c r="U713" s="236"/>
    </row>
    <row r="714" spans="1:21" ht="72" x14ac:dyDescent="0.3">
      <c r="A714" s="117">
        <v>712</v>
      </c>
      <c r="B714" s="131">
        <v>10048</v>
      </c>
      <c r="C714" s="111">
        <v>1</v>
      </c>
      <c r="D714" s="111">
        <v>1</v>
      </c>
      <c r="E714" s="118" t="s">
        <v>1163</v>
      </c>
      <c r="F714" s="118" t="s">
        <v>190</v>
      </c>
      <c r="G714" s="119" t="s">
        <v>15</v>
      </c>
      <c r="H714" s="119" t="s">
        <v>742</v>
      </c>
      <c r="I714" s="117"/>
      <c r="J714" s="117" t="s">
        <v>1048</v>
      </c>
      <c r="K714" s="117" t="s">
        <v>1063</v>
      </c>
      <c r="L714" s="117" t="s">
        <v>1149</v>
      </c>
      <c r="M714" s="111"/>
      <c r="N714" s="122">
        <v>31032011</v>
      </c>
      <c r="O714" s="140">
        <v>6063.07</v>
      </c>
      <c r="P714" s="233">
        <f t="shared" si="17"/>
        <v>3099.9984661243561</v>
      </c>
      <c r="Q714" s="107">
        <v>151.58000000000001</v>
      </c>
      <c r="R714" s="107">
        <v>0</v>
      </c>
      <c r="S714" s="235">
        <v>1748</v>
      </c>
      <c r="T714" s="236"/>
      <c r="U714" s="236"/>
    </row>
    <row r="715" spans="1:21" ht="57.6" x14ac:dyDescent="0.3">
      <c r="A715" s="117">
        <v>713</v>
      </c>
      <c r="B715" s="131">
        <v>10049</v>
      </c>
      <c r="C715" s="111">
        <v>16</v>
      </c>
      <c r="D715" s="111">
        <v>4</v>
      </c>
      <c r="E715" s="118" t="s">
        <v>1353</v>
      </c>
      <c r="F715" s="118" t="s">
        <v>201</v>
      </c>
      <c r="G715" s="119" t="s">
        <v>101</v>
      </c>
      <c r="H715" s="119" t="s">
        <v>1358</v>
      </c>
      <c r="I715" s="117" t="s">
        <v>1171</v>
      </c>
      <c r="J715" s="117" t="s">
        <v>1076</v>
      </c>
      <c r="K715" s="117" t="s">
        <v>1063</v>
      </c>
      <c r="L715" s="117" t="s">
        <v>1149</v>
      </c>
      <c r="M715" s="111"/>
      <c r="N715" s="122">
        <v>31032011</v>
      </c>
      <c r="O715" s="140">
        <v>4791.78</v>
      </c>
      <c r="P715" s="227">
        <f t="shared" si="17"/>
        <v>2449.9982104784158</v>
      </c>
      <c r="Q715" s="107">
        <v>119.79</v>
      </c>
      <c r="R715" s="107">
        <v>0</v>
      </c>
      <c r="S715" s="231">
        <f>P715*0.4</f>
        <v>979.99928419136631</v>
      </c>
      <c r="T715" s="236"/>
      <c r="U715" s="236"/>
    </row>
    <row r="716" spans="1:21" ht="57.6" x14ac:dyDescent="0.3">
      <c r="A716" s="117">
        <v>714</v>
      </c>
      <c r="B716" s="131">
        <v>10050</v>
      </c>
      <c r="C716" s="111">
        <v>16</v>
      </c>
      <c r="D716" s="111">
        <v>4</v>
      </c>
      <c r="E716" s="118" t="s">
        <v>1353</v>
      </c>
      <c r="F716" s="118" t="s">
        <v>201</v>
      </c>
      <c r="G716" s="119" t="s">
        <v>101</v>
      </c>
      <c r="H716" s="119" t="s">
        <v>1358</v>
      </c>
      <c r="I716" s="117" t="s">
        <v>1171</v>
      </c>
      <c r="J716" s="117" t="s">
        <v>1076</v>
      </c>
      <c r="K716" s="117" t="s">
        <v>1063</v>
      </c>
      <c r="L716" s="117" t="s">
        <v>1149</v>
      </c>
      <c r="M716" s="111"/>
      <c r="N716" s="122">
        <v>31032011</v>
      </c>
      <c r="O716" s="140">
        <v>4791.78</v>
      </c>
      <c r="P716" s="227">
        <f t="shared" si="17"/>
        <v>2449.9982104784158</v>
      </c>
      <c r="Q716" s="107">
        <v>119.79</v>
      </c>
      <c r="R716" s="107">
        <v>0</v>
      </c>
      <c r="S716" s="231">
        <f>P716*0.4</f>
        <v>979.99928419136631</v>
      </c>
      <c r="T716" s="236"/>
      <c r="U716" s="236"/>
    </row>
    <row r="717" spans="1:21" ht="57.6" x14ac:dyDescent="0.3">
      <c r="A717" s="117">
        <v>715</v>
      </c>
      <c r="B717" s="131">
        <v>10051</v>
      </c>
      <c r="C717" s="111">
        <v>16</v>
      </c>
      <c r="D717" s="111">
        <v>4</v>
      </c>
      <c r="E717" s="118" t="s">
        <v>1353</v>
      </c>
      <c r="F717" s="118" t="s">
        <v>201</v>
      </c>
      <c r="G717" s="119" t="s">
        <v>101</v>
      </c>
      <c r="H717" s="119" t="s">
        <v>1358</v>
      </c>
      <c r="I717" s="117" t="s">
        <v>1171</v>
      </c>
      <c r="J717" s="117" t="s">
        <v>1076</v>
      </c>
      <c r="K717" s="117" t="s">
        <v>1063</v>
      </c>
      <c r="L717" s="117" t="s">
        <v>1149</v>
      </c>
      <c r="M717" s="111"/>
      <c r="N717" s="122">
        <v>31032011</v>
      </c>
      <c r="O717" s="140">
        <v>4791.78</v>
      </c>
      <c r="P717" s="227">
        <f t="shared" si="17"/>
        <v>2449.9982104784158</v>
      </c>
      <c r="Q717" s="107">
        <v>119.79</v>
      </c>
      <c r="R717" s="107">
        <v>0</v>
      </c>
      <c r="S717" s="231">
        <f>P717*0.4</f>
        <v>979.99928419136631</v>
      </c>
      <c r="T717" s="236"/>
      <c r="U717" s="236"/>
    </row>
    <row r="718" spans="1:21" ht="57.6" x14ac:dyDescent="0.3">
      <c r="A718" s="117">
        <v>716</v>
      </c>
      <c r="B718" s="131">
        <v>10052</v>
      </c>
      <c r="C718" s="111">
        <v>16</v>
      </c>
      <c r="D718" s="111">
        <v>4</v>
      </c>
      <c r="E718" s="118" t="s">
        <v>1353</v>
      </c>
      <c r="F718" s="118" t="s">
        <v>201</v>
      </c>
      <c r="G718" s="119" t="s">
        <v>101</v>
      </c>
      <c r="H718" s="119" t="s">
        <v>1358</v>
      </c>
      <c r="I718" s="117" t="s">
        <v>1171</v>
      </c>
      <c r="J718" s="117" t="s">
        <v>1076</v>
      </c>
      <c r="K718" s="117" t="s">
        <v>1066</v>
      </c>
      <c r="L718" s="117" t="s">
        <v>1149</v>
      </c>
      <c r="M718" s="111"/>
      <c r="N718" s="122">
        <v>31032011</v>
      </c>
      <c r="O718" s="140">
        <v>4791.78</v>
      </c>
      <c r="P718" s="227">
        <f t="shared" si="17"/>
        <v>2449.9982104784158</v>
      </c>
      <c r="Q718" s="107">
        <v>119.79</v>
      </c>
      <c r="R718" s="107">
        <v>0</v>
      </c>
      <c r="S718" s="231">
        <f>P718*0.4</f>
        <v>979.99928419136631</v>
      </c>
      <c r="T718" s="236"/>
      <c r="U718" s="236"/>
    </row>
    <row r="719" spans="1:21" ht="57.6" x14ac:dyDescent="0.3">
      <c r="A719" s="117">
        <v>717</v>
      </c>
      <c r="B719" s="131">
        <v>10053</v>
      </c>
      <c r="C719" s="111">
        <v>16</v>
      </c>
      <c r="D719" s="111">
        <v>4</v>
      </c>
      <c r="E719" s="118" t="s">
        <v>1353</v>
      </c>
      <c r="F719" s="118" t="s">
        <v>201</v>
      </c>
      <c r="G719" s="119" t="s">
        <v>101</v>
      </c>
      <c r="H719" s="119" t="s">
        <v>1358</v>
      </c>
      <c r="I719" s="117" t="s">
        <v>1171</v>
      </c>
      <c r="J719" s="117" t="s">
        <v>1076</v>
      </c>
      <c r="K719" s="117" t="s">
        <v>1063</v>
      </c>
      <c r="L719" s="117" t="s">
        <v>1149</v>
      </c>
      <c r="M719" s="111"/>
      <c r="N719" s="122">
        <v>31032011</v>
      </c>
      <c r="O719" s="140">
        <v>4791.78</v>
      </c>
      <c r="P719" s="227">
        <f t="shared" si="17"/>
        <v>2449.9982104784158</v>
      </c>
      <c r="Q719" s="107">
        <v>119.79</v>
      </c>
      <c r="R719" s="107">
        <v>0</v>
      </c>
      <c r="S719" s="231">
        <f>P719*0.4</f>
        <v>979.99928419136631</v>
      </c>
      <c r="T719" s="236"/>
      <c r="U719" s="236"/>
    </row>
    <row r="720" spans="1:21" ht="57.6" x14ac:dyDescent="0.3">
      <c r="A720" s="117">
        <v>718</v>
      </c>
      <c r="B720" s="131">
        <v>10054</v>
      </c>
      <c r="C720" s="111">
        <v>18</v>
      </c>
      <c r="D720" s="111">
        <v>4</v>
      </c>
      <c r="E720" s="118" t="s">
        <v>1353</v>
      </c>
      <c r="F720" s="118" t="s">
        <v>1157</v>
      </c>
      <c r="G720" s="119" t="s">
        <v>1165</v>
      </c>
      <c r="H720" s="119" t="s">
        <v>743</v>
      </c>
      <c r="I720" s="117" t="s">
        <v>1168</v>
      </c>
      <c r="J720" s="117"/>
      <c r="K720" s="117" t="s">
        <v>1122</v>
      </c>
      <c r="L720" s="117" t="s">
        <v>1150</v>
      </c>
      <c r="M720" s="111"/>
      <c r="N720" s="122">
        <v>31032011</v>
      </c>
      <c r="O720" s="140">
        <v>3520.49</v>
      </c>
      <c r="P720" s="227">
        <f t="shared" si="17"/>
        <v>1799.9979548324752</v>
      </c>
      <c r="Q720" s="107">
        <v>88.01</v>
      </c>
      <c r="R720" s="107">
        <v>0</v>
      </c>
      <c r="S720" s="231"/>
      <c r="T720" s="236"/>
      <c r="U720" s="236"/>
    </row>
    <row r="721" spans="1:21" ht="57.6" x14ac:dyDescent="0.3">
      <c r="A721" s="117">
        <v>719</v>
      </c>
      <c r="B721" s="131">
        <v>10055</v>
      </c>
      <c r="C721" s="111">
        <v>18</v>
      </c>
      <c r="D721" s="111">
        <v>4</v>
      </c>
      <c r="E721" s="118" t="s">
        <v>1353</v>
      </c>
      <c r="F721" s="118" t="s">
        <v>1157</v>
      </c>
      <c r="G721" s="119" t="s">
        <v>1165</v>
      </c>
      <c r="H721" s="119" t="s">
        <v>743</v>
      </c>
      <c r="I721" s="117" t="s">
        <v>1168</v>
      </c>
      <c r="J721" s="117"/>
      <c r="K721" s="117" t="s">
        <v>1066</v>
      </c>
      <c r="L721" s="117" t="s">
        <v>1149</v>
      </c>
      <c r="M721" s="111"/>
      <c r="N721" s="122">
        <v>31032011</v>
      </c>
      <c r="O721" s="140">
        <v>3520.49</v>
      </c>
      <c r="P721" s="227">
        <f t="shared" si="17"/>
        <v>1799.9979548324752</v>
      </c>
      <c r="Q721" s="107">
        <v>88.01</v>
      </c>
      <c r="R721" s="107">
        <v>0</v>
      </c>
      <c r="S721" s="235">
        <v>360</v>
      </c>
      <c r="T721" s="236"/>
      <c r="U721" s="236"/>
    </row>
    <row r="722" spans="1:21" ht="57.6" x14ac:dyDescent="0.3">
      <c r="A722" s="117">
        <v>720</v>
      </c>
      <c r="B722" s="131">
        <v>10056</v>
      </c>
      <c r="C722" s="111">
        <v>18</v>
      </c>
      <c r="D722" s="111">
        <v>4</v>
      </c>
      <c r="E722" s="118" t="s">
        <v>1353</v>
      </c>
      <c r="F722" s="118" t="s">
        <v>1157</v>
      </c>
      <c r="G722" s="119" t="s">
        <v>1165</v>
      </c>
      <c r="H722" s="119" t="s">
        <v>743</v>
      </c>
      <c r="I722" s="117" t="s">
        <v>1168</v>
      </c>
      <c r="J722" s="117"/>
      <c r="K722" s="117" t="s">
        <v>1063</v>
      </c>
      <c r="L722" s="117" t="s">
        <v>1149</v>
      </c>
      <c r="M722" s="111"/>
      <c r="N722" s="122">
        <v>31032011</v>
      </c>
      <c r="O722" s="140">
        <v>3520.49</v>
      </c>
      <c r="P722" s="227">
        <f t="shared" si="17"/>
        <v>1799.9979548324752</v>
      </c>
      <c r="Q722" s="107">
        <v>88.01</v>
      </c>
      <c r="R722" s="107">
        <v>0</v>
      </c>
      <c r="S722" s="235">
        <v>360</v>
      </c>
      <c r="T722" s="236"/>
      <c r="U722" s="236"/>
    </row>
    <row r="723" spans="1:21" ht="57.6" x14ac:dyDescent="0.3">
      <c r="A723" s="117">
        <v>721</v>
      </c>
      <c r="B723" s="131">
        <v>10057</v>
      </c>
      <c r="C723" s="111">
        <v>18</v>
      </c>
      <c r="D723" s="111">
        <v>4</v>
      </c>
      <c r="E723" s="118" t="s">
        <v>1353</v>
      </c>
      <c r="F723" s="118" t="s">
        <v>1157</v>
      </c>
      <c r="G723" s="119" t="s">
        <v>1165</v>
      </c>
      <c r="H723" s="119" t="s">
        <v>743</v>
      </c>
      <c r="I723" s="117" t="s">
        <v>1168</v>
      </c>
      <c r="J723" s="117"/>
      <c r="K723" s="117" t="s">
        <v>1059</v>
      </c>
      <c r="L723" s="117" t="s">
        <v>1150</v>
      </c>
      <c r="M723" s="111"/>
      <c r="N723" s="122">
        <v>31032011</v>
      </c>
      <c r="O723" s="140">
        <v>3520.49</v>
      </c>
      <c r="P723" s="227">
        <f t="shared" si="17"/>
        <v>1799.9979548324752</v>
      </c>
      <c r="Q723" s="107">
        <v>88.01</v>
      </c>
      <c r="R723" s="107">
        <v>0</v>
      </c>
      <c r="S723" s="231"/>
      <c r="T723" s="236"/>
      <c r="U723" s="236"/>
    </row>
    <row r="724" spans="1:21" ht="57.6" x14ac:dyDescent="0.3">
      <c r="A724" s="117">
        <v>722</v>
      </c>
      <c r="B724" s="131">
        <v>10058</v>
      </c>
      <c r="C724" s="111">
        <v>18</v>
      </c>
      <c r="D724" s="111">
        <v>4</v>
      </c>
      <c r="E724" s="118" t="s">
        <v>1353</v>
      </c>
      <c r="F724" s="118" t="s">
        <v>1157</v>
      </c>
      <c r="G724" s="119" t="s">
        <v>1165</v>
      </c>
      <c r="H724" s="119" t="s">
        <v>743</v>
      </c>
      <c r="I724" s="117" t="s">
        <v>1168</v>
      </c>
      <c r="J724" s="117"/>
      <c r="K724" s="117" t="s">
        <v>1063</v>
      </c>
      <c r="L724" s="117" t="s">
        <v>1149</v>
      </c>
      <c r="M724" s="111"/>
      <c r="N724" s="122">
        <v>31032011</v>
      </c>
      <c r="O724" s="140">
        <v>3520.49</v>
      </c>
      <c r="P724" s="227">
        <f t="shared" si="17"/>
        <v>1799.9979548324752</v>
      </c>
      <c r="Q724" s="107">
        <v>88.01</v>
      </c>
      <c r="R724" s="107">
        <v>0</v>
      </c>
      <c r="S724" s="235">
        <v>360</v>
      </c>
      <c r="T724" s="236"/>
      <c r="U724" s="236"/>
    </row>
    <row r="725" spans="1:21" ht="57.6" x14ac:dyDescent="0.3">
      <c r="A725" s="117">
        <v>723</v>
      </c>
      <c r="B725" s="131">
        <v>10059</v>
      </c>
      <c r="C725" s="111">
        <v>18</v>
      </c>
      <c r="D725" s="111">
        <v>4</v>
      </c>
      <c r="E725" s="118" t="s">
        <v>1353</v>
      </c>
      <c r="F725" s="118" t="s">
        <v>1157</v>
      </c>
      <c r="G725" s="119" t="s">
        <v>1165</v>
      </c>
      <c r="H725" s="119" t="s">
        <v>743</v>
      </c>
      <c r="I725" s="117" t="s">
        <v>1168</v>
      </c>
      <c r="J725" s="117"/>
      <c r="K725" s="117" t="s">
        <v>1059</v>
      </c>
      <c r="L725" s="117" t="s">
        <v>1150</v>
      </c>
      <c r="M725" s="111"/>
      <c r="N725" s="122">
        <v>31032011</v>
      </c>
      <c r="O725" s="140">
        <v>3520.49</v>
      </c>
      <c r="P725" s="227">
        <f t="shared" si="17"/>
        <v>1799.9979548324752</v>
      </c>
      <c r="Q725" s="107">
        <v>88.01</v>
      </c>
      <c r="R725" s="107">
        <v>0</v>
      </c>
      <c r="S725" s="231"/>
      <c r="T725" s="236"/>
      <c r="U725" s="236"/>
    </row>
    <row r="726" spans="1:21" ht="57.6" x14ac:dyDescent="0.3">
      <c r="A726" s="117">
        <v>724</v>
      </c>
      <c r="B726" s="131">
        <v>10060</v>
      </c>
      <c r="C726" s="111">
        <v>18</v>
      </c>
      <c r="D726" s="111">
        <v>4</v>
      </c>
      <c r="E726" s="118" t="s">
        <v>1353</v>
      </c>
      <c r="F726" s="118" t="s">
        <v>1157</v>
      </c>
      <c r="G726" s="119" t="s">
        <v>1165</v>
      </c>
      <c r="H726" s="119" t="s">
        <v>743</v>
      </c>
      <c r="I726" s="117" t="s">
        <v>1168</v>
      </c>
      <c r="J726" s="117"/>
      <c r="K726" s="117" t="s">
        <v>1056</v>
      </c>
      <c r="L726" s="117" t="s">
        <v>1153</v>
      </c>
      <c r="M726" s="111"/>
      <c r="N726" s="122">
        <v>31032011</v>
      </c>
      <c r="O726" s="140">
        <v>3520.49</v>
      </c>
      <c r="P726" s="227">
        <f t="shared" si="17"/>
        <v>1799.9979548324752</v>
      </c>
      <c r="Q726" s="107">
        <v>88.01</v>
      </c>
      <c r="R726" s="107">
        <v>0</v>
      </c>
      <c r="S726" s="231"/>
      <c r="T726" s="236"/>
      <c r="U726" s="236"/>
    </row>
    <row r="727" spans="1:21" ht="57.6" x14ac:dyDescent="0.3">
      <c r="A727" s="117">
        <v>725</v>
      </c>
      <c r="B727" s="131">
        <v>10061</v>
      </c>
      <c r="C727" s="111">
        <v>16</v>
      </c>
      <c r="D727" s="111">
        <v>4</v>
      </c>
      <c r="E727" s="118" t="s">
        <v>1353</v>
      </c>
      <c r="F727" s="118" t="s">
        <v>201</v>
      </c>
      <c r="G727" s="119" t="s">
        <v>1204</v>
      </c>
      <c r="H727" s="119" t="s">
        <v>731</v>
      </c>
      <c r="I727" s="117" t="s">
        <v>1135</v>
      </c>
      <c r="J727" s="117"/>
      <c r="K727" s="117" t="s">
        <v>1052</v>
      </c>
      <c r="L727" s="117" t="s">
        <v>1150</v>
      </c>
      <c r="M727" s="111"/>
      <c r="N727" s="122">
        <v>31032011</v>
      </c>
      <c r="O727" s="140">
        <v>11539.4</v>
      </c>
      <c r="P727" s="227">
        <f t="shared" si="17"/>
        <v>5900.0015338756439</v>
      </c>
      <c r="Q727" s="107">
        <v>288.49</v>
      </c>
      <c r="R727" s="107">
        <v>0</v>
      </c>
      <c r="S727" s="231"/>
      <c r="T727" s="236"/>
      <c r="U727" s="236"/>
    </row>
    <row r="728" spans="1:21" ht="72" x14ac:dyDescent="0.3">
      <c r="A728" s="117">
        <v>726</v>
      </c>
      <c r="B728" s="131">
        <v>10071</v>
      </c>
      <c r="C728" s="111">
        <v>12</v>
      </c>
      <c r="D728" s="111">
        <v>2</v>
      </c>
      <c r="E728" s="118" t="s">
        <v>1151</v>
      </c>
      <c r="F728" s="118" t="s">
        <v>197</v>
      </c>
      <c r="G728" s="119" t="s">
        <v>577</v>
      </c>
      <c r="H728" s="119" t="s">
        <v>744</v>
      </c>
      <c r="I728" s="117"/>
      <c r="J728" s="117" t="s">
        <v>1134</v>
      </c>
      <c r="K728" s="117" t="s">
        <v>1059</v>
      </c>
      <c r="L728" s="117" t="s">
        <v>1150</v>
      </c>
      <c r="M728" s="111"/>
      <c r="N728" s="122">
        <v>14022011</v>
      </c>
      <c r="O728" s="141">
        <v>37748</v>
      </c>
      <c r="P728" s="228">
        <f t="shared" si="17"/>
        <v>19300.245931394857</v>
      </c>
      <c r="Q728" s="107">
        <v>0</v>
      </c>
      <c r="R728" s="107">
        <v>0</v>
      </c>
      <c r="S728" s="231"/>
      <c r="T728" s="236"/>
      <c r="U728" s="236"/>
    </row>
    <row r="729" spans="1:21" ht="72" x14ac:dyDescent="0.3">
      <c r="A729" s="117">
        <v>727</v>
      </c>
      <c r="B729" s="131">
        <v>10072</v>
      </c>
      <c r="C729" s="111">
        <v>8</v>
      </c>
      <c r="D729" s="111">
        <v>2</v>
      </c>
      <c r="E729" s="118" t="s">
        <v>1151</v>
      </c>
      <c r="F729" s="118" t="s">
        <v>194</v>
      </c>
      <c r="G729" s="119" t="s">
        <v>590</v>
      </c>
      <c r="H729" s="119" t="s">
        <v>745</v>
      </c>
      <c r="I729" s="117" t="s">
        <v>1232</v>
      </c>
      <c r="J729" s="117" t="s">
        <v>1231</v>
      </c>
      <c r="K729" s="117" t="s">
        <v>1059</v>
      </c>
      <c r="L729" s="117" t="s">
        <v>1150</v>
      </c>
      <c r="M729" s="111"/>
      <c r="N729" s="122">
        <v>27052011</v>
      </c>
      <c r="O729" s="141">
        <v>7041</v>
      </c>
      <c r="P729" s="228">
        <f t="shared" si="17"/>
        <v>3600.0061355025746</v>
      </c>
      <c r="Q729" s="107">
        <v>0</v>
      </c>
      <c r="R729" s="107">
        <v>0</v>
      </c>
      <c r="S729" s="231"/>
      <c r="T729" s="236"/>
      <c r="U729" s="236"/>
    </row>
    <row r="730" spans="1:21" ht="72" x14ac:dyDescent="0.3">
      <c r="A730" s="117">
        <v>728</v>
      </c>
      <c r="B730" s="131">
        <v>10073</v>
      </c>
      <c r="C730" s="111">
        <v>1</v>
      </c>
      <c r="D730" s="111">
        <v>1</v>
      </c>
      <c r="E730" s="118" t="s">
        <v>1163</v>
      </c>
      <c r="F730" s="118" t="s">
        <v>190</v>
      </c>
      <c r="G730" s="119" t="s">
        <v>31</v>
      </c>
      <c r="H730" s="119" t="s">
        <v>746</v>
      </c>
      <c r="I730" s="117"/>
      <c r="J730" s="117"/>
      <c r="K730" s="117" t="s">
        <v>1059</v>
      </c>
      <c r="L730" s="117" t="s">
        <v>1150</v>
      </c>
      <c r="M730" s="111"/>
      <c r="N730" s="111"/>
      <c r="O730" s="140">
        <v>2366.5500000000002</v>
      </c>
      <c r="P730" s="227">
        <f t="shared" si="17"/>
        <v>1209.9978014449109</v>
      </c>
      <c r="Q730" s="107">
        <v>0</v>
      </c>
      <c r="R730" s="107">
        <v>0</v>
      </c>
      <c r="S730" s="231"/>
      <c r="T730" s="236"/>
      <c r="U730" s="236"/>
    </row>
    <row r="731" spans="1:21" ht="57.6" x14ac:dyDescent="0.3">
      <c r="A731" s="117">
        <v>729</v>
      </c>
      <c r="B731" s="131">
        <v>10074</v>
      </c>
      <c r="C731" s="111">
        <v>16</v>
      </c>
      <c r="D731" s="111">
        <v>4</v>
      </c>
      <c r="E731" s="118" t="s">
        <v>1353</v>
      </c>
      <c r="F731" s="118" t="s">
        <v>201</v>
      </c>
      <c r="G731" s="119" t="s">
        <v>1200</v>
      </c>
      <c r="H731" s="119" t="s">
        <v>747</v>
      </c>
      <c r="I731" s="117" t="s">
        <v>1081</v>
      </c>
      <c r="J731" s="117"/>
      <c r="K731" s="117" t="s">
        <v>1066</v>
      </c>
      <c r="L731" s="117" t="s">
        <v>1149</v>
      </c>
      <c r="M731" s="111"/>
      <c r="N731" s="122">
        <v>27052011</v>
      </c>
      <c r="O731" s="141">
        <v>7237</v>
      </c>
      <c r="P731" s="228">
        <f t="shared" si="17"/>
        <v>3700.2193442170333</v>
      </c>
      <c r="Q731" s="107">
        <v>0</v>
      </c>
      <c r="R731" s="107">
        <v>0</v>
      </c>
      <c r="S731" s="231">
        <f>P731*0.4</f>
        <v>1480.0877376868134</v>
      </c>
      <c r="T731" s="236"/>
      <c r="U731" s="236"/>
    </row>
    <row r="732" spans="1:21" ht="57.6" x14ac:dyDescent="0.3">
      <c r="A732" s="117">
        <v>730</v>
      </c>
      <c r="B732" s="131">
        <v>10075</v>
      </c>
      <c r="C732" s="111">
        <v>16</v>
      </c>
      <c r="D732" s="111">
        <v>4</v>
      </c>
      <c r="E732" s="118" t="s">
        <v>1353</v>
      </c>
      <c r="F732" s="118" t="s">
        <v>201</v>
      </c>
      <c r="G732" s="119" t="s">
        <v>373</v>
      </c>
      <c r="H732" s="119" t="s">
        <v>748</v>
      </c>
      <c r="I732" s="117" t="s">
        <v>1060</v>
      </c>
      <c r="J732" s="117" t="s">
        <v>1196</v>
      </c>
      <c r="K732" s="117" t="s">
        <v>1061</v>
      </c>
      <c r="L732" s="117" t="s">
        <v>1150</v>
      </c>
      <c r="M732" s="111"/>
      <c r="N732" s="122">
        <v>27052011</v>
      </c>
      <c r="O732" s="141">
        <v>5672</v>
      </c>
      <c r="P732" s="228">
        <f t="shared" si="17"/>
        <v>2900.0475501449514</v>
      </c>
      <c r="Q732" s="107">
        <v>0</v>
      </c>
      <c r="R732" s="107">
        <v>0</v>
      </c>
      <c r="S732" s="231"/>
      <c r="T732" s="236"/>
      <c r="U732" s="236"/>
    </row>
    <row r="733" spans="1:21" ht="72" x14ac:dyDescent="0.3">
      <c r="A733" s="117">
        <v>731</v>
      </c>
      <c r="B733" s="131">
        <v>10076</v>
      </c>
      <c r="C733" s="111">
        <v>1</v>
      </c>
      <c r="D733" s="111">
        <v>1</v>
      </c>
      <c r="E733" s="118" t="s">
        <v>1163</v>
      </c>
      <c r="F733" s="118" t="s">
        <v>190</v>
      </c>
      <c r="G733" s="119" t="s">
        <v>15</v>
      </c>
      <c r="H733" s="119" t="s">
        <v>709</v>
      </c>
      <c r="I733" s="117" t="s">
        <v>6</v>
      </c>
      <c r="J733" s="117" t="s">
        <v>1072</v>
      </c>
      <c r="K733" s="117" t="s">
        <v>1063</v>
      </c>
      <c r="L733" s="117" t="s">
        <v>1149</v>
      </c>
      <c r="M733" s="111"/>
      <c r="N733" s="122">
        <v>27052011</v>
      </c>
      <c r="O733" s="140">
        <v>17584.5</v>
      </c>
      <c r="P733" s="227">
        <f t="shared" si="17"/>
        <v>8990.8120848949038</v>
      </c>
      <c r="Q733" s="107">
        <v>0</v>
      </c>
      <c r="R733" s="107">
        <v>0</v>
      </c>
      <c r="S733" s="231">
        <f>P733*0.4</f>
        <v>3596.3248339579618</v>
      </c>
      <c r="T733" s="236"/>
      <c r="U733" s="236"/>
    </row>
    <row r="734" spans="1:21" ht="72" x14ac:dyDescent="0.3">
      <c r="A734" s="117">
        <v>732</v>
      </c>
      <c r="B734" s="131">
        <v>10077</v>
      </c>
      <c r="C734" s="111">
        <v>1</v>
      </c>
      <c r="D734" s="111">
        <v>1</v>
      </c>
      <c r="E734" s="118" t="s">
        <v>1163</v>
      </c>
      <c r="F734" s="118" t="s">
        <v>190</v>
      </c>
      <c r="G734" s="119" t="s">
        <v>15</v>
      </c>
      <c r="H734" s="119" t="s">
        <v>709</v>
      </c>
      <c r="I734" s="117"/>
      <c r="J734" s="117" t="s">
        <v>1048</v>
      </c>
      <c r="K734" s="117" t="s">
        <v>1052</v>
      </c>
      <c r="L734" s="117" t="s">
        <v>1150</v>
      </c>
      <c r="M734" s="111"/>
      <c r="N734" s="122">
        <v>27052011</v>
      </c>
      <c r="O734" s="140">
        <v>9566.56</v>
      </c>
      <c r="P734" s="227">
        <f t="shared" si="17"/>
        <v>4891.3044589764959</v>
      </c>
      <c r="Q734" s="107">
        <v>0</v>
      </c>
      <c r="R734" s="107">
        <v>0</v>
      </c>
      <c r="S734" s="231"/>
      <c r="T734" s="236"/>
      <c r="U734" s="236"/>
    </row>
    <row r="735" spans="1:21" ht="72" x14ac:dyDescent="0.3">
      <c r="A735" s="117">
        <v>733</v>
      </c>
      <c r="B735" s="131">
        <v>10078</v>
      </c>
      <c r="C735" s="111">
        <v>9</v>
      </c>
      <c r="D735" s="111">
        <v>2</v>
      </c>
      <c r="E735" s="118" t="s">
        <v>1151</v>
      </c>
      <c r="F735" s="118" t="s">
        <v>195</v>
      </c>
      <c r="G735" s="119" t="s">
        <v>102</v>
      </c>
      <c r="H735" s="117" t="s">
        <v>749</v>
      </c>
      <c r="I735" s="117" t="s">
        <v>1078</v>
      </c>
      <c r="J735" s="117" t="s">
        <v>1239</v>
      </c>
      <c r="K735" s="117" t="s">
        <v>1059</v>
      </c>
      <c r="L735" s="117" t="s">
        <v>1150</v>
      </c>
      <c r="M735" s="111"/>
      <c r="N735" s="122">
        <v>27052011</v>
      </c>
      <c r="O735" s="141">
        <v>8801</v>
      </c>
      <c r="P735" s="228">
        <f t="shared" si="17"/>
        <v>4499.8798464079191</v>
      </c>
      <c r="Q735" s="107">
        <v>0</v>
      </c>
      <c r="R735" s="107">
        <v>0</v>
      </c>
      <c r="S735" s="231"/>
      <c r="T735" s="236"/>
      <c r="U735" s="236"/>
    </row>
    <row r="736" spans="1:21" ht="72" x14ac:dyDescent="0.3">
      <c r="A736" s="117">
        <v>734</v>
      </c>
      <c r="B736" s="131">
        <v>10079</v>
      </c>
      <c r="C736" s="111">
        <v>6</v>
      </c>
      <c r="D736" s="111">
        <v>2</v>
      </c>
      <c r="E736" s="118" t="s">
        <v>1151</v>
      </c>
      <c r="F736" s="118" t="s">
        <v>115</v>
      </c>
      <c r="G736" s="119" t="s">
        <v>1221</v>
      </c>
      <c r="H736" s="119" t="s">
        <v>750</v>
      </c>
      <c r="I736" s="117"/>
      <c r="J736" s="117"/>
      <c r="K736" s="117" t="s">
        <v>1059</v>
      </c>
      <c r="L736" s="117" t="s">
        <v>1150</v>
      </c>
      <c r="M736" s="111"/>
      <c r="N736" s="122">
        <v>27052011</v>
      </c>
      <c r="O736" s="141">
        <v>6611</v>
      </c>
      <c r="P736" s="228">
        <f t="shared" si="17"/>
        <v>3380.1506265882003</v>
      </c>
      <c r="Q736" s="107">
        <v>0</v>
      </c>
      <c r="R736" s="107">
        <v>0</v>
      </c>
      <c r="S736" s="231"/>
      <c r="T736" s="236"/>
      <c r="U736" s="236"/>
    </row>
    <row r="737" spans="1:21" ht="57.6" x14ac:dyDescent="0.3">
      <c r="A737" s="117">
        <v>735</v>
      </c>
      <c r="B737" s="131">
        <v>10080</v>
      </c>
      <c r="C737" s="111">
        <v>16</v>
      </c>
      <c r="D737" s="111">
        <v>4</v>
      </c>
      <c r="E737" s="118" t="s">
        <v>1353</v>
      </c>
      <c r="F737" s="118" t="s">
        <v>201</v>
      </c>
      <c r="G737" s="119" t="s">
        <v>370</v>
      </c>
      <c r="H737" s="119" t="s">
        <v>751</v>
      </c>
      <c r="I737" s="117" t="s">
        <v>1060</v>
      </c>
      <c r="J737" s="117" t="s">
        <v>1196</v>
      </c>
      <c r="K737" s="117" t="s">
        <v>1052</v>
      </c>
      <c r="L737" s="117" t="s">
        <v>1150</v>
      </c>
      <c r="M737" s="111"/>
      <c r="N737" s="122">
        <v>27052011</v>
      </c>
      <c r="O737" s="141">
        <v>5672</v>
      </c>
      <c r="P737" s="228">
        <f t="shared" si="17"/>
        <v>2900.0475501449514</v>
      </c>
      <c r="Q737" s="107">
        <v>0</v>
      </c>
      <c r="R737" s="107">
        <v>0</v>
      </c>
      <c r="S737" s="231"/>
      <c r="T737" s="236"/>
      <c r="U737" s="236"/>
    </row>
    <row r="738" spans="1:21" ht="57.6" x14ac:dyDescent="0.3">
      <c r="A738" s="117">
        <v>736</v>
      </c>
      <c r="B738" s="131">
        <v>10081</v>
      </c>
      <c r="C738" s="111">
        <v>16</v>
      </c>
      <c r="D738" s="111">
        <v>4</v>
      </c>
      <c r="E738" s="118" t="s">
        <v>1353</v>
      </c>
      <c r="F738" s="118" t="s">
        <v>201</v>
      </c>
      <c r="G738" s="118" t="s">
        <v>1174</v>
      </c>
      <c r="H738" s="118" t="s">
        <v>752</v>
      </c>
      <c r="I738" s="117" t="s">
        <v>1060</v>
      </c>
      <c r="J738" s="117" t="s">
        <v>1196</v>
      </c>
      <c r="K738" s="117" t="s">
        <v>1052</v>
      </c>
      <c r="L738" s="117" t="s">
        <v>1150</v>
      </c>
      <c r="M738" s="111"/>
      <c r="N738" s="122">
        <v>27052011</v>
      </c>
      <c r="O738" s="141">
        <v>5672</v>
      </c>
      <c r="P738" s="228">
        <f t="shared" si="17"/>
        <v>2900.0475501449514</v>
      </c>
      <c r="Q738" s="107">
        <v>0</v>
      </c>
      <c r="R738" s="107">
        <v>0</v>
      </c>
      <c r="S738" s="231"/>
      <c r="T738" s="236"/>
      <c r="U738" s="236"/>
    </row>
    <row r="739" spans="1:21" ht="72" x14ac:dyDescent="0.3">
      <c r="A739" s="117">
        <v>737</v>
      </c>
      <c r="B739" s="131">
        <v>10082</v>
      </c>
      <c r="C739" s="111">
        <v>1</v>
      </c>
      <c r="D739" s="111">
        <v>1</v>
      </c>
      <c r="E739" s="118" t="s">
        <v>1163</v>
      </c>
      <c r="F739" s="118" t="s">
        <v>190</v>
      </c>
      <c r="G739" s="119" t="s">
        <v>15</v>
      </c>
      <c r="H739" s="119" t="s">
        <v>709</v>
      </c>
      <c r="I739" s="117"/>
      <c r="J739" s="117" t="s">
        <v>1048</v>
      </c>
      <c r="K739" s="117" t="s">
        <v>1063</v>
      </c>
      <c r="L739" s="117" t="s">
        <v>1149</v>
      </c>
      <c r="M739" s="111"/>
      <c r="N739" s="122">
        <v>27052011</v>
      </c>
      <c r="O739" s="140">
        <v>9566.56</v>
      </c>
      <c r="P739" s="227">
        <f t="shared" si="17"/>
        <v>4891.3044589764959</v>
      </c>
      <c r="Q739" s="107">
        <v>0</v>
      </c>
      <c r="R739" s="107">
        <v>0</v>
      </c>
      <c r="S739" s="231">
        <f>P739*0.4</f>
        <v>1956.5217835905985</v>
      </c>
      <c r="T739" s="236"/>
      <c r="U739" s="236"/>
    </row>
    <row r="740" spans="1:21" ht="57.6" x14ac:dyDescent="0.3">
      <c r="A740" s="117">
        <v>738</v>
      </c>
      <c r="B740" s="131">
        <v>10083</v>
      </c>
      <c r="C740" s="111">
        <v>16</v>
      </c>
      <c r="D740" s="111">
        <v>4</v>
      </c>
      <c r="E740" s="118" t="s">
        <v>1353</v>
      </c>
      <c r="F740" s="118" t="s">
        <v>201</v>
      </c>
      <c r="G740" s="119" t="s">
        <v>1183</v>
      </c>
      <c r="H740" s="119" t="s">
        <v>752</v>
      </c>
      <c r="I740" s="117" t="s">
        <v>1060</v>
      </c>
      <c r="J740" s="117" t="s">
        <v>1196</v>
      </c>
      <c r="K740" s="117" t="s">
        <v>1061</v>
      </c>
      <c r="L740" s="117" t="s">
        <v>1150</v>
      </c>
      <c r="M740" s="111"/>
      <c r="N740" s="122">
        <v>27052011</v>
      </c>
      <c r="O740" s="141">
        <v>5672</v>
      </c>
      <c r="P740" s="228">
        <f t="shared" si="17"/>
        <v>2900.0475501449514</v>
      </c>
      <c r="Q740" s="107">
        <v>0</v>
      </c>
      <c r="R740" s="107">
        <v>0</v>
      </c>
      <c r="S740" s="231"/>
      <c r="T740" s="236"/>
      <c r="U740" s="236"/>
    </row>
    <row r="741" spans="1:21" ht="72" x14ac:dyDescent="0.3">
      <c r="A741" s="117">
        <v>739</v>
      </c>
      <c r="B741" s="131">
        <v>10084</v>
      </c>
      <c r="C741" s="111">
        <v>15</v>
      </c>
      <c r="D741" s="111">
        <v>2</v>
      </c>
      <c r="E741" s="118" t="s">
        <v>1151</v>
      </c>
      <c r="F741" s="118" t="s">
        <v>200</v>
      </c>
      <c r="G741" s="119" t="s">
        <v>94</v>
      </c>
      <c r="H741" s="119" t="s">
        <v>762</v>
      </c>
      <c r="I741" s="117"/>
      <c r="J741" s="117"/>
      <c r="K741" s="117" t="s">
        <v>1067</v>
      </c>
      <c r="L741" s="117" t="s">
        <v>1150</v>
      </c>
      <c r="M741" s="111"/>
      <c r="N741" s="122">
        <v>27052011</v>
      </c>
      <c r="O741" s="141">
        <v>19363</v>
      </c>
      <c r="P741" s="228">
        <f t="shared" si="17"/>
        <v>9900.1446956023792</v>
      </c>
      <c r="Q741" s="107">
        <v>0</v>
      </c>
      <c r="R741" s="107">
        <v>0</v>
      </c>
      <c r="S741" s="231"/>
      <c r="T741" s="236"/>
      <c r="U741" s="236"/>
    </row>
    <row r="742" spans="1:21" ht="72" x14ac:dyDescent="0.3">
      <c r="A742" s="117">
        <v>740</v>
      </c>
      <c r="B742" s="131">
        <v>10085</v>
      </c>
      <c r="C742" s="111">
        <v>15</v>
      </c>
      <c r="D742" s="111">
        <v>2</v>
      </c>
      <c r="E742" s="118" t="s">
        <v>1151</v>
      </c>
      <c r="F742" s="118" t="s">
        <v>200</v>
      </c>
      <c r="G742" s="119" t="s">
        <v>94</v>
      </c>
      <c r="H742" s="119" t="s">
        <v>762</v>
      </c>
      <c r="I742" s="117"/>
      <c r="J742" s="117"/>
      <c r="K742" s="117" t="s">
        <v>1056</v>
      </c>
      <c r="L742" s="117" t="s">
        <v>1149</v>
      </c>
      <c r="M742" s="111"/>
      <c r="N742" s="122">
        <v>27052011</v>
      </c>
      <c r="O742" s="141">
        <v>19363</v>
      </c>
      <c r="P742" s="228">
        <f t="shared" si="17"/>
        <v>9900.1446956023792</v>
      </c>
      <c r="Q742" s="107">
        <v>0</v>
      </c>
      <c r="R742" s="107">
        <v>0</v>
      </c>
      <c r="S742" s="235">
        <v>2970</v>
      </c>
      <c r="T742" s="236"/>
      <c r="U742" s="236"/>
    </row>
    <row r="743" spans="1:21" ht="72" x14ac:dyDescent="0.3">
      <c r="A743" s="117">
        <v>741</v>
      </c>
      <c r="B743" s="131">
        <v>10086</v>
      </c>
      <c r="C743" s="111">
        <v>1</v>
      </c>
      <c r="D743" s="111">
        <v>1</v>
      </c>
      <c r="E743" s="118" t="s">
        <v>1163</v>
      </c>
      <c r="F743" s="118" t="s">
        <v>190</v>
      </c>
      <c r="G743" s="119" t="s">
        <v>96</v>
      </c>
      <c r="H743" s="119" t="s">
        <v>753</v>
      </c>
      <c r="I743" s="117"/>
      <c r="J743" s="117" t="s">
        <v>1106</v>
      </c>
      <c r="K743" s="117" t="s">
        <v>1059</v>
      </c>
      <c r="L743" s="117" t="s">
        <v>1149</v>
      </c>
      <c r="M743" s="111"/>
      <c r="N743" s="122">
        <v>27052011</v>
      </c>
      <c r="O743" s="140">
        <v>7109.44</v>
      </c>
      <c r="P743" s="227">
        <f t="shared" si="17"/>
        <v>3634.9989518516436</v>
      </c>
      <c r="Q743" s="107">
        <v>0</v>
      </c>
      <c r="R743" s="107">
        <v>0</v>
      </c>
      <c r="S743" s="231">
        <f>P743*0.4</f>
        <v>1453.9995807406576</v>
      </c>
      <c r="T743" s="236"/>
      <c r="U743" s="236"/>
    </row>
    <row r="744" spans="1:21" ht="72" x14ac:dyDescent="0.3">
      <c r="A744" s="117">
        <v>742</v>
      </c>
      <c r="B744" s="131">
        <v>10087</v>
      </c>
      <c r="C744" s="111">
        <v>1</v>
      </c>
      <c r="D744" s="111">
        <v>1</v>
      </c>
      <c r="E744" s="118" t="s">
        <v>1163</v>
      </c>
      <c r="F744" s="118" t="s">
        <v>190</v>
      </c>
      <c r="G744" s="119" t="s">
        <v>96</v>
      </c>
      <c r="H744" s="119" t="s">
        <v>753</v>
      </c>
      <c r="I744" s="117"/>
      <c r="J744" s="117" t="s">
        <v>1106</v>
      </c>
      <c r="K744" s="117" t="s">
        <v>1059</v>
      </c>
      <c r="L744" s="117" t="s">
        <v>1149</v>
      </c>
      <c r="M744" s="111"/>
      <c r="N744" s="122">
        <v>27052011</v>
      </c>
      <c r="O744" s="140">
        <v>7109.44</v>
      </c>
      <c r="P744" s="227">
        <f t="shared" si="17"/>
        <v>3634.9989518516436</v>
      </c>
      <c r="Q744" s="107">
        <v>0</v>
      </c>
      <c r="R744" s="107">
        <v>0</v>
      </c>
      <c r="S744" s="231">
        <f>P744*0.4</f>
        <v>1453.9995807406576</v>
      </c>
      <c r="T744" s="236"/>
      <c r="U744" s="236"/>
    </row>
    <row r="745" spans="1:21" ht="72" x14ac:dyDescent="0.3">
      <c r="A745" s="117">
        <v>743</v>
      </c>
      <c r="B745" s="131">
        <v>10088</v>
      </c>
      <c r="C745" s="111">
        <v>1</v>
      </c>
      <c r="D745" s="111">
        <v>1</v>
      </c>
      <c r="E745" s="118" t="s">
        <v>1163</v>
      </c>
      <c r="F745" s="118" t="s">
        <v>190</v>
      </c>
      <c r="G745" s="119" t="s">
        <v>96</v>
      </c>
      <c r="H745" s="119" t="s">
        <v>753</v>
      </c>
      <c r="I745" s="117"/>
      <c r="J745" s="117" t="s">
        <v>1106</v>
      </c>
      <c r="K745" s="117" t="s">
        <v>1059</v>
      </c>
      <c r="L745" s="117" t="s">
        <v>1150</v>
      </c>
      <c r="M745" s="111"/>
      <c r="N745" s="122">
        <v>27052011</v>
      </c>
      <c r="O745" s="140">
        <v>7109.44</v>
      </c>
      <c r="P745" s="227">
        <f t="shared" si="17"/>
        <v>3634.9989518516436</v>
      </c>
      <c r="Q745" s="107">
        <v>0</v>
      </c>
      <c r="R745" s="107">
        <v>0</v>
      </c>
      <c r="S745" s="231"/>
      <c r="T745" s="236"/>
      <c r="U745" s="236"/>
    </row>
    <row r="746" spans="1:21" ht="72" x14ac:dyDescent="0.3">
      <c r="A746" s="117">
        <v>744</v>
      </c>
      <c r="B746" s="131">
        <v>10089</v>
      </c>
      <c r="C746" s="111">
        <v>1</v>
      </c>
      <c r="D746" s="111">
        <v>1</v>
      </c>
      <c r="E746" s="118" t="s">
        <v>1163</v>
      </c>
      <c r="F746" s="118" t="s">
        <v>190</v>
      </c>
      <c r="G746" s="119" t="s">
        <v>96</v>
      </c>
      <c r="H746" s="119" t="s">
        <v>753</v>
      </c>
      <c r="I746" s="117"/>
      <c r="J746" s="117" t="s">
        <v>1106</v>
      </c>
      <c r="K746" s="117" t="s">
        <v>1063</v>
      </c>
      <c r="L746" s="117" t="s">
        <v>1149</v>
      </c>
      <c r="M746" s="111"/>
      <c r="N746" s="122">
        <v>27052011</v>
      </c>
      <c r="O746" s="140">
        <v>7109.44</v>
      </c>
      <c r="P746" s="227">
        <f t="shared" si="17"/>
        <v>3634.9989518516436</v>
      </c>
      <c r="Q746" s="107">
        <v>0</v>
      </c>
      <c r="R746" s="107">
        <v>0</v>
      </c>
      <c r="S746" s="231">
        <f>P746*0.4</f>
        <v>1453.9995807406576</v>
      </c>
      <c r="T746" s="236"/>
      <c r="U746" s="236"/>
    </row>
    <row r="747" spans="1:21" ht="72" x14ac:dyDescent="0.3">
      <c r="A747" s="117">
        <v>745</v>
      </c>
      <c r="B747" s="131">
        <v>10090</v>
      </c>
      <c r="C747" s="111">
        <v>28</v>
      </c>
      <c r="D747" s="111">
        <v>3</v>
      </c>
      <c r="E747" s="118" t="s">
        <v>1058</v>
      </c>
      <c r="F747" s="118" t="s">
        <v>205</v>
      </c>
      <c r="G747" s="119" t="s">
        <v>1302</v>
      </c>
      <c r="H747" s="119" t="s">
        <v>763</v>
      </c>
      <c r="I747" s="117" t="s">
        <v>1347</v>
      </c>
      <c r="J747" s="117" t="s">
        <v>1301</v>
      </c>
      <c r="K747" s="117" t="s">
        <v>1059</v>
      </c>
      <c r="L747" s="117" t="s">
        <v>1150</v>
      </c>
      <c r="M747" s="111"/>
      <c r="N747" s="122">
        <v>15072011</v>
      </c>
      <c r="O747" s="141">
        <v>750</v>
      </c>
      <c r="P747" s="228">
        <f t="shared" si="17"/>
        <v>383.46891089716388</v>
      </c>
      <c r="Q747" s="107">
        <v>0</v>
      </c>
      <c r="R747" s="107">
        <v>0</v>
      </c>
      <c r="S747" s="231"/>
      <c r="T747" s="236"/>
      <c r="U747" s="236"/>
    </row>
    <row r="748" spans="1:21" ht="72" x14ac:dyDescent="0.3">
      <c r="A748" s="117">
        <v>746</v>
      </c>
      <c r="B748" s="131">
        <v>10091</v>
      </c>
      <c r="C748" s="111">
        <v>8</v>
      </c>
      <c r="D748" s="111">
        <v>2</v>
      </c>
      <c r="E748" s="118" t="s">
        <v>1151</v>
      </c>
      <c r="F748" s="118" t="s">
        <v>194</v>
      </c>
      <c r="G748" s="119" t="s">
        <v>24</v>
      </c>
      <c r="H748" s="117" t="s">
        <v>754</v>
      </c>
      <c r="I748" s="117" t="s">
        <v>1087</v>
      </c>
      <c r="J748" s="117" t="s">
        <v>1229</v>
      </c>
      <c r="K748" s="117" t="s">
        <v>1063</v>
      </c>
      <c r="L748" s="117" t="s">
        <v>1149</v>
      </c>
      <c r="M748" s="111"/>
      <c r="N748" s="122">
        <v>5102011</v>
      </c>
      <c r="O748" s="140">
        <v>6832.37</v>
      </c>
      <c r="P748" s="227">
        <f t="shared" si="17"/>
        <v>3493.3353103286072</v>
      </c>
      <c r="Q748" s="107">
        <v>170.81</v>
      </c>
      <c r="R748" s="107">
        <v>0</v>
      </c>
      <c r="S748" s="231">
        <f>P748*0.4</f>
        <v>1397.3341241314429</v>
      </c>
      <c r="T748" s="236"/>
      <c r="U748" s="236"/>
    </row>
    <row r="749" spans="1:21" ht="72" x14ac:dyDescent="0.3">
      <c r="A749" s="117">
        <v>747</v>
      </c>
      <c r="B749" s="131">
        <v>10092</v>
      </c>
      <c r="C749" s="111">
        <v>8</v>
      </c>
      <c r="D749" s="111">
        <v>2</v>
      </c>
      <c r="E749" s="118" t="s">
        <v>1151</v>
      </c>
      <c r="F749" s="118" t="s">
        <v>194</v>
      </c>
      <c r="G749" s="119" t="s">
        <v>24</v>
      </c>
      <c r="H749" s="119" t="s">
        <v>754</v>
      </c>
      <c r="I749" s="117" t="s">
        <v>1087</v>
      </c>
      <c r="J749" s="117" t="s">
        <v>1229</v>
      </c>
      <c r="K749" s="117" t="s">
        <v>1063</v>
      </c>
      <c r="L749" s="117" t="s">
        <v>1149</v>
      </c>
      <c r="M749" s="111"/>
      <c r="N749" s="122">
        <v>5102011</v>
      </c>
      <c r="O749" s="140">
        <v>6832.37</v>
      </c>
      <c r="P749" s="227">
        <f t="shared" si="17"/>
        <v>3493.3353103286072</v>
      </c>
      <c r="Q749" s="107">
        <v>170.81</v>
      </c>
      <c r="R749" s="107">
        <v>0</v>
      </c>
      <c r="S749" s="231">
        <f>P749*0.4</f>
        <v>1397.3341241314429</v>
      </c>
      <c r="T749" s="236"/>
      <c r="U749" s="236"/>
    </row>
    <row r="750" spans="1:21" ht="72" x14ac:dyDescent="0.3">
      <c r="A750" s="117">
        <v>748</v>
      </c>
      <c r="B750" s="131">
        <v>10093</v>
      </c>
      <c r="C750" s="111">
        <v>21</v>
      </c>
      <c r="D750" s="111">
        <v>2</v>
      </c>
      <c r="E750" s="118" t="s">
        <v>1151</v>
      </c>
      <c r="F750" s="118" t="s">
        <v>203</v>
      </c>
      <c r="G750" s="119" t="s">
        <v>103</v>
      </c>
      <c r="H750" s="117" t="s">
        <v>755</v>
      </c>
      <c r="I750" s="117" t="s">
        <v>1139</v>
      </c>
      <c r="J750" s="117"/>
      <c r="K750" s="117" t="s">
        <v>1055</v>
      </c>
      <c r="L750" s="117" t="s">
        <v>1148</v>
      </c>
      <c r="M750" s="121"/>
      <c r="N750" s="121">
        <v>40862</v>
      </c>
      <c r="O750" s="140">
        <v>91470.26</v>
      </c>
      <c r="P750" s="227">
        <f t="shared" si="17"/>
        <v>46768.001308907216</v>
      </c>
      <c r="Q750" s="107">
        <v>2286.7600000000002</v>
      </c>
      <c r="R750" s="107">
        <v>0</v>
      </c>
      <c r="S750" s="231"/>
      <c r="T750" s="236"/>
      <c r="U750" s="236"/>
    </row>
    <row r="751" spans="1:21" ht="158.4" x14ac:dyDescent="0.3">
      <c r="A751" s="117">
        <v>749</v>
      </c>
      <c r="B751" s="131">
        <v>10094</v>
      </c>
      <c r="C751" s="111">
        <v>55</v>
      </c>
      <c r="D751" s="111">
        <v>6</v>
      </c>
      <c r="E751" s="118" t="s">
        <v>1158</v>
      </c>
      <c r="F751" s="118" t="s">
        <v>1156</v>
      </c>
      <c r="G751" s="119" t="s">
        <v>620</v>
      </c>
      <c r="H751" s="119" t="s">
        <v>761</v>
      </c>
      <c r="I751" s="117"/>
      <c r="J751" s="117"/>
      <c r="K751" s="117" t="s">
        <v>1077</v>
      </c>
      <c r="L751" s="117" t="s">
        <v>1150</v>
      </c>
      <c r="M751" s="111"/>
      <c r="N751" s="122">
        <v>5032013</v>
      </c>
      <c r="O751" s="108">
        <f>199494.66+20000</f>
        <v>219494.66</v>
      </c>
      <c r="P751" s="229">
        <f t="shared" si="17"/>
        <v>112225.83762392438</v>
      </c>
      <c r="Q751" s="107">
        <v>0</v>
      </c>
      <c r="R751" s="107">
        <v>0</v>
      </c>
      <c r="S751" s="231"/>
      <c r="T751" s="236"/>
      <c r="U751" s="236"/>
    </row>
    <row r="752" spans="1:21" ht="72" x14ac:dyDescent="0.3">
      <c r="A752" s="117">
        <v>750</v>
      </c>
      <c r="B752" s="131">
        <v>10096</v>
      </c>
      <c r="C752" s="111">
        <v>8</v>
      </c>
      <c r="D752" s="111">
        <v>2</v>
      </c>
      <c r="E752" s="118" t="s">
        <v>1151</v>
      </c>
      <c r="F752" s="118" t="s">
        <v>194</v>
      </c>
      <c r="G752" s="119" t="s">
        <v>97</v>
      </c>
      <c r="H752" s="119" t="s">
        <v>764</v>
      </c>
      <c r="I752" s="117" t="s">
        <v>1087</v>
      </c>
      <c r="J752" s="117" t="s">
        <v>1233</v>
      </c>
      <c r="K752" s="117" t="s">
        <v>1063</v>
      </c>
      <c r="L752" s="117" t="s">
        <v>1149</v>
      </c>
      <c r="M752" s="111"/>
      <c r="N752" s="122">
        <v>8042013</v>
      </c>
      <c r="O752" s="141">
        <v>2816</v>
      </c>
      <c r="P752" s="228">
        <f t="shared" si="17"/>
        <v>1439.7979374485512</v>
      </c>
      <c r="Q752" s="107">
        <v>0</v>
      </c>
      <c r="R752" s="107">
        <v>0</v>
      </c>
      <c r="S752" s="231">
        <f>P752*0.4</f>
        <v>575.91917497942052</v>
      </c>
      <c r="T752" s="236"/>
      <c r="U752" s="236"/>
    </row>
    <row r="753" spans="1:21" ht="72" x14ac:dyDescent="0.3">
      <c r="A753" s="117">
        <v>751</v>
      </c>
      <c r="B753" s="131">
        <v>10097</v>
      </c>
      <c r="C753" s="111">
        <v>8</v>
      </c>
      <c r="D753" s="111">
        <v>2</v>
      </c>
      <c r="E753" s="118" t="s">
        <v>1151</v>
      </c>
      <c r="F753" s="118" t="s">
        <v>194</v>
      </c>
      <c r="G753" s="119" t="s">
        <v>97</v>
      </c>
      <c r="H753" s="119" t="s">
        <v>764</v>
      </c>
      <c r="I753" s="117" t="s">
        <v>1087</v>
      </c>
      <c r="J753" s="117" t="s">
        <v>1233</v>
      </c>
      <c r="K753" s="117" t="s">
        <v>1059</v>
      </c>
      <c r="L753" s="117" t="s">
        <v>1150</v>
      </c>
      <c r="M753" s="111"/>
      <c r="N753" s="122">
        <v>8042013</v>
      </c>
      <c r="O753" s="141">
        <v>2816</v>
      </c>
      <c r="P753" s="228">
        <f t="shared" si="17"/>
        <v>1439.7979374485512</v>
      </c>
      <c r="Q753" s="107">
        <v>0</v>
      </c>
      <c r="R753" s="107">
        <v>0</v>
      </c>
      <c r="S753" s="231"/>
      <c r="T753" s="236"/>
      <c r="U753" s="236"/>
    </row>
    <row r="754" spans="1:21" ht="72" x14ac:dyDescent="0.3">
      <c r="A754" s="117">
        <v>752</v>
      </c>
      <c r="B754" s="131">
        <v>10098</v>
      </c>
      <c r="C754" s="111">
        <v>27</v>
      </c>
      <c r="D754" s="111">
        <v>2</v>
      </c>
      <c r="E754" s="118" t="s">
        <v>1151</v>
      </c>
      <c r="F754" s="118" t="s">
        <v>204</v>
      </c>
      <c r="G754" s="119" t="s">
        <v>1296</v>
      </c>
      <c r="H754" s="119" t="s">
        <v>765</v>
      </c>
      <c r="I754" s="117"/>
      <c r="J754" s="117"/>
      <c r="K754" s="117" t="s">
        <v>1067</v>
      </c>
      <c r="L754" s="117" t="s">
        <v>1150</v>
      </c>
      <c r="M754" s="111"/>
      <c r="N754" s="122">
        <v>8042013</v>
      </c>
      <c r="O754" s="141">
        <v>5736</v>
      </c>
      <c r="P754" s="228">
        <f t="shared" si="17"/>
        <v>2932.7702305415091</v>
      </c>
      <c r="Q754" s="107">
        <v>0</v>
      </c>
      <c r="R754" s="107">
        <v>0</v>
      </c>
      <c r="S754" s="231"/>
      <c r="T754" s="236"/>
      <c r="U754" s="236"/>
    </row>
    <row r="755" spans="1:21" ht="72" x14ac:dyDescent="0.3">
      <c r="A755" s="117">
        <v>753</v>
      </c>
      <c r="B755" s="131">
        <v>10099</v>
      </c>
      <c r="C755" s="111">
        <v>1</v>
      </c>
      <c r="D755" s="111">
        <v>1</v>
      </c>
      <c r="E755" s="118" t="s">
        <v>1163</v>
      </c>
      <c r="F755" s="118" t="s">
        <v>190</v>
      </c>
      <c r="G755" s="119" t="s">
        <v>15</v>
      </c>
      <c r="H755" s="119" t="s">
        <v>709</v>
      </c>
      <c r="I755" s="117" t="s">
        <v>6</v>
      </c>
      <c r="J755" s="117" t="s">
        <v>1072</v>
      </c>
      <c r="K755" s="117" t="s">
        <v>1061</v>
      </c>
      <c r="L755" s="117" t="s">
        <v>1150</v>
      </c>
      <c r="M755" s="111"/>
      <c r="N755" s="122">
        <v>8042013</v>
      </c>
      <c r="O755" s="140">
        <v>17584.5</v>
      </c>
      <c r="P755" s="227">
        <f t="shared" si="17"/>
        <v>8990.8120848949038</v>
      </c>
      <c r="Q755" s="107">
        <v>0</v>
      </c>
      <c r="R755" s="107">
        <v>0</v>
      </c>
      <c r="S755" s="231"/>
      <c r="T755" s="236"/>
      <c r="U755" s="236"/>
    </row>
    <row r="756" spans="1:21" ht="72" x14ac:dyDescent="0.3">
      <c r="A756" s="117">
        <v>754</v>
      </c>
      <c r="B756" s="131">
        <v>10100</v>
      </c>
      <c r="C756" s="111">
        <v>1</v>
      </c>
      <c r="D756" s="111">
        <v>1</v>
      </c>
      <c r="E756" s="118" t="s">
        <v>1163</v>
      </c>
      <c r="F756" s="118" t="s">
        <v>190</v>
      </c>
      <c r="G756" s="119" t="s">
        <v>15</v>
      </c>
      <c r="H756" s="119" t="s">
        <v>709</v>
      </c>
      <c r="I756" s="117" t="s">
        <v>6</v>
      </c>
      <c r="J756" s="117" t="s">
        <v>1072</v>
      </c>
      <c r="K756" s="117" t="s">
        <v>1066</v>
      </c>
      <c r="L756" s="117" t="s">
        <v>1149</v>
      </c>
      <c r="M756" s="111"/>
      <c r="N756" s="122">
        <v>8042013</v>
      </c>
      <c r="O756" s="140">
        <v>17584.5</v>
      </c>
      <c r="P756" s="227">
        <f t="shared" si="17"/>
        <v>8990.8120848949038</v>
      </c>
      <c r="Q756" s="107">
        <v>0</v>
      </c>
      <c r="R756" s="107">
        <v>0</v>
      </c>
      <c r="S756" s="231">
        <f>P756*0.4</f>
        <v>3596.3248339579618</v>
      </c>
      <c r="T756" s="236"/>
      <c r="U756" s="236"/>
    </row>
    <row r="757" spans="1:21" ht="57.6" x14ac:dyDescent="0.3">
      <c r="A757" s="117">
        <v>755</v>
      </c>
      <c r="B757" s="131">
        <v>10101</v>
      </c>
      <c r="C757" s="111">
        <v>17</v>
      </c>
      <c r="D757" s="111">
        <v>4</v>
      </c>
      <c r="E757" s="118" t="s">
        <v>1353</v>
      </c>
      <c r="F757" s="118" t="s">
        <v>202</v>
      </c>
      <c r="G757" s="119" t="s">
        <v>376</v>
      </c>
      <c r="H757" s="117" t="s">
        <v>757</v>
      </c>
      <c r="I757" s="117" t="s">
        <v>1281</v>
      </c>
      <c r="J757" s="117"/>
      <c r="K757" s="117" t="s">
        <v>1067</v>
      </c>
      <c r="L757" s="117" t="s">
        <v>1150</v>
      </c>
      <c r="M757" s="111"/>
      <c r="N757" s="122">
        <v>30042013</v>
      </c>
      <c r="O757" s="141">
        <v>13909</v>
      </c>
      <c r="P757" s="228">
        <f t="shared" si="17"/>
        <v>7111.5587755582028</v>
      </c>
      <c r="Q757" s="107">
        <v>0</v>
      </c>
      <c r="R757" s="107">
        <v>0</v>
      </c>
      <c r="S757" s="231"/>
      <c r="T757" s="236"/>
      <c r="U757" s="236"/>
    </row>
    <row r="758" spans="1:21" ht="57.6" x14ac:dyDescent="0.3">
      <c r="A758" s="117">
        <v>756</v>
      </c>
      <c r="B758" s="131">
        <v>10102</v>
      </c>
      <c r="C758" s="111">
        <v>16</v>
      </c>
      <c r="D758" s="111">
        <v>4</v>
      </c>
      <c r="E758" s="118" t="s">
        <v>1353</v>
      </c>
      <c r="F758" s="118" t="s">
        <v>201</v>
      </c>
      <c r="G758" s="119" t="s">
        <v>1198</v>
      </c>
      <c r="H758" s="118" t="s">
        <v>766</v>
      </c>
      <c r="I758" s="117" t="s">
        <v>1103</v>
      </c>
      <c r="J758" s="117" t="s">
        <v>1136</v>
      </c>
      <c r="K758" s="117" t="s">
        <v>1052</v>
      </c>
      <c r="L758" s="117" t="s">
        <v>1150</v>
      </c>
      <c r="M758" s="111"/>
      <c r="N758" s="122">
        <v>30042013</v>
      </c>
      <c r="O758" s="141">
        <v>7921</v>
      </c>
      <c r="P758" s="228">
        <f t="shared" si="17"/>
        <v>4049.9429909552468</v>
      </c>
      <c r="Q758" s="107">
        <v>0</v>
      </c>
      <c r="R758" s="107">
        <v>0</v>
      </c>
      <c r="S758" s="231"/>
      <c r="T758" s="236"/>
      <c r="U758" s="236"/>
    </row>
    <row r="759" spans="1:21" ht="72" x14ac:dyDescent="0.3">
      <c r="A759" s="117">
        <v>757</v>
      </c>
      <c r="B759" s="131">
        <v>10103</v>
      </c>
      <c r="C759" s="111">
        <v>2</v>
      </c>
      <c r="D759" s="111">
        <v>1</v>
      </c>
      <c r="E759" s="118" t="s">
        <v>1163</v>
      </c>
      <c r="F759" s="118" t="s">
        <v>191</v>
      </c>
      <c r="G759" s="118" t="s">
        <v>569</v>
      </c>
      <c r="H759" s="117" t="s">
        <v>758</v>
      </c>
      <c r="I759" s="117" t="s">
        <v>1215</v>
      </c>
      <c r="J759" s="117" t="s">
        <v>1096</v>
      </c>
      <c r="K759" s="117" t="s">
        <v>1061</v>
      </c>
      <c r="L759" s="117" t="s">
        <v>1150</v>
      </c>
      <c r="M759" s="111"/>
      <c r="N759" s="122">
        <v>6122014</v>
      </c>
      <c r="O759" s="141">
        <v>2200</v>
      </c>
      <c r="P759" s="228">
        <f t="shared" si="17"/>
        <v>1124.8421386316807</v>
      </c>
      <c r="Q759" s="107">
        <v>0</v>
      </c>
      <c r="R759" s="107">
        <v>0</v>
      </c>
      <c r="S759" s="231"/>
      <c r="T759" s="236"/>
      <c r="U759" s="236"/>
    </row>
    <row r="760" spans="1:21" ht="72" x14ac:dyDescent="0.3">
      <c r="A760" s="117">
        <v>758</v>
      </c>
      <c r="B760" s="131">
        <v>10104</v>
      </c>
      <c r="C760" s="111">
        <v>50</v>
      </c>
      <c r="D760" s="111">
        <v>2</v>
      </c>
      <c r="E760" s="118" t="s">
        <v>1151</v>
      </c>
      <c r="F760" s="118" t="s">
        <v>588</v>
      </c>
      <c r="G760" s="119" t="s">
        <v>105</v>
      </c>
      <c r="H760" s="119" t="s">
        <v>759</v>
      </c>
      <c r="I760" s="117"/>
      <c r="J760" s="117"/>
      <c r="K760" s="117" t="s">
        <v>1059</v>
      </c>
      <c r="L760" s="117" t="s">
        <v>1150</v>
      </c>
      <c r="M760" s="111"/>
      <c r="N760" s="122">
        <v>11022015</v>
      </c>
      <c r="O760" s="141">
        <v>1720</v>
      </c>
      <c r="P760" s="228">
        <f t="shared" si="17"/>
        <v>879.42203565749583</v>
      </c>
      <c r="Q760" s="107">
        <v>0</v>
      </c>
      <c r="R760" s="107">
        <v>0</v>
      </c>
      <c r="S760" s="231"/>
      <c r="T760" s="236"/>
      <c r="U760" s="236"/>
    </row>
    <row r="761" spans="1:21" ht="72" x14ac:dyDescent="0.3">
      <c r="A761" s="117">
        <v>759</v>
      </c>
      <c r="B761" s="131">
        <v>10105</v>
      </c>
      <c r="C761" s="111">
        <v>9</v>
      </c>
      <c r="D761" s="111">
        <v>2</v>
      </c>
      <c r="E761" s="118" t="s">
        <v>1151</v>
      </c>
      <c r="F761" s="118" t="s">
        <v>195</v>
      </c>
      <c r="G761" s="119" t="s">
        <v>106</v>
      </c>
      <c r="H761" s="117" t="s">
        <v>760</v>
      </c>
      <c r="I761" s="117" t="s">
        <v>1140</v>
      </c>
      <c r="J761" s="117" t="s">
        <v>1239</v>
      </c>
      <c r="K761" s="117" t="s">
        <v>1066</v>
      </c>
      <c r="L761" s="117" t="s">
        <v>1149</v>
      </c>
      <c r="M761" s="111"/>
      <c r="N761" s="122">
        <v>20032015</v>
      </c>
      <c r="O761" s="141">
        <v>1845</v>
      </c>
      <c r="P761" s="228">
        <f t="shared" si="17"/>
        <v>943.33352080702309</v>
      </c>
      <c r="Q761" s="107">
        <v>0</v>
      </c>
      <c r="R761" s="107">
        <v>0</v>
      </c>
      <c r="S761" s="231">
        <f>P761*0.4</f>
        <v>377.33340832280925</v>
      </c>
      <c r="T761" s="236"/>
      <c r="U761" s="236"/>
    </row>
    <row r="762" spans="1:21" ht="72" x14ac:dyDescent="0.3">
      <c r="A762" s="117">
        <v>760</v>
      </c>
      <c r="B762" s="110">
        <v>10107</v>
      </c>
      <c r="C762" s="111">
        <v>5</v>
      </c>
      <c r="D762" s="111">
        <v>2</v>
      </c>
      <c r="E762" s="118" t="s">
        <v>1151</v>
      </c>
      <c r="F762" s="118" t="s">
        <v>212</v>
      </c>
      <c r="G762" s="118" t="s">
        <v>83</v>
      </c>
      <c r="H762" s="118" t="s">
        <v>649</v>
      </c>
      <c r="I762" s="117" t="s">
        <v>1218</v>
      </c>
      <c r="J762" s="117" t="s">
        <v>1068</v>
      </c>
      <c r="K762" s="117" t="s">
        <v>1052</v>
      </c>
      <c r="L762" s="117" t="s">
        <v>1150</v>
      </c>
      <c r="M762" s="111"/>
      <c r="N762" s="122">
        <v>15122015</v>
      </c>
      <c r="O762" s="141">
        <v>6600</v>
      </c>
      <c r="P762" s="228">
        <f t="shared" si="17"/>
        <v>3374.5264158950422</v>
      </c>
      <c r="Q762" s="107">
        <v>0</v>
      </c>
      <c r="R762" s="107">
        <v>0</v>
      </c>
      <c r="S762" s="231"/>
      <c r="T762" s="236"/>
      <c r="U762" s="236"/>
    </row>
    <row r="763" spans="1:21" ht="72" x14ac:dyDescent="0.3">
      <c r="A763" s="117">
        <v>761</v>
      </c>
      <c r="B763" s="110">
        <v>10108</v>
      </c>
      <c r="C763" s="111">
        <v>5</v>
      </c>
      <c r="D763" s="111">
        <v>2</v>
      </c>
      <c r="E763" s="118" t="s">
        <v>1151</v>
      </c>
      <c r="F763" s="118" t="s">
        <v>212</v>
      </c>
      <c r="G763" s="118" t="s">
        <v>83</v>
      </c>
      <c r="H763" s="118" t="s">
        <v>649</v>
      </c>
      <c r="I763" s="117" t="s">
        <v>1218</v>
      </c>
      <c r="J763" s="117" t="s">
        <v>1068</v>
      </c>
      <c r="K763" s="117" t="s">
        <v>1063</v>
      </c>
      <c r="L763" s="117" t="s">
        <v>1149</v>
      </c>
      <c r="M763" s="111"/>
      <c r="N763" s="122">
        <v>15122015</v>
      </c>
      <c r="O763" s="141">
        <v>6600</v>
      </c>
      <c r="P763" s="228">
        <f t="shared" si="17"/>
        <v>3374.5264158950422</v>
      </c>
      <c r="Q763" s="107">
        <v>0</v>
      </c>
      <c r="R763" s="107">
        <v>0</v>
      </c>
      <c r="S763" s="231">
        <f>P763*0.4</f>
        <v>1349.810566358017</v>
      </c>
      <c r="T763" s="236"/>
      <c r="U763" s="236"/>
    </row>
    <row r="764" spans="1:21" ht="72" x14ac:dyDescent="0.3">
      <c r="A764" s="117">
        <v>762</v>
      </c>
      <c r="B764" s="110">
        <v>10109</v>
      </c>
      <c r="C764" s="111">
        <v>4</v>
      </c>
      <c r="D764" s="111">
        <v>3</v>
      </c>
      <c r="E764" s="118" t="s">
        <v>1058</v>
      </c>
      <c r="F764" s="118" t="s">
        <v>213</v>
      </c>
      <c r="G764" s="118" t="s">
        <v>572</v>
      </c>
      <c r="H764" s="118" t="s">
        <v>643</v>
      </c>
      <c r="I764" s="117" t="s">
        <v>1068</v>
      </c>
      <c r="J764" s="117"/>
      <c r="K764" s="117" t="s">
        <v>1059</v>
      </c>
      <c r="L764" s="117" t="s">
        <v>1150</v>
      </c>
      <c r="M764" s="111"/>
      <c r="N764" s="122">
        <v>3022016</v>
      </c>
      <c r="O764" s="141">
        <v>7980</v>
      </c>
      <c r="P764" s="228">
        <f t="shared" si="17"/>
        <v>4080.1092119458235</v>
      </c>
      <c r="Q764" s="107">
        <v>0</v>
      </c>
      <c r="R764" s="107">
        <v>0</v>
      </c>
      <c r="S764" s="231"/>
      <c r="T764" s="236"/>
      <c r="U764" s="236"/>
    </row>
    <row r="765" spans="1:21" ht="72" x14ac:dyDescent="0.3">
      <c r="A765" s="117">
        <v>763</v>
      </c>
      <c r="B765" s="110">
        <v>10110</v>
      </c>
      <c r="C765" s="111">
        <v>4</v>
      </c>
      <c r="D765" s="111">
        <v>3</v>
      </c>
      <c r="E765" s="118" t="s">
        <v>1058</v>
      </c>
      <c r="F765" s="118" t="s">
        <v>213</v>
      </c>
      <c r="G765" s="118" t="s">
        <v>572</v>
      </c>
      <c r="H765" s="118" t="s">
        <v>643</v>
      </c>
      <c r="I765" s="117" t="s">
        <v>1068</v>
      </c>
      <c r="J765" s="117"/>
      <c r="K765" s="117" t="s">
        <v>1059</v>
      </c>
      <c r="L765" s="117" t="s">
        <v>1150</v>
      </c>
      <c r="M765" s="111"/>
      <c r="N765" s="122">
        <v>3022016</v>
      </c>
      <c r="O765" s="141">
        <v>7980</v>
      </c>
      <c r="P765" s="228">
        <f t="shared" si="17"/>
        <v>4080.1092119458235</v>
      </c>
      <c r="Q765" s="107">
        <v>0</v>
      </c>
      <c r="R765" s="107">
        <v>0</v>
      </c>
      <c r="S765" s="231"/>
      <c r="T765" s="236"/>
      <c r="U765" s="236"/>
    </row>
    <row r="766" spans="1:21" ht="72" x14ac:dyDescent="0.3">
      <c r="A766" s="117">
        <v>764</v>
      </c>
      <c r="B766" s="131">
        <v>10836</v>
      </c>
      <c r="C766" s="111">
        <v>10</v>
      </c>
      <c r="D766" s="111">
        <v>2</v>
      </c>
      <c r="E766" s="118" t="s">
        <v>1151</v>
      </c>
      <c r="F766" s="118" t="s">
        <v>43</v>
      </c>
      <c r="G766" s="119" t="s">
        <v>16</v>
      </c>
      <c r="H766" s="119" t="s">
        <v>767</v>
      </c>
      <c r="I766" s="117" t="s">
        <v>1064</v>
      </c>
      <c r="J766" s="117" t="s">
        <v>1065</v>
      </c>
      <c r="K766" s="117" t="s">
        <v>1063</v>
      </c>
      <c r="L766" s="117" t="s">
        <v>1149</v>
      </c>
      <c r="M766" s="111"/>
      <c r="N766" s="122"/>
      <c r="O766" s="141">
        <v>17100</v>
      </c>
      <c r="P766" s="228">
        <f t="shared" si="17"/>
        <v>8743.0911684553357</v>
      </c>
      <c r="Q766" s="107">
        <v>0</v>
      </c>
      <c r="R766" s="107">
        <v>0</v>
      </c>
      <c r="S766" s="231">
        <f>P766*0.4</f>
        <v>3497.2364673821344</v>
      </c>
      <c r="T766" s="236"/>
      <c r="U766" s="236"/>
    </row>
    <row r="767" spans="1:21" ht="72" x14ac:dyDescent="0.3">
      <c r="A767" s="117">
        <v>765</v>
      </c>
      <c r="B767" s="110">
        <v>10837</v>
      </c>
      <c r="C767" s="111">
        <v>27</v>
      </c>
      <c r="D767" s="111">
        <v>2</v>
      </c>
      <c r="E767" s="118" t="s">
        <v>1151</v>
      </c>
      <c r="F767" s="118" t="s">
        <v>204</v>
      </c>
      <c r="G767" s="118" t="s">
        <v>581</v>
      </c>
      <c r="H767" s="118" t="s">
        <v>768</v>
      </c>
      <c r="I767" s="117"/>
      <c r="J767" s="117"/>
      <c r="K767" s="117" t="s">
        <v>1052</v>
      </c>
      <c r="L767" s="117" t="s">
        <v>1150</v>
      </c>
      <c r="M767" s="111"/>
      <c r="N767" s="122"/>
      <c r="O767" s="141">
        <v>18000</v>
      </c>
      <c r="P767" s="228">
        <f t="shared" si="17"/>
        <v>9203.2538615319336</v>
      </c>
      <c r="Q767" s="107">
        <v>0</v>
      </c>
      <c r="R767" s="107">
        <v>0</v>
      </c>
      <c r="S767" s="231"/>
      <c r="T767" s="236"/>
      <c r="U767" s="236"/>
    </row>
    <row r="768" spans="1:21" ht="72" x14ac:dyDescent="0.3">
      <c r="A768" s="117">
        <v>766</v>
      </c>
      <c r="B768" s="131">
        <v>20001</v>
      </c>
      <c r="C768" s="111">
        <v>1</v>
      </c>
      <c r="D768" s="111">
        <v>1</v>
      </c>
      <c r="E768" s="118" t="s">
        <v>1163</v>
      </c>
      <c r="F768" s="118" t="s">
        <v>190</v>
      </c>
      <c r="G768" s="119" t="s">
        <v>87</v>
      </c>
      <c r="H768" s="119" t="s">
        <v>701</v>
      </c>
      <c r="I768" s="117"/>
      <c r="J768" s="117"/>
      <c r="K768" s="117" t="s">
        <v>1067</v>
      </c>
      <c r="L768" s="117" t="s">
        <v>1150</v>
      </c>
      <c r="M768" s="111"/>
      <c r="N768" s="122">
        <v>1032011</v>
      </c>
      <c r="O768" s="140">
        <v>2366.5500000000002</v>
      </c>
      <c r="P768" s="227">
        <f t="shared" si="17"/>
        <v>1209.9978014449109</v>
      </c>
      <c r="Q768" s="107">
        <v>0</v>
      </c>
      <c r="R768" s="107">
        <v>0</v>
      </c>
      <c r="S768" s="231"/>
      <c r="T768" s="236"/>
      <c r="U768" s="236"/>
    </row>
    <row r="769" spans="1:21" ht="72" x14ac:dyDescent="0.3">
      <c r="A769" s="117">
        <v>767</v>
      </c>
      <c r="B769" s="131">
        <v>20002</v>
      </c>
      <c r="C769" s="111">
        <v>1</v>
      </c>
      <c r="D769" s="111">
        <v>1</v>
      </c>
      <c r="E769" s="118" t="s">
        <v>1163</v>
      </c>
      <c r="F769" s="118" t="s">
        <v>190</v>
      </c>
      <c r="G769" s="119" t="s">
        <v>87</v>
      </c>
      <c r="H769" s="119" t="s">
        <v>701</v>
      </c>
      <c r="I769" s="117"/>
      <c r="J769" s="117"/>
      <c r="K769" s="117" t="s">
        <v>1059</v>
      </c>
      <c r="L769" s="117" t="s">
        <v>1150</v>
      </c>
      <c r="M769" s="111"/>
      <c r="N769" s="122">
        <v>1032011</v>
      </c>
      <c r="O769" s="140">
        <v>2366.5500000000002</v>
      </c>
      <c r="P769" s="227">
        <f t="shared" si="17"/>
        <v>1209.9978014449109</v>
      </c>
      <c r="Q769" s="107">
        <v>0</v>
      </c>
      <c r="R769" s="107">
        <v>0</v>
      </c>
      <c r="S769" s="231"/>
      <c r="T769" s="236"/>
      <c r="U769" s="236"/>
    </row>
    <row r="770" spans="1:21" ht="72" x14ac:dyDescent="0.3">
      <c r="A770" s="117">
        <v>768</v>
      </c>
      <c r="B770" s="131">
        <v>20003</v>
      </c>
      <c r="C770" s="111">
        <v>1</v>
      </c>
      <c r="D770" s="111">
        <v>1</v>
      </c>
      <c r="E770" s="118" t="s">
        <v>1163</v>
      </c>
      <c r="F770" s="118" t="s">
        <v>190</v>
      </c>
      <c r="G770" s="119" t="s">
        <v>87</v>
      </c>
      <c r="H770" s="119" t="s">
        <v>701</v>
      </c>
      <c r="I770" s="117"/>
      <c r="J770" s="117"/>
      <c r="K770" s="117" t="s">
        <v>1061</v>
      </c>
      <c r="L770" s="117" t="s">
        <v>1150</v>
      </c>
      <c r="M770" s="111"/>
      <c r="N770" s="122">
        <v>1032011</v>
      </c>
      <c r="O770" s="140">
        <v>2366.5500000000002</v>
      </c>
      <c r="P770" s="227">
        <f t="shared" si="17"/>
        <v>1209.9978014449109</v>
      </c>
      <c r="Q770" s="107">
        <v>0</v>
      </c>
      <c r="R770" s="107">
        <v>0</v>
      </c>
      <c r="S770" s="231"/>
      <c r="T770" s="236"/>
      <c r="U770" s="236"/>
    </row>
    <row r="771" spans="1:21" ht="72" x14ac:dyDescent="0.3">
      <c r="A771" s="117">
        <v>769</v>
      </c>
      <c r="B771" s="131">
        <v>20005</v>
      </c>
      <c r="C771" s="111">
        <v>1</v>
      </c>
      <c r="D771" s="111">
        <v>1</v>
      </c>
      <c r="E771" s="118" t="s">
        <v>1163</v>
      </c>
      <c r="F771" s="118" t="s">
        <v>190</v>
      </c>
      <c r="G771" s="119" t="s">
        <v>87</v>
      </c>
      <c r="H771" s="119" t="s">
        <v>701</v>
      </c>
      <c r="I771" s="117"/>
      <c r="J771" s="117"/>
      <c r="K771" s="117" t="s">
        <v>1061</v>
      </c>
      <c r="L771" s="117" t="s">
        <v>1150</v>
      </c>
      <c r="M771" s="111"/>
      <c r="N771" s="122">
        <v>1032011</v>
      </c>
      <c r="O771" s="140">
        <v>2366.5500000000002</v>
      </c>
      <c r="P771" s="227">
        <f t="shared" si="17"/>
        <v>1209.9978014449109</v>
      </c>
      <c r="Q771" s="107">
        <v>0</v>
      </c>
      <c r="R771" s="107">
        <v>0</v>
      </c>
      <c r="S771" s="231"/>
      <c r="T771" s="236"/>
      <c r="U771" s="236"/>
    </row>
    <row r="772" spans="1:21" ht="72" x14ac:dyDescent="0.3">
      <c r="A772" s="117">
        <v>770</v>
      </c>
      <c r="B772" s="131">
        <v>20006</v>
      </c>
      <c r="C772" s="111">
        <v>1</v>
      </c>
      <c r="D772" s="111">
        <v>1</v>
      </c>
      <c r="E772" s="118" t="s">
        <v>1163</v>
      </c>
      <c r="F772" s="118" t="s">
        <v>190</v>
      </c>
      <c r="G772" s="119" t="s">
        <v>87</v>
      </c>
      <c r="H772" s="119" t="s">
        <v>701</v>
      </c>
      <c r="I772" s="117"/>
      <c r="J772" s="117"/>
      <c r="K772" s="117" t="s">
        <v>1052</v>
      </c>
      <c r="L772" s="117" t="s">
        <v>1150</v>
      </c>
      <c r="M772" s="111"/>
      <c r="N772" s="122">
        <v>1032011</v>
      </c>
      <c r="O772" s="140">
        <v>2366.5500000000002</v>
      </c>
      <c r="P772" s="227">
        <f t="shared" ref="P772:P835" si="18">O772/$P$1</f>
        <v>1209.9978014449109</v>
      </c>
      <c r="Q772" s="107">
        <v>0</v>
      </c>
      <c r="R772" s="107">
        <v>0</v>
      </c>
      <c r="S772" s="231"/>
      <c r="T772" s="236"/>
      <c r="U772" s="236"/>
    </row>
    <row r="773" spans="1:21" ht="72" x14ac:dyDescent="0.3">
      <c r="A773" s="117">
        <v>771</v>
      </c>
      <c r="B773" s="131">
        <v>20007</v>
      </c>
      <c r="C773" s="111">
        <v>1</v>
      </c>
      <c r="D773" s="111">
        <v>1</v>
      </c>
      <c r="E773" s="118" t="s">
        <v>1163</v>
      </c>
      <c r="F773" s="118" t="s">
        <v>190</v>
      </c>
      <c r="G773" s="119" t="s">
        <v>87</v>
      </c>
      <c r="H773" s="119" t="s">
        <v>701</v>
      </c>
      <c r="I773" s="117"/>
      <c r="J773" s="117"/>
      <c r="K773" s="117" t="s">
        <v>1052</v>
      </c>
      <c r="L773" s="117" t="s">
        <v>1150</v>
      </c>
      <c r="M773" s="111"/>
      <c r="N773" s="122">
        <v>1032011</v>
      </c>
      <c r="O773" s="140">
        <v>2366.5500000000002</v>
      </c>
      <c r="P773" s="227">
        <f t="shared" si="18"/>
        <v>1209.9978014449109</v>
      </c>
      <c r="Q773" s="107">
        <v>0</v>
      </c>
      <c r="R773" s="107">
        <v>0</v>
      </c>
      <c r="S773" s="231"/>
      <c r="T773" s="236"/>
      <c r="U773" s="236"/>
    </row>
    <row r="774" spans="1:21" ht="72" x14ac:dyDescent="0.3">
      <c r="A774" s="117">
        <v>772</v>
      </c>
      <c r="B774" s="131">
        <v>20008</v>
      </c>
      <c r="C774" s="111">
        <v>1</v>
      </c>
      <c r="D774" s="111">
        <v>1</v>
      </c>
      <c r="E774" s="118" t="s">
        <v>1163</v>
      </c>
      <c r="F774" s="118" t="s">
        <v>190</v>
      </c>
      <c r="G774" s="119" t="s">
        <v>87</v>
      </c>
      <c r="H774" s="119" t="s">
        <v>701</v>
      </c>
      <c r="I774" s="117"/>
      <c r="J774" s="117"/>
      <c r="K774" s="117" t="s">
        <v>1059</v>
      </c>
      <c r="L774" s="117" t="s">
        <v>1150</v>
      </c>
      <c r="M774" s="111"/>
      <c r="N774" s="122">
        <v>1032011</v>
      </c>
      <c r="O774" s="140">
        <v>2366.5500000000002</v>
      </c>
      <c r="P774" s="227">
        <f t="shared" si="18"/>
        <v>1209.9978014449109</v>
      </c>
      <c r="Q774" s="107">
        <v>0</v>
      </c>
      <c r="R774" s="107">
        <v>0</v>
      </c>
      <c r="S774" s="231"/>
      <c r="T774" s="236"/>
      <c r="U774" s="236"/>
    </row>
    <row r="775" spans="1:21" ht="72" x14ac:dyDescent="0.3">
      <c r="A775" s="117">
        <v>773</v>
      </c>
      <c r="B775" s="131">
        <v>20009</v>
      </c>
      <c r="C775" s="111">
        <v>1</v>
      </c>
      <c r="D775" s="111">
        <v>1</v>
      </c>
      <c r="E775" s="118" t="s">
        <v>1163</v>
      </c>
      <c r="F775" s="118" t="s">
        <v>190</v>
      </c>
      <c r="G775" s="119" t="s">
        <v>87</v>
      </c>
      <c r="H775" s="119" t="s">
        <v>701</v>
      </c>
      <c r="I775" s="117"/>
      <c r="J775" s="117"/>
      <c r="K775" s="117" t="s">
        <v>1067</v>
      </c>
      <c r="L775" s="117" t="s">
        <v>1150</v>
      </c>
      <c r="M775" s="111"/>
      <c r="N775" s="122">
        <v>1032011</v>
      </c>
      <c r="O775" s="140">
        <v>2366.5500000000002</v>
      </c>
      <c r="P775" s="227">
        <f t="shared" si="18"/>
        <v>1209.9978014449109</v>
      </c>
      <c r="Q775" s="107">
        <v>0</v>
      </c>
      <c r="R775" s="107">
        <v>0</v>
      </c>
      <c r="S775" s="231"/>
      <c r="T775" s="236"/>
      <c r="U775" s="236"/>
    </row>
    <row r="776" spans="1:21" ht="72" x14ac:dyDescent="0.3">
      <c r="A776" s="117">
        <v>774</v>
      </c>
      <c r="B776" s="131">
        <v>20010</v>
      </c>
      <c r="C776" s="111">
        <v>1</v>
      </c>
      <c r="D776" s="111">
        <v>1</v>
      </c>
      <c r="E776" s="118" t="s">
        <v>1163</v>
      </c>
      <c r="F776" s="118" t="s">
        <v>190</v>
      </c>
      <c r="G776" s="119" t="s">
        <v>87</v>
      </c>
      <c r="H776" s="119" t="s">
        <v>701</v>
      </c>
      <c r="I776" s="117"/>
      <c r="J776" s="117"/>
      <c r="K776" s="117" t="s">
        <v>1067</v>
      </c>
      <c r="L776" s="117" t="s">
        <v>1150</v>
      </c>
      <c r="M776" s="111"/>
      <c r="N776" s="122">
        <v>1032011</v>
      </c>
      <c r="O776" s="140">
        <v>2366.5500000000002</v>
      </c>
      <c r="P776" s="227">
        <f t="shared" si="18"/>
        <v>1209.9978014449109</v>
      </c>
      <c r="Q776" s="107">
        <v>0</v>
      </c>
      <c r="R776" s="107">
        <v>0</v>
      </c>
      <c r="S776" s="231"/>
      <c r="T776" s="236"/>
      <c r="U776" s="236"/>
    </row>
    <row r="777" spans="1:21" ht="72" x14ac:dyDescent="0.3">
      <c r="A777" s="117">
        <v>775</v>
      </c>
      <c r="B777" s="131">
        <v>20011</v>
      </c>
      <c r="C777" s="111">
        <v>1</v>
      </c>
      <c r="D777" s="111">
        <v>1</v>
      </c>
      <c r="E777" s="118" t="s">
        <v>1163</v>
      </c>
      <c r="F777" s="118" t="s">
        <v>190</v>
      </c>
      <c r="G777" s="119" t="s">
        <v>87</v>
      </c>
      <c r="H777" s="119" t="s">
        <v>701</v>
      </c>
      <c r="I777" s="117"/>
      <c r="J777" s="117"/>
      <c r="K777" s="117" t="s">
        <v>1067</v>
      </c>
      <c r="L777" s="117" t="s">
        <v>1150</v>
      </c>
      <c r="M777" s="111"/>
      <c r="N777" s="122">
        <v>1032011</v>
      </c>
      <c r="O777" s="140">
        <v>2366.5500000000002</v>
      </c>
      <c r="P777" s="227">
        <f t="shared" si="18"/>
        <v>1209.9978014449109</v>
      </c>
      <c r="Q777" s="107">
        <v>0</v>
      </c>
      <c r="R777" s="107">
        <v>0</v>
      </c>
      <c r="S777" s="231"/>
      <c r="T777" s="236"/>
      <c r="U777" s="236"/>
    </row>
    <row r="778" spans="1:21" ht="72" x14ac:dyDescent="0.3">
      <c r="A778" s="117">
        <v>776</v>
      </c>
      <c r="B778" s="131">
        <v>20012</v>
      </c>
      <c r="C778" s="111">
        <v>1</v>
      </c>
      <c r="D778" s="111">
        <v>1</v>
      </c>
      <c r="E778" s="118" t="s">
        <v>1163</v>
      </c>
      <c r="F778" s="118" t="s">
        <v>190</v>
      </c>
      <c r="G778" s="119" t="s">
        <v>87</v>
      </c>
      <c r="H778" s="119" t="s">
        <v>701</v>
      </c>
      <c r="I778" s="117"/>
      <c r="J778" s="117"/>
      <c r="K778" s="117" t="s">
        <v>1063</v>
      </c>
      <c r="L778" s="117" t="s">
        <v>1149</v>
      </c>
      <c r="M778" s="111"/>
      <c r="N778" s="122">
        <v>1032011</v>
      </c>
      <c r="O778" s="140">
        <v>2366.5500000000002</v>
      </c>
      <c r="P778" s="227">
        <f t="shared" si="18"/>
        <v>1209.9978014449109</v>
      </c>
      <c r="Q778" s="107">
        <v>0</v>
      </c>
      <c r="R778" s="107">
        <v>0</v>
      </c>
      <c r="S778" s="231">
        <v>205</v>
      </c>
      <c r="T778" s="236"/>
      <c r="U778" s="236"/>
    </row>
    <row r="779" spans="1:21" ht="72" x14ac:dyDescent="0.3">
      <c r="A779" s="117">
        <v>777</v>
      </c>
      <c r="B779" s="131">
        <v>20013</v>
      </c>
      <c r="C779" s="111">
        <v>1</v>
      </c>
      <c r="D779" s="111">
        <v>1</v>
      </c>
      <c r="E779" s="118" t="s">
        <v>1163</v>
      </c>
      <c r="F779" s="118" t="s">
        <v>190</v>
      </c>
      <c r="G779" s="119" t="s">
        <v>87</v>
      </c>
      <c r="H779" s="119" t="s">
        <v>701</v>
      </c>
      <c r="I779" s="117"/>
      <c r="J779" s="117"/>
      <c r="K779" s="117" t="s">
        <v>1063</v>
      </c>
      <c r="L779" s="117" t="s">
        <v>1149</v>
      </c>
      <c r="M779" s="111"/>
      <c r="N779" s="122">
        <v>1032011</v>
      </c>
      <c r="O779" s="140">
        <v>2366.5500000000002</v>
      </c>
      <c r="P779" s="227">
        <f t="shared" si="18"/>
        <v>1209.9978014449109</v>
      </c>
      <c r="Q779" s="107">
        <v>0</v>
      </c>
      <c r="R779" s="107">
        <v>0</v>
      </c>
      <c r="S779" s="231">
        <v>205</v>
      </c>
      <c r="T779" s="236"/>
      <c r="U779" s="236"/>
    </row>
    <row r="780" spans="1:21" ht="72" x14ac:dyDescent="0.3">
      <c r="A780" s="117">
        <v>778</v>
      </c>
      <c r="B780" s="131">
        <v>20014</v>
      </c>
      <c r="C780" s="111">
        <v>1</v>
      </c>
      <c r="D780" s="111">
        <v>1</v>
      </c>
      <c r="E780" s="118" t="s">
        <v>1163</v>
      </c>
      <c r="F780" s="118" t="s">
        <v>190</v>
      </c>
      <c r="G780" s="119" t="s">
        <v>87</v>
      </c>
      <c r="H780" s="119" t="s">
        <v>701</v>
      </c>
      <c r="I780" s="117"/>
      <c r="J780" s="117"/>
      <c r="K780" s="117" t="s">
        <v>1059</v>
      </c>
      <c r="L780" s="117" t="s">
        <v>1150</v>
      </c>
      <c r="M780" s="111"/>
      <c r="N780" s="122">
        <v>1032011</v>
      </c>
      <c r="O780" s="140">
        <v>2366.5500000000002</v>
      </c>
      <c r="P780" s="227">
        <f t="shared" si="18"/>
        <v>1209.9978014449109</v>
      </c>
      <c r="Q780" s="107">
        <v>0</v>
      </c>
      <c r="R780" s="107">
        <v>0</v>
      </c>
      <c r="S780" s="231"/>
      <c r="T780" s="236"/>
      <c r="U780" s="236"/>
    </row>
    <row r="781" spans="1:21" ht="72" x14ac:dyDescent="0.3">
      <c r="A781" s="117">
        <v>779</v>
      </c>
      <c r="B781" s="131">
        <v>20015</v>
      </c>
      <c r="C781" s="111">
        <v>1</v>
      </c>
      <c r="D781" s="111">
        <v>1</v>
      </c>
      <c r="E781" s="118" t="s">
        <v>1163</v>
      </c>
      <c r="F781" s="118" t="s">
        <v>190</v>
      </c>
      <c r="G781" s="119" t="s">
        <v>87</v>
      </c>
      <c r="H781" s="119" t="s">
        <v>701</v>
      </c>
      <c r="I781" s="117"/>
      <c r="J781" s="117"/>
      <c r="K781" s="117" t="s">
        <v>11</v>
      </c>
      <c r="L781" s="117" t="s">
        <v>1149</v>
      </c>
      <c r="M781" s="111"/>
      <c r="N781" s="122">
        <v>1032011</v>
      </c>
      <c r="O781" s="140">
        <v>2366.5500000000002</v>
      </c>
      <c r="P781" s="227">
        <f t="shared" si="18"/>
        <v>1209.9978014449109</v>
      </c>
      <c r="Q781" s="107">
        <v>0</v>
      </c>
      <c r="R781" s="107">
        <v>0</v>
      </c>
      <c r="S781" s="231">
        <v>205</v>
      </c>
      <c r="T781" s="236"/>
      <c r="U781" s="236"/>
    </row>
    <row r="782" spans="1:21" ht="72" x14ac:dyDescent="0.3">
      <c r="A782" s="117">
        <v>780</v>
      </c>
      <c r="B782" s="131">
        <v>20016</v>
      </c>
      <c r="C782" s="111">
        <v>1</v>
      </c>
      <c r="D782" s="111">
        <v>1</v>
      </c>
      <c r="E782" s="118" t="s">
        <v>1163</v>
      </c>
      <c r="F782" s="118" t="s">
        <v>190</v>
      </c>
      <c r="G782" s="119" t="s">
        <v>87</v>
      </c>
      <c r="H782" s="119" t="s">
        <v>701</v>
      </c>
      <c r="I782" s="117"/>
      <c r="J782" s="117"/>
      <c r="K782" s="117" t="s">
        <v>1061</v>
      </c>
      <c r="L782" s="117" t="s">
        <v>1150</v>
      </c>
      <c r="M782" s="111"/>
      <c r="N782" s="122">
        <v>1032011</v>
      </c>
      <c r="O782" s="140">
        <v>2366.5500000000002</v>
      </c>
      <c r="P782" s="227">
        <f t="shared" si="18"/>
        <v>1209.9978014449109</v>
      </c>
      <c r="Q782" s="107">
        <v>0</v>
      </c>
      <c r="R782" s="107">
        <v>0</v>
      </c>
      <c r="S782" s="231"/>
      <c r="T782" s="236"/>
      <c r="U782" s="236"/>
    </row>
    <row r="783" spans="1:21" ht="72" x14ac:dyDescent="0.3">
      <c r="A783" s="117">
        <v>781</v>
      </c>
      <c r="B783" s="131">
        <v>20020</v>
      </c>
      <c r="C783" s="111">
        <v>1</v>
      </c>
      <c r="D783" s="111">
        <v>1</v>
      </c>
      <c r="E783" s="118" t="s">
        <v>1163</v>
      </c>
      <c r="F783" s="118" t="s">
        <v>190</v>
      </c>
      <c r="G783" s="119" t="s">
        <v>87</v>
      </c>
      <c r="H783" s="119" t="s">
        <v>701</v>
      </c>
      <c r="I783" s="117"/>
      <c r="J783" s="117"/>
      <c r="K783" s="117" t="s">
        <v>1063</v>
      </c>
      <c r="L783" s="117" t="s">
        <v>1149</v>
      </c>
      <c r="M783" s="111"/>
      <c r="N783" s="122">
        <v>1032011</v>
      </c>
      <c r="O783" s="140">
        <v>2366.5500000000002</v>
      </c>
      <c r="P783" s="227">
        <f t="shared" si="18"/>
        <v>1209.9978014449109</v>
      </c>
      <c r="Q783" s="107">
        <v>0</v>
      </c>
      <c r="R783" s="107">
        <v>0</v>
      </c>
      <c r="S783" s="231">
        <v>205</v>
      </c>
      <c r="T783" s="236"/>
      <c r="U783" s="236"/>
    </row>
    <row r="784" spans="1:21" ht="72" x14ac:dyDescent="0.3">
      <c r="A784" s="117">
        <v>782</v>
      </c>
      <c r="B784" s="131">
        <v>20022</v>
      </c>
      <c r="C784" s="111">
        <v>1</v>
      </c>
      <c r="D784" s="111">
        <v>1</v>
      </c>
      <c r="E784" s="118" t="s">
        <v>1163</v>
      </c>
      <c r="F784" s="118" t="s">
        <v>190</v>
      </c>
      <c r="G784" s="119" t="s">
        <v>87</v>
      </c>
      <c r="H784" s="119" t="s">
        <v>701</v>
      </c>
      <c r="I784" s="117"/>
      <c r="J784" s="117"/>
      <c r="K784" s="117" t="s">
        <v>1061</v>
      </c>
      <c r="L784" s="117" t="s">
        <v>1150</v>
      </c>
      <c r="M784" s="111"/>
      <c r="N784" s="122">
        <v>24032011</v>
      </c>
      <c r="O784" s="140">
        <v>2366.5500000000002</v>
      </c>
      <c r="P784" s="227">
        <f t="shared" si="18"/>
        <v>1209.9978014449109</v>
      </c>
      <c r="Q784" s="107">
        <v>0</v>
      </c>
      <c r="R784" s="107">
        <v>0</v>
      </c>
      <c r="S784" s="231"/>
      <c r="T784" s="236"/>
      <c r="U784" s="236"/>
    </row>
    <row r="785" spans="1:21" ht="72" x14ac:dyDescent="0.3">
      <c r="A785" s="117">
        <v>783</v>
      </c>
      <c r="B785" s="131">
        <v>20023</v>
      </c>
      <c r="C785" s="111">
        <v>1</v>
      </c>
      <c r="D785" s="111">
        <v>1</v>
      </c>
      <c r="E785" s="118" t="s">
        <v>1163</v>
      </c>
      <c r="F785" s="118" t="s">
        <v>190</v>
      </c>
      <c r="G785" s="119" t="s">
        <v>87</v>
      </c>
      <c r="H785" s="119" t="s">
        <v>701</v>
      </c>
      <c r="I785" s="117"/>
      <c r="J785" s="117"/>
      <c r="K785" s="117" t="s">
        <v>1061</v>
      </c>
      <c r="L785" s="117" t="s">
        <v>1150</v>
      </c>
      <c r="M785" s="111"/>
      <c r="N785" s="122">
        <v>24032011</v>
      </c>
      <c r="O785" s="140">
        <v>2366.5500000000002</v>
      </c>
      <c r="P785" s="227">
        <f t="shared" si="18"/>
        <v>1209.9978014449109</v>
      </c>
      <c r="Q785" s="107">
        <v>0</v>
      </c>
      <c r="R785" s="107">
        <v>0</v>
      </c>
      <c r="S785" s="231"/>
      <c r="T785" s="236"/>
      <c r="U785" s="236"/>
    </row>
    <row r="786" spans="1:21" ht="72" x14ac:dyDescent="0.3">
      <c r="A786" s="117">
        <v>784</v>
      </c>
      <c r="B786" s="131">
        <v>20025</v>
      </c>
      <c r="C786" s="111">
        <v>1</v>
      </c>
      <c r="D786" s="111">
        <v>1</v>
      </c>
      <c r="E786" s="118" t="s">
        <v>1163</v>
      </c>
      <c r="F786" s="118" t="s">
        <v>190</v>
      </c>
      <c r="G786" s="119" t="s">
        <v>87</v>
      </c>
      <c r="H786" s="119" t="s">
        <v>701</v>
      </c>
      <c r="I786" s="117"/>
      <c r="J786" s="117"/>
      <c r="K786" s="117" t="s">
        <v>1067</v>
      </c>
      <c r="L786" s="117" t="s">
        <v>1150</v>
      </c>
      <c r="M786" s="111"/>
      <c r="N786" s="122">
        <v>24032011</v>
      </c>
      <c r="O786" s="140">
        <v>2366.5500000000002</v>
      </c>
      <c r="P786" s="227">
        <f t="shared" si="18"/>
        <v>1209.9978014449109</v>
      </c>
      <c r="Q786" s="107">
        <v>0</v>
      </c>
      <c r="R786" s="107">
        <v>0</v>
      </c>
      <c r="S786" s="231"/>
      <c r="T786" s="236"/>
      <c r="U786" s="236"/>
    </row>
    <row r="787" spans="1:21" ht="72" x14ac:dyDescent="0.3">
      <c r="A787" s="117">
        <v>785</v>
      </c>
      <c r="B787" s="131">
        <v>20027</v>
      </c>
      <c r="C787" s="111">
        <v>1</v>
      </c>
      <c r="D787" s="111">
        <v>1</v>
      </c>
      <c r="E787" s="118" t="s">
        <v>1163</v>
      </c>
      <c r="F787" s="118" t="s">
        <v>190</v>
      </c>
      <c r="G787" s="119" t="s">
        <v>87</v>
      </c>
      <c r="H787" s="119" t="s">
        <v>701</v>
      </c>
      <c r="I787" s="117"/>
      <c r="J787" s="117"/>
      <c r="K787" s="117" t="s">
        <v>1067</v>
      </c>
      <c r="L787" s="117" t="s">
        <v>1150</v>
      </c>
      <c r="M787" s="111"/>
      <c r="N787" s="122">
        <v>24032011</v>
      </c>
      <c r="O787" s="140">
        <v>2366.5500000000002</v>
      </c>
      <c r="P787" s="227">
        <f t="shared" si="18"/>
        <v>1209.9978014449109</v>
      </c>
      <c r="Q787" s="107">
        <v>0</v>
      </c>
      <c r="R787" s="107">
        <v>0</v>
      </c>
      <c r="S787" s="231"/>
      <c r="T787" s="236"/>
      <c r="U787" s="236"/>
    </row>
    <row r="788" spans="1:21" ht="72" x14ac:dyDescent="0.3">
      <c r="A788" s="117">
        <v>786</v>
      </c>
      <c r="B788" s="131">
        <v>20028</v>
      </c>
      <c r="C788" s="111">
        <v>1</v>
      </c>
      <c r="D788" s="111">
        <v>1</v>
      </c>
      <c r="E788" s="118" t="s">
        <v>1163</v>
      </c>
      <c r="F788" s="118" t="s">
        <v>190</v>
      </c>
      <c r="G788" s="119" t="s">
        <v>87</v>
      </c>
      <c r="H788" s="119" t="s">
        <v>701</v>
      </c>
      <c r="I788" s="117"/>
      <c r="J788" s="117"/>
      <c r="K788" s="117" t="s">
        <v>1052</v>
      </c>
      <c r="L788" s="117" t="s">
        <v>1150</v>
      </c>
      <c r="M788" s="111"/>
      <c r="N788" s="122">
        <v>24032011</v>
      </c>
      <c r="O788" s="140">
        <v>2366.5500000000002</v>
      </c>
      <c r="P788" s="227">
        <f t="shared" si="18"/>
        <v>1209.9978014449109</v>
      </c>
      <c r="Q788" s="107">
        <v>0</v>
      </c>
      <c r="R788" s="107">
        <v>0</v>
      </c>
      <c r="S788" s="231"/>
      <c r="T788" s="236"/>
      <c r="U788" s="236"/>
    </row>
    <row r="789" spans="1:21" ht="72" x14ac:dyDescent="0.3">
      <c r="A789" s="117">
        <v>787</v>
      </c>
      <c r="B789" s="131">
        <v>20029</v>
      </c>
      <c r="C789" s="111">
        <v>1</v>
      </c>
      <c r="D789" s="111">
        <v>1</v>
      </c>
      <c r="E789" s="118" t="s">
        <v>1163</v>
      </c>
      <c r="F789" s="118" t="s">
        <v>190</v>
      </c>
      <c r="G789" s="119" t="s">
        <v>87</v>
      </c>
      <c r="H789" s="119" t="s">
        <v>701</v>
      </c>
      <c r="I789" s="117"/>
      <c r="J789" s="117"/>
      <c r="K789" s="117" t="s">
        <v>1063</v>
      </c>
      <c r="L789" s="117" t="s">
        <v>1149</v>
      </c>
      <c r="M789" s="111"/>
      <c r="N789" s="122">
        <v>24032011</v>
      </c>
      <c r="O789" s="140">
        <v>2366.5500000000002</v>
      </c>
      <c r="P789" s="227">
        <f t="shared" si="18"/>
        <v>1209.9978014449109</v>
      </c>
      <c r="Q789" s="107">
        <v>0</v>
      </c>
      <c r="R789" s="107">
        <v>0</v>
      </c>
      <c r="S789" s="231">
        <v>205</v>
      </c>
      <c r="T789" s="236"/>
      <c r="U789" s="236"/>
    </row>
    <row r="790" spans="1:21" ht="72" x14ac:dyDescent="0.3">
      <c r="A790" s="117">
        <v>788</v>
      </c>
      <c r="B790" s="131">
        <v>20032</v>
      </c>
      <c r="C790" s="111">
        <v>1</v>
      </c>
      <c r="D790" s="111">
        <v>1</v>
      </c>
      <c r="E790" s="118" t="s">
        <v>1163</v>
      </c>
      <c r="F790" s="118" t="s">
        <v>190</v>
      </c>
      <c r="G790" s="119" t="s">
        <v>87</v>
      </c>
      <c r="H790" s="119" t="s">
        <v>701</v>
      </c>
      <c r="I790" s="117"/>
      <c r="J790" s="117"/>
      <c r="K790" s="117" t="s">
        <v>1066</v>
      </c>
      <c r="L790" s="117" t="s">
        <v>1149</v>
      </c>
      <c r="M790" s="111"/>
      <c r="N790" s="122">
        <v>24032011</v>
      </c>
      <c r="O790" s="140">
        <v>2366.5500000000002</v>
      </c>
      <c r="P790" s="227">
        <f t="shared" si="18"/>
        <v>1209.9978014449109</v>
      </c>
      <c r="Q790" s="107">
        <v>0</v>
      </c>
      <c r="R790" s="107">
        <v>0</v>
      </c>
      <c r="S790" s="231">
        <v>205</v>
      </c>
      <c r="T790" s="236"/>
      <c r="U790" s="236"/>
    </row>
    <row r="791" spans="1:21" ht="72" x14ac:dyDescent="0.3">
      <c r="A791" s="117">
        <v>789</v>
      </c>
      <c r="B791" s="131">
        <v>20033</v>
      </c>
      <c r="C791" s="111">
        <v>1</v>
      </c>
      <c r="D791" s="111">
        <v>1</v>
      </c>
      <c r="E791" s="118" t="s">
        <v>1163</v>
      </c>
      <c r="F791" s="118" t="s">
        <v>190</v>
      </c>
      <c r="G791" s="119" t="s">
        <v>87</v>
      </c>
      <c r="H791" s="119" t="s">
        <v>701</v>
      </c>
      <c r="I791" s="117"/>
      <c r="J791" s="117"/>
      <c r="K791" s="117" t="s">
        <v>1052</v>
      </c>
      <c r="L791" s="117" t="s">
        <v>1150</v>
      </c>
      <c r="M791" s="111"/>
      <c r="N791" s="122">
        <v>24032011</v>
      </c>
      <c r="O791" s="140">
        <v>2366.5500000000002</v>
      </c>
      <c r="P791" s="227">
        <f t="shared" si="18"/>
        <v>1209.9978014449109</v>
      </c>
      <c r="Q791" s="107">
        <v>0</v>
      </c>
      <c r="R791" s="107">
        <v>0</v>
      </c>
      <c r="S791" s="231"/>
      <c r="T791" s="236"/>
      <c r="U791" s="236"/>
    </row>
    <row r="792" spans="1:21" ht="72" x14ac:dyDescent="0.3">
      <c r="A792" s="117">
        <v>790</v>
      </c>
      <c r="B792" s="131">
        <v>20034</v>
      </c>
      <c r="C792" s="111">
        <v>1</v>
      </c>
      <c r="D792" s="111">
        <v>1</v>
      </c>
      <c r="E792" s="118" t="s">
        <v>1163</v>
      </c>
      <c r="F792" s="118" t="s">
        <v>190</v>
      </c>
      <c r="G792" s="119" t="s">
        <v>87</v>
      </c>
      <c r="H792" s="119" t="s">
        <v>701</v>
      </c>
      <c r="I792" s="117"/>
      <c r="J792" s="117"/>
      <c r="K792" s="117" t="s">
        <v>1061</v>
      </c>
      <c r="L792" s="117" t="s">
        <v>1150</v>
      </c>
      <c r="M792" s="111"/>
      <c r="N792" s="122">
        <v>24032011</v>
      </c>
      <c r="O792" s="140">
        <v>2366.5500000000002</v>
      </c>
      <c r="P792" s="227">
        <f t="shared" si="18"/>
        <v>1209.9978014449109</v>
      </c>
      <c r="Q792" s="107">
        <v>0</v>
      </c>
      <c r="R792" s="107">
        <v>0</v>
      </c>
      <c r="S792" s="231"/>
      <c r="T792" s="236"/>
      <c r="U792" s="236"/>
    </row>
    <row r="793" spans="1:21" ht="72" x14ac:dyDescent="0.3">
      <c r="A793" s="117">
        <v>791</v>
      </c>
      <c r="B793" s="131">
        <v>20035</v>
      </c>
      <c r="C793" s="111">
        <v>1</v>
      </c>
      <c r="D793" s="111">
        <v>1</v>
      </c>
      <c r="E793" s="118" t="s">
        <v>1163</v>
      </c>
      <c r="F793" s="118" t="s">
        <v>190</v>
      </c>
      <c r="G793" s="119" t="s">
        <v>87</v>
      </c>
      <c r="H793" s="119" t="s">
        <v>701</v>
      </c>
      <c r="I793" s="117"/>
      <c r="J793" s="117"/>
      <c r="K793" s="117" t="s">
        <v>1061</v>
      </c>
      <c r="L793" s="117" t="s">
        <v>1150</v>
      </c>
      <c r="M793" s="111"/>
      <c r="N793" s="122">
        <v>24032011</v>
      </c>
      <c r="O793" s="140">
        <v>2366.5500000000002</v>
      </c>
      <c r="P793" s="227">
        <f t="shared" si="18"/>
        <v>1209.9978014449109</v>
      </c>
      <c r="Q793" s="107">
        <v>0</v>
      </c>
      <c r="R793" s="107">
        <v>0</v>
      </c>
      <c r="S793" s="231"/>
      <c r="T793" s="236"/>
      <c r="U793" s="236"/>
    </row>
    <row r="794" spans="1:21" ht="72" x14ac:dyDescent="0.3">
      <c r="A794" s="117">
        <v>792</v>
      </c>
      <c r="B794" s="131">
        <v>20037</v>
      </c>
      <c r="C794" s="111">
        <v>1</v>
      </c>
      <c r="D794" s="111">
        <v>1</v>
      </c>
      <c r="E794" s="118" t="s">
        <v>1163</v>
      </c>
      <c r="F794" s="118" t="s">
        <v>190</v>
      </c>
      <c r="G794" s="119" t="s">
        <v>87</v>
      </c>
      <c r="H794" s="119" t="s">
        <v>701</v>
      </c>
      <c r="I794" s="117"/>
      <c r="J794" s="117"/>
      <c r="K794" s="117" t="s">
        <v>1059</v>
      </c>
      <c r="L794" s="117" t="s">
        <v>1150</v>
      </c>
      <c r="M794" s="111"/>
      <c r="N794" s="122">
        <v>24032011</v>
      </c>
      <c r="O794" s="140">
        <v>2366.5500000000002</v>
      </c>
      <c r="P794" s="227">
        <f t="shared" si="18"/>
        <v>1209.9978014449109</v>
      </c>
      <c r="Q794" s="107">
        <v>0</v>
      </c>
      <c r="R794" s="107">
        <v>0</v>
      </c>
      <c r="S794" s="231"/>
      <c r="T794" s="236"/>
      <c r="U794" s="236"/>
    </row>
    <row r="795" spans="1:21" ht="72" x14ac:dyDescent="0.3">
      <c r="A795" s="117">
        <v>793</v>
      </c>
      <c r="B795" s="131">
        <v>20038</v>
      </c>
      <c r="C795" s="111">
        <v>1</v>
      </c>
      <c r="D795" s="111">
        <v>1</v>
      </c>
      <c r="E795" s="118" t="s">
        <v>1163</v>
      </c>
      <c r="F795" s="118" t="s">
        <v>190</v>
      </c>
      <c r="G795" s="119" t="s">
        <v>87</v>
      </c>
      <c r="H795" s="119" t="s">
        <v>701</v>
      </c>
      <c r="I795" s="117"/>
      <c r="J795" s="117"/>
      <c r="K795" s="117" t="s">
        <v>1067</v>
      </c>
      <c r="L795" s="117" t="s">
        <v>1150</v>
      </c>
      <c r="M795" s="111"/>
      <c r="N795" s="122">
        <v>24032011</v>
      </c>
      <c r="O795" s="140">
        <v>2366.5500000000002</v>
      </c>
      <c r="P795" s="227">
        <f t="shared" si="18"/>
        <v>1209.9978014449109</v>
      </c>
      <c r="Q795" s="107">
        <v>0</v>
      </c>
      <c r="R795" s="107">
        <v>0</v>
      </c>
      <c r="S795" s="231"/>
      <c r="T795" s="236"/>
      <c r="U795" s="236"/>
    </row>
    <row r="796" spans="1:21" ht="72" x14ac:dyDescent="0.3">
      <c r="A796" s="117">
        <v>794</v>
      </c>
      <c r="B796" s="131">
        <v>20039</v>
      </c>
      <c r="C796" s="111">
        <v>1</v>
      </c>
      <c r="D796" s="111">
        <v>1</v>
      </c>
      <c r="E796" s="118" t="s">
        <v>1163</v>
      </c>
      <c r="F796" s="118" t="s">
        <v>190</v>
      </c>
      <c r="G796" s="119" t="s">
        <v>87</v>
      </c>
      <c r="H796" s="119" t="s">
        <v>701</v>
      </c>
      <c r="I796" s="117"/>
      <c r="J796" s="117"/>
      <c r="K796" s="117" t="s">
        <v>1057</v>
      </c>
      <c r="L796" s="117" t="s">
        <v>1154</v>
      </c>
      <c r="M796" s="111"/>
      <c r="N796" s="122">
        <v>24032011</v>
      </c>
      <c r="O796" s="140">
        <v>2366.5500000000002</v>
      </c>
      <c r="P796" s="227">
        <f t="shared" si="18"/>
        <v>1209.9978014449109</v>
      </c>
      <c r="Q796" s="107">
        <v>0</v>
      </c>
      <c r="R796" s="107">
        <v>0</v>
      </c>
      <c r="S796" s="231"/>
      <c r="T796" s="236"/>
      <c r="U796" s="236"/>
    </row>
    <row r="797" spans="1:21" ht="72" x14ac:dyDescent="0.3">
      <c r="A797" s="117">
        <v>795</v>
      </c>
      <c r="B797" s="131">
        <v>20040</v>
      </c>
      <c r="C797" s="111">
        <v>1</v>
      </c>
      <c r="D797" s="111">
        <v>1</v>
      </c>
      <c r="E797" s="118" t="s">
        <v>1163</v>
      </c>
      <c r="F797" s="118" t="s">
        <v>190</v>
      </c>
      <c r="G797" s="119" t="s">
        <v>87</v>
      </c>
      <c r="H797" s="119" t="s">
        <v>701</v>
      </c>
      <c r="I797" s="117"/>
      <c r="J797" s="117"/>
      <c r="K797" s="117" t="s">
        <v>1061</v>
      </c>
      <c r="L797" s="117" t="s">
        <v>1150</v>
      </c>
      <c r="M797" s="111"/>
      <c r="N797" s="122">
        <v>24032011</v>
      </c>
      <c r="O797" s="140">
        <v>2366.5500000000002</v>
      </c>
      <c r="P797" s="227">
        <f t="shared" si="18"/>
        <v>1209.9978014449109</v>
      </c>
      <c r="Q797" s="107">
        <v>0</v>
      </c>
      <c r="R797" s="107">
        <v>0</v>
      </c>
      <c r="S797" s="231"/>
      <c r="T797" s="236"/>
      <c r="U797" s="236"/>
    </row>
    <row r="798" spans="1:21" ht="72" x14ac:dyDescent="0.3">
      <c r="A798" s="117">
        <v>796</v>
      </c>
      <c r="B798" s="131">
        <v>20041</v>
      </c>
      <c r="C798" s="111">
        <v>3</v>
      </c>
      <c r="D798" s="111">
        <v>3</v>
      </c>
      <c r="E798" s="118" t="s">
        <v>1058</v>
      </c>
      <c r="F798" s="118" t="s">
        <v>192</v>
      </c>
      <c r="G798" s="119" t="s">
        <v>89</v>
      </c>
      <c r="H798" s="119" t="s">
        <v>703</v>
      </c>
      <c r="I798" s="117"/>
      <c r="J798" s="117"/>
      <c r="K798" s="117" t="s">
        <v>1056</v>
      </c>
      <c r="L798" s="117" t="s">
        <v>1153</v>
      </c>
      <c r="M798" s="111"/>
      <c r="N798" s="122">
        <v>9052011</v>
      </c>
      <c r="O798" s="140">
        <v>11030</v>
      </c>
      <c r="P798" s="227">
        <f t="shared" si="18"/>
        <v>5639.5494495942903</v>
      </c>
      <c r="Q798" s="107">
        <v>275.75</v>
      </c>
      <c r="R798" s="107">
        <v>0</v>
      </c>
      <c r="S798" s="231"/>
      <c r="T798" s="236"/>
      <c r="U798" s="236"/>
    </row>
    <row r="799" spans="1:21" ht="72" x14ac:dyDescent="0.3">
      <c r="A799" s="117">
        <v>797</v>
      </c>
      <c r="B799" s="131">
        <v>20042</v>
      </c>
      <c r="C799" s="111">
        <v>5</v>
      </c>
      <c r="D799" s="111">
        <v>2</v>
      </c>
      <c r="E799" s="118" t="s">
        <v>1151</v>
      </c>
      <c r="F799" s="118" t="s">
        <v>212</v>
      </c>
      <c r="G799" s="119" t="s">
        <v>573</v>
      </c>
      <c r="H799" s="119" t="s">
        <v>769</v>
      </c>
      <c r="I799" s="117" t="s">
        <v>1218</v>
      </c>
      <c r="J799" s="117" t="s">
        <v>1068</v>
      </c>
      <c r="K799" s="117" t="s">
        <v>1063</v>
      </c>
      <c r="L799" s="117" t="s">
        <v>1149</v>
      </c>
      <c r="M799" s="111"/>
      <c r="N799" s="122">
        <v>13062011</v>
      </c>
      <c r="O799" s="140">
        <v>13845</v>
      </c>
      <c r="P799" s="227">
        <f t="shared" si="18"/>
        <v>7078.8360951616451</v>
      </c>
      <c r="Q799" s="107">
        <v>346.13</v>
      </c>
      <c r="R799" s="107">
        <v>0</v>
      </c>
      <c r="S799" s="231">
        <f>P799*0.4</f>
        <v>2831.5344380646584</v>
      </c>
      <c r="T799" s="236"/>
      <c r="U799" s="236"/>
    </row>
    <row r="800" spans="1:21" ht="72" x14ac:dyDescent="0.3">
      <c r="A800" s="117">
        <v>798</v>
      </c>
      <c r="B800" s="131">
        <v>20043</v>
      </c>
      <c r="C800" s="111">
        <v>6</v>
      </c>
      <c r="D800" s="111">
        <v>2</v>
      </c>
      <c r="E800" s="118" t="s">
        <v>1151</v>
      </c>
      <c r="F800" s="118" t="s">
        <v>115</v>
      </c>
      <c r="G800" s="119" t="s">
        <v>1223</v>
      </c>
      <c r="H800" s="119" t="s">
        <v>770</v>
      </c>
      <c r="I800" s="117" t="s">
        <v>565</v>
      </c>
      <c r="J800" s="117"/>
      <c r="K800" s="117" t="s">
        <v>1066</v>
      </c>
      <c r="L800" s="117" t="s">
        <v>1149</v>
      </c>
      <c r="M800" s="111"/>
      <c r="N800" s="122">
        <v>13062011</v>
      </c>
      <c r="O800" s="140">
        <v>9918</v>
      </c>
      <c r="P800" s="227">
        <f t="shared" si="18"/>
        <v>5070.992877704095</v>
      </c>
      <c r="Q800" s="107">
        <v>247.95</v>
      </c>
      <c r="R800" s="107">
        <v>0</v>
      </c>
      <c r="S800" s="231">
        <f>P800*0.4</f>
        <v>2028.3971510816382</v>
      </c>
      <c r="T800" s="236"/>
      <c r="U800" s="236"/>
    </row>
    <row r="801" spans="1:21" ht="72" x14ac:dyDescent="0.3">
      <c r="A801" s="117">
        <v>799</v>
      </c>
      <c r="B801" s="131">
        <v>20044</v>
      </c>
      <c r="C801" s="111">
        <v>3</v>
      </c>
      <c r="D801" s="111">
        <v>3</v>
      </c>
      <c r="E801" s="118" t="s">
        <v>1058</v>
      </c>
      <c r="F801" s="118" t="s">
        <v>192</v>
      </c>
      <c r="G801" s="119" t="s">
        <v>89</v>
      </c>
      <c r="H801" s="119" t="s">
        <v>703</v>
      </c>
      <c r="I801" s="117"/>
      <c r="J801" s="117"/>
      <c r="K801" s="117" t="s">
        <v>1059</v>
      </c>
      <c r="L801" s="117" t="s">
        <v>1150</v>
      </c>
      <c r="M801" s="111"/>
      <c r="N801" s="122">
        <v>9052011</v>
      </c>
      <c r="O801" s="140">
        <v>11030</v>
      </c>
      <c r="P801" s="227">
        <f t="shared" si="18"/>
        <v>5639.5494495942903</v>
      </c>
      <c r="Q801" s="107">
        <v>275.75</v>
      </c>
      <c r="R801" s="107">
        <v>0</v>
      </c>
      <c r="S801" s="231"/>
      <c r="T801" s="236"/>
      <c r="U801" s="236"/>
    </row>
    <row r="802" spans="1:21" ht="72" x14ac:dyDescent="0.3">
      <c r="A802" s="117">
        <v>800</v>
      </c>
      <c r="B802" s="131">
        <v>20045</v>
      </c>
      <c r="C802" s="111">
        <v>3</v>
      </c>
      <c r="D802" s="111">
        <v>3</v>
      </c>
      <c r="E802" s="118" t="s">
        <v>1058</v>
      </c>
      <c r="F802" s="118" t="s">
        <v>192</v>
      </c>
      <c r="G802" s="119" t="s">
        <v>89</v>
      </c>
      <c r="H802" s="119" t="s">
        <v>703</v>
      </c>
      <c r="I802" s="117"/>
      <c r="J802" s="117"/>
      <c r="K802" s="117" t="s">
        <v>1066</v>
      </c>
      <c r="L802" s="117" t="s">
        <v>1149</v>
      </c>
      <c r="M802" s="111"/>
      <c r="N802" s="122">
        <v>9052011</v>
      </c>
      <c r="O802" s="140">
        <v>11030</v>
      </c>
      <c r="P802" s="227">
        <f t="shared" si="18"/>
        <v>5639.5494495942903</v>
      </c>
      <c r="Q802" s="107">
        <v>275.75</v>
      </c>
      <c r="R802" s="107">
        <v>0</v>
      </c>
      <c r="S802" s="231">
        <f>P802*0.4</f>
        <v>2255.8197798377164</v>
      </c>
      <c r="T802" s="236"/>
      <c r="U802" s="236"/>
    </row>
    <row r="803" spans="1:21" ht="72" x14ac:dyDescent="0.3">
      <c r="A803" s="117">
        <v>801</v>
      </c>
      <c r="B803" s="131">
        <v>20046</v>
      </c>
      <c r="C803" s="111">
        <v>3</v>
      </c>
      <c r="D803" s="111">
        <v>3</v>
      </c>
      <c r="E803" s="118" t="s">
        <v>1058</v>
      </c>
      <c r="F803" s="118" t="s">
        <v>192</v>
      </c>
      <c r="G803" s="119" t="s">
        <v>89</v>
      </c>
      <c r="H803" s="119" t="s">
        <v>703</v>
      </c>
      <c r="I803" s="117"/>
      <c r="J803" s="117"/>
      <c r="K803" s="117" t="s">
        <v>1066</v>
      </c>
      <c r="L803" s="117" t="s">
        <v>1149</v>
      </c>
      <c r="M803" s="111"/>
      <c r="N803" s="122">
        <v>9052011</v>
      </c>
      <c r="O803" s="140">
        <v>11030</v>
      </c>
      <c r="P803" s="227">
        <f t="shared" si="18"/>
        <v>5639.5494495942903</v>
      </c>
      <c r="Q803" s="107">
        <v>275.75</v>
      </c>
      <c r="R803" s="107">
        <v>0</v>
      </c>
      <c r="S803" s="231">
        <f>P803*0.4</f>
        <v>2255.8197798377164</v>
      </c>
      <c r="T803" s="236"/>
      <c r="U803" s="236"/>
    </row>
    <row r="804" spans="1:21" ht="72" x14ac:dyDescent="0.3">
      <c r="A804" s="117">
        <v>802</v>
      </c>
      <c r="B804" s="131">
        <v>20047</v>
      </c>
      <c r="C804" s="111">
        <v>4</v>
      </c>
      <c r="D804" s="111">
        <v>3</v>
      </c>
      <c r="E804" s="118" t="s">
        <v>1058</v>
      </c>
      <c r="F804" s="118" t="s">
        <v>213</v>
      </c>
      <c r="G804" s="118" t="s">
        <v>572</v>
      </c>
      <c r="H804" s="118" t="s">
        <v>643</v>
      </c>
      <c r="I804" s="117" t="s">
        <v>1068</v>
      </c>
      <c r="J804" s="117"/>
      <c r="K804" s="117" t="s">
        <v>1059</v>
      </c>
      <c r="L804" s="117" t="s">
        <v>1150</v>
      </c>
      <c r="M804" s="111"/>
      <c r="N804" s="122"/>
      <c r="O804" s="140">
        <v>9953</v>
      </c>
      <c r="P804" s="227">
        <f t="shared" si="18"/>
        <v>5088.8880935459629</v>
      </c>
      <c r="Q804" s="107">
        <v>248.83</v>
      </c>
      <c r="R804" s="107">
        <v>0</v>
      </c>
      <c r="S804" s="231"/>
      <c r="T804" s="236"/>
      <c r="U804" s="236"/>
    </row>
    <row r="805" spans="1:21" ht="72" x14ac:dyDescent="0.3">
      <c r="A805" s="117">
        <v>803</v>
      </c>
      <c r="B805" s="131">
        <v>20048</v>
      </c>
      <c r="C805" s="111">
        <v>5</v>
      </c>
      <c r="D805" s="111">
        <v>2</v>
      </c>
      <c r="E805" s="118" t="s">
        <v>1151</v>
      </c>
      <c r="F805" s="118" t="s">
        <v>212</v>
      </c>
      <c r="G805" s="119" t="s">
        <v>573</v>
      </c>
      <c r="H805" s="119" t="s">
        <v>769</v>
      </c>
      <c r="I805" s="117" t="s">
        <v>1218</v>
      </c>
      <c r="J805" s="117" t="s">
        <v>1068</v>
      </c>
      <c r="K805" s="117" t="s">
        <v>1067</v>
      </c>
      <c r="L805" s="117" t="s">
        <v>1150</v>
      </c>
      <c r="M805" s="111"/>
      <c r="N805" s="122"/>
      <c r="O805" s="140">
        <v>13845</v>
      </c>
      <c r="P805" s="227">
        <f t="shared" si="18"/>
        <v>7078.8360951616451</v>
      </c>
      <c r="Q805" s="107">
        <v>346.13</v>
      </c>
      <c r="R805" s="107">
        <v>0</v>
      </c>
      <c r="S805" s="231"/>
      <c r="T805" s="236"/>
      <c r="U805" s="236"/>
    </row>
    <row r="806" spans="1:21" ht="72" x14ac:dyDescent="0.3">
      <c r="A806" s="117">
        <v>804</v>
      </c>
      <c r="B806" s="131">
        <v>20049</v>
      </c>
      <c r="C806" s="111">
        <v>7</v>
      </c>
      <c r="D806" s="111">
        <v>3</v>
      </c>
      <c r="E806" s="118" t="s">
        <v>1058</v>
      </c>
      <c r="F806" s="118" t="s">
        <v>193</v>
      </c>
      <c r="G806" s="119" t="s">
        <v>579</v>
      </c>
      <c r="H806" s="117" t="s">
        <v>771</v>
      </c>
      <c r="I806" s="117" t="s">
        <v>1141</v>
      </c>
      <c r="J806" s="117" t="s">
        <v>1228</v>
      </c>
      <c r="K806" s="117" t="s">
        <v>1066</v>
      </c>
      <c r="L806" s="117" t="s">
        <v>1149</v>
      </c>
      <c r="M806" s="111"/>
      <c r="N806" s="122"/>
      <c r="O806" s="141">
        <v>6611</v>
      </c>
      <c r="P806" s="228">
        <f t="shared" si="18"/>
        <v>3380.1506265882003</v>
      </c>
      <c r="Q806" s="107">
        <v>0</v>
      </c>
      <c r="R806" s="107">
        <v>0</v>
      </c>
      <c r="S806" s="231">
        <f t="shared" ref="S806:S813" si="19">P806*0.4</f>
        <v>1352.0602506352802</v>
      </c>
      <c r="T806" s="236"/>
      <c r="U806" s="236"/>
    </row>
    <row r="807" spans="1:21" ht="72" x14ac:dyDescent="0.3">
      <c r="A807" s="117">
        <v>805</v>
      </c>
      <c r="B807" s="131">
        <v>30041</v>
      </c>
      <c r="C807" s="111">
        <v>7</v>
      </c>
      <c r="D807" s="111">
        <v>3</v>
      </c>
      <c r="E807" s="118" t="s">
        <v>1058</v>
      </c>
      <c r="F807" s="118" t="s">
        <v>193</v>
      </c>
      <c r="G807" s="123" t="s">
        <v>86</v>
      </c>
      <c r="H807" s="117" t="s">
        <v>772</v>
      </c>
      <c r="I807" s="117" t="s">
        <v>1142</v>
      </c>
      <c r="J807" s="117" t="s">
        <v>1095</v>
      </c>
      <c r="K807" s="117" t="s">
        <v>1066</v>
      </c>
      <c r="L807" s="117" t="s">
        <v>1149</v>
      </c>
      <c r="M807" s="111"/>
      <c r="N807" s="122"/>
      <c r="O807" s="140">
        <v>6220</v>
      </c>
      <c r="P807" s="227">
        <f t="shared" si="18"/>
        <v>3180.235501040479</v>
      </c>
      <c r="Q807" s="107">
        <v>155.5</v>
      </c>
      <c r="R807" s="107">
        <v>0</v>
      </c>
      <c r="S807" s="231">
        <f t="shared" si="19"/>
        <v>1272.0942004161916</v>
      </c>
      <c r="T807" s="236"/>
      <c r="U807" s="236"/>
    </row>
    <row r="808" spans="1:21" ht="72" x14ac:dyDescent="0.3">
      <c r="A808" s="117">
        <v>806</v>
      </c>
      <c r="B808" s="131">
        <v>30042</v>
      </c>
      <c r="C808" s="111">
        <v>10</v>
      </c>
      <c r="D808" s="111">
        <v>2</v>
      </c>
      <c r="E808" s="118" t="s">
        <v>1151</v>
      </c>
      <c r="F808" s="118" t="s">
        <v>43</v>
      </c>
      <c r="G808" s="119" t="s">
        <v>107</v>
      </c>
      <c r="H808" s="117" t="s">
        <v>773</v>
      </c>
      <c r="I808" s="117" t="s">
        <v>1064</v>
      </c>
      <c r="J808" s="117" t="s">
        <v>1065</v>
      </c>
      <c r="K808" s="117" t="s">
        <v>1063</v>
      </c>
      <c r="L808" s="117" t="s">
        <v>1149</v>
      </c>
      <c r="M808" s="111"/>
      <c r="N808" s="122"/>
      <c r="O808" s="140">
        <v>22878</v>
      </c>
      <c r="P808" s="227">
        <f t="shared" si="18"/>
        <v>11697.335658007087</v>
      </c>
      <c r="Q808" s="107">
        <v>571.95000000000005</v>
      </c>
      <c r="R808" s="107">
        <v>0</v>
      </c>
      <c r="S808" s="231">
        <f t="shared" si="19"/>
        <v>4678.9342632028347</v>
      </c>
      <c r="T808" s="236"/>
      <c r="U808" s="236"/>
    </row>
    <row r="809" spans="1:21" ht="72" x14ac:dyDescent="0.3">
      <c r="A809" s="117">
        <v>807</v>
      </c>
      <c r="B809" s="131">
        <v>30043</v>
      </c>
      <c r="C809" s="111">
        <v>2</v>
      </c>
      <c r="D809" s="111">
        <v>1</v>
      </c>
      <c r="E809" s="118" t="s">
        <v>1163</v>
      </c>
      <c r="F809" s="118" t="s">
        <v>191</v>
      </c>
      <c r="G809" s="119" t="s">
        <v>8</v>
      </c>
      <c r="H809" s="117" t="s">
        <v>774</v>
      </c>
      <c r="I809" s="117" t="s">
        <v>1073</v>
      </c>
      <c r="J809" s="117" t="s">
        <v>1083</v>
      </c>
      <c r="K809" s="117" t="s">
        <v>1063</v>
      </c>
      <c r="L809" s="117" t="s">
        <v>1149</v>
      </c>
      <c r="M809" s="111"/>
      <c r="N809" s="122"/>
      <c r="O809" s="140">
        <v>3181.2</v>
      </c>
      <c r="P809" s="227">
        <f t="shared" si="18"/>
        <v>1626.5217324614102</v>
      </c>
      <c r="Q809" s="107">
        <v>79.53</v>
      </c>
      <c r="R809" s="107">
        <v>0</v>
      </c>
      <c r="S809" s="231">
        <f t="shared" si="19"/>
        <v>650.60869298456419</v>
      </c>
      <c r="T809" s="236"/>
      <c r="U809" s="236"/>
    </row>
    <row r="810" spans="1:21" ht="72" x14ac:dyDescent="0.3">
      <c r="A810" s="117">
        <v>808</v>
      </c>
      <c r="B810" s="131">
        <v>30044</v>
      </c>
      <c r="C810" s="111">
        <v>2</v>
      </c>
      <c r="D810" s="111">
        <v>1</v>
      </c>
      <c r="E810" s="118" t="s">
        <v>1163</v>
      </c>
      <c r="F810" s="118" t="s">
        <v>191</v>
      </c>
      <c r="G810" s="119" t="s">
        <v>8</v>
      </c>
      <c r="H810" s="117" t="s">
        <v>774</v>
      </c>
      <c r="I810" s="117" t="s">
        <v>1073</v>
      </c>
      <c r="J810" s="117" t="s">
        <v>1083</v>
      </c>
      <c r="K810" s="117" t="s">
        <v>1066</v>
      </c>
      <c r="L810" s="117" t="s">
        <v>1149</v>
      </c>
      <c r="M810" s="111"/>
      <c r="N810" s="122"/>
      <c r="O810" s="140">
        <v>3181.2</v>
      </c>
      <c r="P810" s="227">
        <f t="shared" si="18"/>
        <v>1626.5217324614102</v>
      </c>
      <c r="Q810" s="107">
        <v>79.53</v>
      </c>
      <c r="R810" s="107">
        <v>0</v>
      </c>
      <c r="S810" s="231">
        <f t="shared" si="19"/>
        <v>650.60869298456419</v>
      </c>
      <c r="T810" s="236"/>
      <c r="U810" s="236"/>
    </row>
    <row r="811" spans="1:21" ht="72" x14ac:dyDescent="0.3">
      <c r="A811" s="117">
        <v>809</v>
      </c>
      <c r="B811" s="131">
        <v>30045</v>
      </c>
      <c r="C811" s="111">
        <v>2</v>
      </c>
      <c r="D811" s="111">
        <v>1</v>
      </c>
      <c r="E811" s="118" t="s">
        <v>1163</v>
      </c>
      <c r="F811" s="118" t="s">
        <v>191</v>
      </c>
      <c r="G811" s="119" t="s">
        <v>8</v>
      </c>
      <c r="H811" s="117" t="s">
        <v>774</v>
      </c>
      <c r="I811" s="117" t="s">
        <v>1073</v>
      </c>
      <c r="J811" s="117" t="s">
        <v>1083</v>
      </c>
      <c r="K811" s="117" t="s">
        <v>1063</v>
      </c>
      <c r="L811" s="117" t="s">
        <v>1149</v>
      </c>
      <c r="M811" s="111"/>
      <c r="N811" s="122"/>
      <c r="O811" s="140">
        <v>3181.2</v>
      </c>
      <c r="P811" s="227">
        <f t="shared" si="18"/>
        <v>1626.5217324614102</v>
      </c>
      <c r="Q811" s="107">
        <v>79.53</v>
      </c>
      <c r="R811" s="107">
        <v>0</v>
      </c>
      <c r="S811" s="231">
        <f t="shared" si="19"/>
        <v>650.60869298456419</v>
      </c>
      <c r="T811" s="236"/>
      <c r="U811" s="236"/>
    </row>
    <row r="812" spans="1:21" ht="72" x14ac:dyDescent="0.3">
      <c r="A812" s="117">
        <v>810</v>
      </c>
      <c r="B812" s="131">
        <v>30046</v>
      </c>
      <c r="C812" s="111">
        <v>2</v>
      </c>
      <c r="D812" s="111">
        <v>1</v>
      </c>
      <c r="E812" s="118" t="s">
        <v>1163</v>
      </c>
      <c r="F812" s="118" t="s">
        <v>191</v>
      </c>
      <c r="G812" s="119" t="s">
        <v>55</v>
      </c>
      <c r="H812" s="119" t="s">
        <v>775</v>
      </c>
      <c r="I812" s="117" t="s">
        <v>1102</v>
      </c>
      <c r="J812" s="117" t="s">
        <v>1083</v>
      </c>
      <c r="K812" s="117" t="s">
        <v>1066</v>
      </c>
      <c r="L812" s="117" t="s">
        <v>1149</v>
      </c>
      <c r="M812" s="111"/>
      <c r="N812" s="122"/>
      <c r="O812" s="140">
        <v>2954</v>
      </c>
      <c r="P812" s="227">
        <f t="shared" si="18"/>
        <v>1510.3562170536295</v>
      </c>
      <c r="Q812" s="107">
        <v>73.849999999999994</v>
      </c>
      <c r="R812" s="107">
        <v>0</v>
      </c>
      <c r="S812" s="231">
        <f t="shared" si="19"/>
        <v>604.14248682145183</v>
      </c>
      <c r="T812" s="236"/>
      <c r="U812" s="236"/>
    </row>
    <row r="813" spans="1:21" ht="72" x14ac:dyDescent="0.3">
      <c r="A813" s="117">
        <v>811</v>
      </c>
      <c r="B813" s="131">
        <v>100073</v>
      </c>
      <c r="C813" s="111">
        <v>1</v>
      </c>
      <c r="D813" s="111">
        <v>1</v>
      </c>
      <c r="E813" s="118" t="s">
        <v>1163</v>
      </c>
      <c r="F813" s="118" t="s">
        <v>190</v>
      </c>
      <c r="G813" s="119" t="s">
        <v>15</v>
      </c>
      <c r="H813" s="119" t="s">
        <v>709</v>
      </c>
      <c r="I813" s="117"/>
      <c r="J813" s="117" t="s">
        <v>1048</v>
      </c>
      <c r="K813" s="117" t="s">
        <v>1063</v>
      </c>
      <c r="L813" s="117" t="s">
        <v>1149</v>
      </c>
      <c r="M813" s="111"/>
      <c r="N813" s="122">
        <v>22032004</v>
      </c>
      <c r="O813" s="140">
        <v>9566.56</v>
      </c>
      <c r="P813" s="227">
        <f t="shared" si="18"/>
        <v>4891.3044589764959</v>
      </c>
      <c r="Q813" s="107">
        <v>0</v>
      </c>
      <c r="R813" s="107">
        <v>0</v>
      </c>
      <c r="S813" s="231">
        <f t="shared" si="19"/>
        <v>1956.5217835905985</v>
      </c>
      <c r="T813" s="236"/>
      <c r="U813" s="236"/>
    </row>
    <row r="814" spans="1:21" ht="72" x14ac:dyDescent="0.3">
      <c r="A814" s="117">
        <v>812</v>
      </c>
      <c r="B814" s="131">
        <v>100145</v>
      </c>
      <c r="C814" s="111">
        <v>1</v>
      </c>
      <c r="D814" s="111">
        <v>1</v>
      </c>
      <c r="E814" s="118" t="s">
        <v>1163</v>
      </c>
      <c r="F814" s="118" t="s">
        <v>190</v>
      </c>
      <c r="G814" s="119" t="s">
        <v>5</v>
      </c>
      <c r="H814" s="117" t="s">
        <v>776</v>
      </c>
      <c r="I814" s="117"/>
      <c r="J814" s="117"/>
      <c r="K814" s="117" t="s">
        <v>1063</v>
      </c>
      <c r="L814" s="117" t="s">
        <v>1149</v>
      </c>
      <c r="M814" s="111"/>
      <c r="N814" s="122"/>
      <c r="O814" s="140">
        <v>1900</v>
      </c>
      <c r="P814" s="227">
        <f t="shared" si="18"/>
        <v>971.45457427281519</v>
      </c>
      <c r="Q814" s="107">
        <v>0</v>
      </c>
      <c r="R814" s="107">
        <v>0</v>
      </c>
      <c r="S814" s="231">
        <v>105</v>
      </c>
      <c r="T814" s="236"/>
      <c r="U814" s="236"/>
    </row>
    <row r="815" spans="1:21" ht="72" x14ac:dyDescent="0.3">
      <c r="A815" s="117">
        <v>813</v>
      </c>
      <c r="B815" s="131">
        <v>100155</v>
      </c>
      <c r="C815" s="111">
        <v>1</v>
      </c>
      <c r="D815" s="111">
        <v>1</v>
      </c>
      <c r="E815" s="118" t="s">
        <v>1163</v>
      </c>
      <c r="F815" s="118" t="s">
        <v>190</v>
      </c>
      <c r="G815" s="119" t="s">
        <v>5</v>
      </c>
      <c r="H815" s="117" t="s">
        <v>776</v>
      </c>
      <c r="I815" s="117"/>
      <c r="J815" s="117"/>
      <c r="K815" s="117" t="s">
        <v>1063</v>
      </c>
      <c r="L815" s="117" t="s">
        <v>1149</v>
      </c>
      <c r="M815" s="111"/>
      <c r="N815" s="122"/>
      <c r="O815" s="140">
        <v>1900</v>
      </c>
      <c r="P815" s="227">
        <f t="shared" si="18"/>
        <v>971.45457427281519</v>
      </c>
      <c r="Q815" s="107">
        <v>0</v>
      </c>
      <c r="R815" s="107">
        <v>0</v>
      </c>
      <c r="S815" s="231">
        <v>105</v>
      </c>
      <c r="T815" s="236"/>
      <c r="U815" s="236"/>
    </row>
    <row r="816" spans="1:21" ht="57.6" x14ac:dyDescent="0.3">
      <c r="A816" s="117">
        <v>814</v>
      </c>
      <c r="B816" s="131">
        <v>100174</v>
      </c>
      <c r="C816" s="111">
        <v>16</v>
      </c>
      <c r="D816" s="111">
        <v>4</v>
      </c>
      <c r="E816" s="118" t="s">
        <v>1353</v>
      </c>
      <c r="F816" s="118" t="s">
        <v>201</v>
      </c>
      <c r="G816" s="119" t="s">
        <v>1175</v>
      </c>
      <c r="H816" s="118" t="s">
        <v>777</v>
      </c>
      <c r="I816" s="117" t="s">
        <v>1060</v>
      </c>
      <c r="J816" s="117" t="s">
        <v>1176</v>
      </c>
      <c r="K816" s="117" t="s">
        <v>1059</v>
      </c>
      <c r="L816" s="117" t="s">
        <v>1150</v>
      </c>
      <c r="M816" s="111"/>
      <c r="N816" s="122"/>
      <c r="O816" s="141">
        <v>3449</v>
      </c>
      <c r="P816" s="228">
        <f t="shared" si="18"/>
        <v>1763.4456982457575</v>
      </c>
      <c r="Q816" s="107">
        <v>0</v>
      </c>
      <c r="R816" s="107">
        <v>0</v>
      </c>
      <c r="S816" s="231"/>
      <c r="T816" s="236"/>
      <c r="U816" s="236"/>
    </row>
    <row r="817" spans="1:21" ht="72" x14ac:dyDescent="0.3">
      <c r="A817" s="117">
        <v>815</v>
      </c>
      <c r="B817" s="131">
        <v>10010091</v>
      </c>
      <c r="C817" s="111">
        <v>27</v>
      </c>
      <c r="D817" s="111">
        <v>2</v>
      </c>
      <c r="E817" s="118" t="s">
        <v>1151</v>
      </c>
      <c r="F817" s="118" t="s">
        <v>204</v>
      </c>
      <c r="G817" s="119" t="s">
        <v>1296</v>
      </c>
      <c r="H817" s="119" t="s">
        <v>780</v>
      </c>
      <c r="I817" s="117"/>
      <c r="J817" s="117"/>
      <c r="K817" s="117" t="s">
        <v>1067</v>
      </c>
      <c r="L817" s="117" t="s">
        <v>1150</v>
      </c>
      <c r="M817" s="111"/>
      <c r="N817" s="122"/>
      <c r="O817" s="141">
        <v>9388</v>
      </c>
      <c r="P817" s="228">
        <f t="shared" si="18"/>
        <v>4800.0081806700991</v>
      </c>
      <c r="Q817" s="107">
        <v>0</v>
      </c>
      <c r="R817" s="107">
        <v>0</v>
      </c>
      <c r="S817" s="231"/>
      <c r="T817" s="236"/>
      <c r="U817" s="236"/>
    </row>
    <row r="818" spans="1:21" ht="72" x14ac:dyDescent="0.3">
      <c r="A818" s="117">
        <v>816</v>
      </c>
      <c r="B818" s="131">
        <v>10010092</v>
      </c>
      <c r="C818" s="111">
        <v>25</v>
      </c>
      <c r="D818" s="111">
        <v>3</v>
      </c>
      <c r="E818" s="118" t="s">
        <v>1058</v>
      </c>
      <c r="F818" s="118" t="s">
        <v>214</v>
      </c>
      <c r="G818" s="119" t="s">
        <v>584</v>
      </c>
      <c r="H818" s="117" t="s">
        <v>778</v>
      </c>
      <c r="I818" s="117"/>
      <c r="J818" s="117"/>
      <c r="K818" s="117" t="s">
        <v>1077</v>
      </c>
      <c r="L818" s="117" t="s">
        <v>1150</v>
      </c>
      <c r="M818" s="111"/>
      <c r="N818" s="122"/>
      <c r="O818" s="141">
        <v>17480</v>
      </c>
      <c r="P818" s="228">
        <f t="shared" si="18"/>
        <v>8937.3820833098998</v>
      </c>
      <c r="Q818" s="107">
        <v>0</v>
      </c>
      <c r="R818" s="107">
        <v>0</v>
      </c>
      <c r="S818" s="231"/>
      <c r="T818" s="236"/>
      <c r="U818" s="236"/>
    </row>
    <row r="819" spans="1:21" ht="72" x14ac:dyDescent="0.3">
      <c r="A819" s="117">
        <v>817</v>
      </c>
      <c r="B819" s="131">
        <v>10010093</v>
      </c>
      <c r="C819" s="111">
        <v>9</v>
      </c>
      <c r="D819" s="111">
        <v>2</v>
      </c>
      <c r="E819" s="118" t="s">
        <v>1151</v>
      </c>
      <c r="F819" s="118" t="s">
        <v>195</v>
      </c>
      <c r="G819" s="119" t="s">
        <v>104</v>
      </c>
      <c r="H819" s="117" t="s">
        <v>779</v>
      </c>
      <c r="I819" s="117" t="s">
        <v>1143</v>
      </c>
      <c r="J819" s="117" t="s">
        <v>1239</v>
      </c>
      <c r="K819" s="117" t="s">
        <v>1069</v>
      </c>
      <c r="L819" s="117" t="s">
        <v>1149</v>
      </c>
      <c r="M819" s="111"/>
      <c r="N819" s="122"/>
      <c r="O819" s="141">
        <v>17976</v>
      </c>
      <c r="P819" s="228">
        <f t="shared" si="18"/>
        <v>9190.9828563832234</v>
      </c>
      <c r="Q819" s="107">
        <v>0</v>
      </c>
      <c r="R819" s="107">
        <v>0</v>
      </c>
      <c r="S819" s="231">
        <f>P819*0.4</f>
        <v>3676.3931425532896</v>
      </c>
      <c r="T819" s="236"/>
      <c r="U819" s="236"/>
    </row>
    <row r="820" spans="1:21" ht="72" x14ac:dyDescent="0.3">
      <c r="A820" s="117">
        <v>818</v>
      </c>
      <c r="B820" s="131">
        <v>892893940</v>
      </c>
      <c r="C820" s="111">
        <v>26</v>
      </c>
      <c r="D820" s="111">
        <v>5</v>
      </c>
      <c r="E820" s="118" t="s">
        <v>1152</v>
      </c>
      <c r="F820" s="118" t="s">
        <v>1354</v>
      </c>
      <c r="G820" s="119" t="s">
        <v>634</v>
      </c>
      <c r="H820" s="119" t="s">
        <v>781</v>
      </c>
      <c r="I820" s="117" t="s">
        <v>1329</v>
      </c>
      <c r="J820" s="117"/>
      <c r="K820" s="117" t="s">
        <v>215</v>
      </c>
      <c r="L820" s="117" t="s">
        <v>1155</v>
      </c>
      <c r="M820" s="111"/>
      <c r="N820" s="122"/>
      <c r="O820" s="140">
        <v>26403.71</v>
      </c>
      <c r="P820" s="227">
        <f t="shared" si="18"/>
        <v>13500.002556459405</v>
      </c>
      <c r="Q820" s="107">
        <v>440.06</v>
      </c>
      <c r="R820" s="107">
        <v>0</v>
      </c>
      <c r="S820" s="231"/>
      <c r="T820" s="236"/>
      <c r="U820" s="236"/>
    </row>
    <row r="821" spans="1:21" ht="158.4" x14ac:dyDescent="0.3">
      <c r="A821" s="117">
        <v>819</v>
      </c>
      <c r="B821" s="131">
        <v>892894144</v>
      </c>
      <c r="C821" s="111">
        <v>33</v>
      </c>
      <c r="D821" s="111">
        <v>6</v>
      </c>
      <c r="E821" s="118" t="s">
        <v>1158</v>
      </c>
      <c r="F821" s="118" t="s">
        <v>1053</v>
      </c>
      <c r="G821" s="119" t="s">
        <v>609</v>
      </c>
      <c r="H821" s="117" t="s">
        <v>782</v>
      </c>
      <c r="I821" s="117" t="s">
        <v>1311</v>
      </c>
      <c r="J821" s="117" t="s">
        <v>1313</v>
      </c>
      <c r="K821" s="117" t="s">
        <v>1110</v>
      </c>
      <c r="L821" s="117" t="s">
        <v>1149</v>
      </c>
      <c r="M821" s="111"/>
      <c r="N821" s="122"/>
      <c r="O821" s="140">
        <v>5800</v>
      </c>
      <c r="P821" s="227">
        <f t="shared" si="18"/>
        <v>2965.4929109380673</v>
      </c>
      <c r="Q821" s="107">
        <v>145</v>
      </c>
      <c r="R821" s="107">
        <v>0</v>
      </c>
      <c r="S821" s="231">
        <v>1500</v>
      </c>
      <c r="T821" s="236"/>
      <c r="U821" s="236"/>
    </row>
    <row r="822" spans="1:21" ht="158.4" x14ac:dyDescent="0.3">
      <c r="A822" s="117">
        <v>820</v>
      </c>
      <c r="B822" s="131">
        <v>892894189</v>
      </c>
      <c r="C822" s="111">
        <v>33</v>
      </c>
      <c r="D822" s="111">
        <v>6</v>
      </c>
      <c r="E822" s="118" t="s">
        <v>1158</v>
      </c>
      <c r="F822" s="118" t="s">
        <v>1053</v>
      </c>
      <c r="G822" s="119" t="s">
        <v>610</v>
      </c>
      <c r="H822" s="117" t="s">
        <v>783</v>
      </c>
      <c r="I822" s="117" t="s">
        <v>1311</v>
      </c>
      <c r="J822" s="117" t="s">
        <v>1313</v>
      </c>
      <c r="K822" s="117" t="s">
        <v>1122</v>
      </c>
      <c r="L822" s="117" t="s">
        <v>1150</v>
      </c>
      <c r="M822" s="111"/>
      <c r="N822" s="122"/>
      <c r="O822" s="140">
        <v>20800</v>
      </c>
      <c r="P822" s="227">
        <f t="shared" si="18"/>
        <v>10634.871128881345</v>
      </c>
      <c r="Q822" s="107">
        <v>520</v>
      </c>
      <c r="R822" s="107">
        <v>0</v>
      </c>
      <c r="S822" s="231"/>
      <c r="T822" s="236"/>
      <c r="U822" s="236"/>
    </row>
    <row r="823" spans="1:21" ht="158.4" x14ac:dyDescent="0.3">
      <c r="A823" s="117">
        <v>821</v>
      </c>
      <c r="B823" s="131">
        <v>892894335</v>
      </c>
      <c r="C823" s="111">
        <v>34</v>
      </c>
      <c r="D823" s="111">
        <v>6</v>
      </c>
      <c r="E823" s="118" t="s">
        <v>1158</v>
      </c>
      <c r="F823" s="118" t="s">
        <v>210</v>
      </c>
      <c r="G823" s="119" t="s">
        <v>108</v>
      </c>
      <c r="H823" s="117" t="s">
        <v>784</v>
      </c>
      <c r="I823" s="117"/>
      <c r="J823" s="117"/>
      <c r="K823" s="117" t="s">
        <v>11</v>
      </c>
      <c r="L823" s="117" t="s">
        <v>1149</v>
      </c>
      <c r="M823" s="111"/>
      <c r="N823" s="122">
        <v>3072013</v>
      </c>
      <c r="O823" s="140">
        <v>5071.47</v>
      </c>
      <c r="P823" s="227">
        <f t="shared" si="18"/>
        <v>2593.0014367301865</v>
      </c>
      <c r="Q823" s="107">
        <v>126.79</v>
      </c>
      <c r="R823" s="107">
        <v>0</v>
      </c>
      <c r="S823" s="231">
        <v>1300</v>
      </c>
      <c r="T823" s="236"/>
      <c r="U823" s="236"/>
    </row>
    <row r="824" spans="1:21" ht="158.4" x14ac:dyDescent="0.3">
      <c r="A824" s="117">
        <v>822</v>
      </c>
      <c r="B824" s="110">
        <v>892894635</v>
      </c>
      <c r="C824" s="111">
        <v>33</v>
      </c>
      <c r="D824" s="111">
        <v>6</v>
      </c>
      <c r="E824" s="118" t="s">
        <v>1158</v>
      </c>
      <c r="F824" s="118" t="s">
        <v>1053</v>
      </c>
      <c r="G824" s="118" t="s">
        <v>606</v>
      </c>
      <c r="H824" s="117" t="s">
        <v>785</v>
      </c>
      <c r="I824" s="117" t="s">
        <v>1311</v>
      </c>
      <c r="J824" s="117" t="s">
        <v>1312</v>
      </c>
      <c r="K824" s="117" t="s">
        <v>1110</v>
      </c>
      <c r="L824" s="117" t="s">
        <v>1149</v>
      </c>
      <c r="M824" s="111"/>
      <c r="N824" s="122">
        <v>8062016</v>
      </c>
      <c r="O824" s="140">
        <v>3564.67</v>
      </c>
      <c r="P824" s="227">
        <f t="shared" si="18"/>
        <v>1822.5868301437242</v>
      </c>
      <c r="Q824" s="107">
        <v>89.12</v>
      </c>
      <c r="R824" s="107">
        <v>0</v>
      </c>
      <c r="S824" s="231">
        <v>100</v>
      </c>
      <c r="T824" s="236"/>
      <c r="U824" s="236"/>
    </row>
    <row r="825" spans="1:21" ht="72" x14ac:dyDescent="0.3">
      <c r="A825" s="117">
        <v>823</v>
      </c>
      <c r="B825" s="110" t="s">
        <v>1041</v>
      </c>
      <c r="C825" s="111">
        <v>8</v>
      </c>
      <c r="D825" s="111">
        <v>2</v>
      </c>
      <c r="E825" s="118" t="s">
        <v>1151</v>
      </c>
      <c r="F825" s="118" t="s">
        <v>194</v>
      </c>
      <c r="G825" s="119" t="s">
        <v>228</v>
      </c>
      <c r="H825" s="117" t="s">
        <v>786</v>
      </c>
      <c r="I825" s="117" t="s">
        <v>1087</v>
      </c>
      <c r="J825" s="117" t="s">
        <v>1115</v>
      </c>
      <c r="K825" s="117" t="s">
        <v>1052</v>
      </c>
      <c r="L825" s="117" t="s">
        <v>1150</v>
      </c>
      <c r="M825" s="111"/>
      <c r="N825" s="120">
        <v>43480</v>
      </c>
      <c r="O825" s="108">
        <v>8933.7999999999993</v>
      </c>
      <c r="P825" s="229">
        <f t="shared" si="18"/>
        <v>4567.7794082307764</v>
      </c>
      <c r="Q825" s="107">
        <v>0</v>
      </c>
      <c r="R825" s="107">
        <v>0</v>
      </c>
      <c r="S825" s="231"/>
      <c r="T825" s="236"/>
      <c r="U825" s="236"/>
    </row>
    <row r="826" spans="1:21" ht="72" x14ac:dyDescent="0.3">
      <c r="A826" s="117">
        <v>824</v>
      </c>
      <c r="B826" s="110" t="s">
        <v>1532</v>
      </c>
      <c r="C826" s="111">
        <v>9</v>
      </c>
      <c r="D826" s="111">
        <v>2</v>
      </c>
      <c r="E826" s="118" t="s">
        <v>1151</v>
      </c>
      <c r="F826" s="118" t="s">
        <v>195</v>
      </c>
      <c r="G826" s="118" t="s">
        <v>231</v>
      </c>
      <c r="H826" s="117" t="s">
        <v>787</v>
      </c>
      <c r="I826" s="117" t="s">
        <v>1234</v>
      </c>
      <c r="J826" s="117" t="s">
        <v>1236</v>
      </c>
      <c r="K826" s="117" t="s">
        <v>1056</v>
      </c>
      <c r="L826" s="117" t="s">
        <v>1153</v>
      </c>
      <c r="M826" s="111"/>
      <c r="N826" s="120">
        <v>43616</v>
      </c>
      <c r="O826" s="140">
        <v>500</v>
      </c>
      <c r="P826" s="227">
        <f t="shared" si="18"/>
        <v>255.64594059810923</v>
      </c>
      <c r="Q826" s="107">
        <v>0</v>
      </c>
      <c r="R826" s="107">
        <v>0</v>
      </c>
      <c r="S826" s="231"/>
      <c r="T826" s="236"/>
      <c r="U826" s="236"/>
    </row>
    <row r="827" spans="1:21" ht="72" x14ac:dyDescent="0.3">
      <c r="A827" s="117">
        <v>825</v>
      </c>
      <c r="B827" s="110" t="s">
        <v>1533</v>
      </c>
      <c r="C827" s="111">
        <v>9</v>
      </c>
      <c r="D827" s="111">
        <v>2</v>
      </c>
      <c r="E827" s="118" t="s">
        <v>1151</v>
      </c>
      <c r="F827" s="118" t="s">
        <v>195</v>
      </c>
      <c r="G827" s="118" t="s">
        <v>231</v>
      </c>
      <c r="H827" s="117" t="s">
        <v>787</v>
      </c>
      <c r="I827" s="117" t="s">
        <v>1234</v>
      </c>
      <c r="J827" s="117" t="s">
        <v>1236</v>
      </c>
      <c r="K827" s="117" t="s">
        <v>1059</v>
      </c>
      <c r="L827" s="117" t="s">
        <v>1150</v>
      </c>
      <c r="M827" s="111"/>
      <c r="N827" s="120">
        <v>44855</v>
      </c>
      <c r="O827" s="140">
        <v>500</v>
      </c>
      <c r="P827" s="227">
        <f t="shared" si="18"/>
        <v>255.64594059810923</v>
      </c>
      <c r="Q827" s="107">
        <v>0</v>
      </c>
      <c r="R827" s="107">
        <v>0</v>
      </c>
      <c r="S827" s="231"/>
      <c r="T827" s="236"/>
      <c r="U827" s="236"/>
    </row>
    <row r="828" spans="1:21" ht="72" x14ac:dyDescent="0.3">
      <c r="A828" s="117">
        <v>826</v>
      </c>
      <c r="B828" s="110" t="s">
        <v>1042</v>
      </c>
      <c r="C828" s="111">
        <v>2</v>
      </c>
      <c r="D828" s="111">
        <v>1</v>
      </c>
      <c r="E828" s="118" t="s">
        <v>1163</v>
      </c>
      <c r="F828" s="118" t="s">
        <v>191</v>
      </c>
      <c r="G828" s="118" t="s">
        <v>245</v>
      </c>
      <c r="H828" s="117" t="s">
        <v>789</v>
      </c>
      <c r="I828" s="117" t="s">
        <v>1100</v>
      </c>
      <c r="J828" s="117" t="s">
        <v>1074</v>
      </c>
      <c r="K828" s="117" t="s">
        <v>1066</v>
      </c>
      <c r="L828" s="117" t="s">
        <v>1149</v>
      </c>
      <c r="M828" s="111"/>
      <c r="N828" s="122"/>
      <c r="O828" s="108">
        <v>2535.4249999999997</v>
      </c>
      <c r="P828" s="229">
        <f t="shared" si="18"/>
        <v>1296.3422178819221</v>
      </c>
      <c r="Q828" s="107">
        <v>0</v>
      </c>
      <c r="R828" s="107">
        <v>0</v>
      </c>
      <c r="S828" s="231">
        <f>P828*0.4</f>
        <v>518.53688715276883</v>
      </c>
      <c r="T828" s="236"/>
      <c r="U828" s="236"/>
    </row>
    <row r="829" spans="1:21" ht="72" x14ac:dyDescent="0.3">
      <c r="A829" s="117">
        <v>827</v>
      </c>
      <c r="B829" s="110" t="s">
        <v>1043</v>
      </c>
      <c r="C829" s="111">
        <v>7</v>
      </c>
      <c r="D829" s="111">
        <v>3</v>
      </c>
      <c r="E829" s="118" t="s">
        <v>1058</v>
      </c>
      <c r="F829" s="118" t="s">
        <v>193</v>
      </c>
      <c r="G829" s="118" t="s">
        <v>226</v>
      </c>
      <c r="H829" s="117" t="s">
        <v>772</v>
      </c>
      <c r="I829" s="117" t="s">
        <v>1142</v>
      </c>
      <c r="J829" s="117" t="s">
        <v>1095</v>
      </c>
      <c r="K829" s="117" t="s">
        <v>1063</v>
      </c>
      <c r="L829" s="117" t="s">
        <v>1149</v>
      </c>
      <c r="M829" s="111"/>
      <c r="N829" s="122"/>
      <c r="O829" s="108">
        <v>5284.8</v>
      </c>
      <c r="P829" s="229">
        <f t="shared" si="18"/>
        <v>2702.0753337457754</v>
      </c>
      <c r="Q829" s="107">
        <v>0</v>
      </c>
      <c r="R829" s="107">
        <v>0</v>
      </c>
      <c r="S829" s="231">
        <f>P829*0.4</f>
        <v>1080.8301334983103</v>
      </c>
      <c r="T829" s="236"/>
      <c r="U829" s="236"/>
    </row>
    <row r="830" spans="1:21" ht="72" x14ac:dyDescent="0.3">
      <c r="A830" s="117">
        <v>828</v>
      </c>
      <c r="B830" s="131" t="s">
        <v>1534</v>
      </c>
      <c r="C830" s="111">
        <v>24</v>
      </c>
      <c r="D830" s="111">
        <v>1</v>
      </c>
      <c r="E830" s="118" t="s">
        <v>1163</v>
      </c>
      <c r="F830" s="118" t="s">
        <v>225</v>
      </c>
      <c r="G830" s="119" t="s">
        <v>601</v>
      </c>
      <c r="H830" s="119" t="s">
        <v>790</v>
      </c>
      <c r="I830" s="117" t="s">
        <v>1295</v>
      </c>
      <c r="J830" s="117" t="s">
        <v>1290</v>
      </c>
      <c r="K830" s="117"/>
      <c r="L830" s="117" t="s">
        <v>1148</v>
      </c>
      <c r="M830" s="111"/>
      <c r="N830" s="120"/>
      <c r="O830" s="140">
        <v>33354.699999999997</v>
      </c>
      <c r="P830" s="227">
        <f t="shared" si="18"/>
        <v>17053.987309735508</v>
      </c>
      <c r="Q830" s="107">
        <v>0</v>
      </c>
      <c r="R830" s="107">
        <v>0</v>
      </c>
      <c r="S830" s="231"/>
      <c r="T830" s="236"/>
      <c r="U830" s="236"/>
    </row>
    <row r="831" spans="1:21" ht="158.4" x14ac:dyDescent="0.3">
      <c r="A831" s="117">
        <v>829</v>
      </c>
      <c r="B831" s="110" t="s">
        <v>1535</v>
      </c>
      <c r="C831" s="111">
        <v>33</v>
      </c>
      <c r="D831" s="111">
        <v>6</v>
      </c>
      <c r="E831" s="118" t="s">
        <v>1158</v>
      </c>
      <c r="F831" s="118" t="s">
        <v>1053</v>
      </c>
      <c r="G831" s="118" t="s">
        <v>611</v>
      </c>
      <c r="H831" s="117" t="s">
        <v>791</v>
      </c>
      <c r="I831" s="117" t="s">
        <v>1319</v>
      </c>
      <c r="J831" s="117"/>
      <c r="K831" s="117" t="s">
        <v>1122</v>
      </c>
      <c r="L831" s="117" t="s">
        <v>1150</v>
      </c>
      <c r="M831" s="111"/>
      <c r="N831" s="120"/>
      <c r="O831" s="140">
        <v>5204</v>
      </c>
      <c r="P831" s="227">
        <f t="shared" si="18"/>
        <v>2660.7629497451212</v>
      </c>
      <c r="Q831" s="107">
        <v>0</v>
      </c>
      <c r="R831" s="107">
        <v>0</v>
      </c>
      <c r="S831" s="231"/>
      <c r="T831" s="236"/>
      <c r="U831" s="236"/>
    </row>
    <row r="832" spans="1:21" ht="158.4" x14ac:dyDescent="0.3">
      <c r="A832" s="117">
        <v>830</v>
      </c>
      <c r="B832" s="110" t="s">
        <v>1536</v>
      </c>
      <c r="C832" s="111">
        <v>33</v>
      </c>
      <c r="D832" s="111">
        <v>6</v>
      </c>
      <c r="E832" s="118" t="s">
        <v>1158</v>
      </c>
      <c r="F832" s="118" t="s">
        <v>1053</v>
      </c>
      <c r="G832" s="118" t="s">
        <v>1315</v>
      </c>
      <c r="H832" s="118" t="s">
        <v>792</v>
      </c>
      <c r="I832" s="117" t="s">
        <v>1311</v>
      </c>
      <c r="J832" s="117" t="s">
        <v>1313</v>
      </c>
      <c r="K832" s="117" t="s">
        <v>1057</v>
      </c>
      <c r="L832" s="117" t="s">
        <v>1154</v>
      </c>
      <c r="M832" s="111"/>
      <c r="N832" s="120"/>
      <c r="O832" s="140">
        <v>6800</v>
      </c>
      <c r="P832" s="227">
        <f t="shared" si="18"/>
        <v>3476.7847921342859</v>
      </c>
      <c r="Q832" s="107">
        <v>0</v>
      </c>
      <c r="R832" s="107">
        <v>0</v>
      </c>
      <c r="S832" s="231"/>
      <c r="T832" s="236"/>
      <c r="U832" s="236"/>
    </row>
    <row r="833" spans="1:21" ht="72" x14ac:dyDescent="0.3">
      <c r="A833" s="117">
        <v>831</v>
      </c>
      <c r="B833" s="110" t="s">
        <v>1017</v>
      </c>
      <c r="C833" s="111">
        <v>37</v>
      </c>
      <c r="D833" s="111">
        <v>1</v>
      </c>
      <c r="E833" s="118" t="s">
        <v>1163</v>
      </c>
      <c r="F833" s="118" t="s">
        <v>221</v>
      </c>
      <c r="G833" s="118" t="s">
        <v>220</v>
      </c>
      <c r="H833" s="117" t="s">
        <v>788</v>
      </c>
      <c r="I833" s="117" t="s">
        <v>1144</v>
      </c>
      <c r="J833" s="117"/>
      <c r="K833" s="117" t="s">
        <v>1061</v>
      </c>
      <c r="L833" s="117" t="s">
        <v>1150</v>
      </c>
      <c r="M833" s="111"/>
      <c r="N833" s="122"/>
      <c r="O833" s="108">
        <v>180</v>
      </c>
      <c r="P833" s="229">
        <f t="shared" si="18"/>
        <v>92.032538615319325</v>
      </c>
      <c r="Q833" s="107">
        <v>0</v>
      </c>
      <c r="R833" s="107">
        <v>0</v>
      </c>
      <c r="S833" s="231"/>
      <c r="T833" s="236"/>
      <c r="U833" s="236"/>
    </row>
    <row r="834" spans="1:21" ht="158.4" x14ac:dyDescent="0.3">
      <c r="A834" s="117">
        <v>832</v>
      </c>
      <c r="B834" s="110" t="s">
        <v>1537</v>
      </c>
      <c r="C834" s="111">
        <v>33</v>
      </c>
      <c r="D834" s="111">
        <v>6</v>
      </c>
      <c r="E834" s="118" t="s">
        <v>1158</v>
      </c>
      <c r="F834" s="118" t="s">
        <v>1053</v>
      </c>
      <c r="G834" s="118" t="s">
        <v>612</v>
      </c>
      <c r="H834" s="117" t="s">
        <v>793</v>
      </c>
      <c r="I834" s="117" t="s">
        <v>1319</v>
      </c>
      <c r="J834" s="117"/>
      <c r="K834" s="117" t="s">
        <v>1122</v>
      </c>
      <c r="L834" s="117" t="s">
        <v>1150</v>
      </c>
      <c r="M834" s="111"/>
      <c r="N834" s="120"/>
      <c r="O834" s="140">
        <v>5204</v>
      </c>
      <c r="P834" s="227">
        <f t="shared" si="18"/>
        <v>2660.7629497451212</v>
      </c>
      <c r="Q834" s="107">
        <v>0</v>
      </c>
      <c r="R834" s="107">
        <v>0</v>
      </c>
      <c r="S834" s="231"/>
      <c r="T834" s="236"/>
      <c r="U834" s="236"/>
    </row>
    <row r="835" spans="1:21" ht="72" x14ac:dyDescent="0.3">
      <c r="A835" s="117">
        <v>833</v>
      </c>
      <c r="B835" s="110" t="s">
        <v>1538</v>
      </c>
      <c r="C835" s="111">
        <v>38</v>
      </c>
      <c r="D835" s="111">
        <v>1</v>
      </c>
      <c r="E835" s="118" t="s">
        <v>1163</v>
      </c>
      <c r="F835" s="118" t="s">
        <v>264</v>
      </c>
      <c r="G835" s="118" t="s">
        <v>224</v>
      </c>
      <c r="H835" s="118" t="s">
        <v>794</v>
      </c>
      <c r="I835" s="117" t="s">
        <v>1321</v>
      </c>
      <c r="J835" s="117" t="s">
        <v>1322</v>
      </c>
      <c r="K835" s="117" t="s">
        <v>1069</v>
      </c>
      <c r="L835" s="117" t="s">
        <v>1150</v>
      </c>
      <c r="M835" s="111"/>
      <c r="N835" s="122"/>
      <c r="O835" s="140">
        <f>270*1.95583</f>
        <v>528.07410000000004</v>
      </c>
      <c r="P835" s="227">
        <f t="shared" si="18"/>
        <v>270</v>
      </c>
      <c r="Q835" s="107">
        <v>0</v>
      </c>
      <c r="R835" s="107">
        <v>0</v>
      </c>
      <c r="S835" s="231"/>
      <c r="T835" s="236"/>
      <c r="U835" s="236"/>
    </row>
    <row r="836" spans="1:21" ht="57.6" x14ac:dyDescent="0.3">
      <c r="A836" s="117">
        <v>834</v>
      </c>
      <c r="B836" s="110" t="s">
        <v>1539</v>
      </c>
      <c r="C836" s="111">
        <v>16</v>
      </c>
      <c r="D836" s="111">
        <v>4</v>
      </c>
      <c r="E836" s="118" t="s">
        <v>1353</v>
      </c>
      <c r="F836" s="118" t="s">
        <v>201</v>
      </c>
      <c r="G836" s="118" t="s">
        <v>375</v>
      </c>
      <c r="H836" s="117" t="s">
        <v>795</v>
      </c>
      <c r="I836" s="117" t="s">
        <v>1171</v>
      </c>
      <c r="J836" s="117" t="s">
        <v>1176</v>
      </c>
      <c r="K836" s="117" t="s">
        <v>1063</v>
      </c>
      <c r="L836" s="117" t="s">
        <v>1149</v>
      </c>
      <c r="M836" s="111"/>
      <c r="N836" s="122"/>
      <c r="O836" s="140">
        <v>5809.8</v>
      </c>
      <c r="P836" s="227">
        <f t="shared" ref="P836:P899" si="20">O836/$P$1</f>
        <v>2970.5035713737902</v>
      </c>
      <c r="Q836" s="107">
        <v>0</v>
      </c>
      <c r="R836" s="107">
        <v>0</v>
      </c>
      <c r="S836" s="231">
        <f>P836*0.4</f>
        <v>1188.2014285495161</v>
      </c>
      <c r="T836" s="236"/>
      <c r="U836" s="236"/>
    </row>
    <row r="837" spans="1:21" ht="57.6" x14ac:dyDescent="0.3">
      <c r="A837" s="117">
        <v>835</v>
      </c>
      <c r="B837" s="110" t="s">
        <v>1540</v>
      </c>
      <c r="C837" s="111">
        <v>16</v>
      </c>
      <c r="D837" s="111">
        <v>4</v>
      </c>
      <c r="E837" s="118" t="s">
        <v>1353</v>
      </c>
      <c r="F837" s="118" t="s">
        <v>201</v>
      </c>
      <c r="G837" s="118" t="s">
        <v>375</v>
      </c>
      <c r="H837" s="118" t="s">
        <v>795</v>
      </c>
      <c r="I837" s="117" t="s">
        <v>1171</v>
      </c>
      <c r="J837" s="117" t="s">
        <v>1176</v>
      </c>
      <c r="K837" s="117" t="s">
        <v>1066</v>
      </c>
      <c r="L837" s="117" t="s">
        <v>1149</v>
      </c>
      <c r="M837" s="111"/>
      <c r="N837" s="122"/>
      <c r="O837" s="140">
        <v>5809.8</v>
      </c>
      <c r="P837" s="227">
        <f t="shared" si="20"/>
        <v>2970.5035713737902</v>
      </c>
      <c r="Q837" s="107">
        <v>0</v>
      </c>
      <c r="R837" s="107">
        <v>0</v>
      </c>
      <c r="S837" s="231">
        <f>P837*0.4</f>
        <v>1188.2014285495161</v>
      </c>
      <c r="T837" s="236"/>
      <c r="U837" s="236"/>
    </row>
    <row r="838" spans="1:21" ht="72" x14ac:dyDescent="0.3">
      <c r="A838" s="117">
        <v>836</v>
      </c>
      <c r="B838" s="110" t="s">
        <v>1018</v>
      </c>
      <c r="C838" s="111">
        <v>1</v>
      </c>
      <c r="D838" s="111">
        <v>1</v>
      </c>
      <c r="E838" s="118" t="s">
        <v>1163</v>
      </c>
      <c r="F838" s="118" t="s">
        <v>190</v>
      </c>
      <c r="G838" s="119" t="s">
        <v>33</v>
      </c>
      <c r="H838" s="119" t="s">
        <v>796</v>
      </c>
      <c r="I838" s="117"/>
      <c r="J838" s="117"/>
      <c r="K838" s="117" t="s">
        <v>11</v>
      </c>
      <c r="L838" s="117" t="s">
        <v>1149</v>
      </c>
      <c r="M838" s="111"/>
      <c r="N838" s="120">
        <v>45352</v>
      </c>
      <c r="O838" s="108">
        <v>2788.84</v>
      </c>
      <c r="P838" s="229">
        <f>O838/$P$1</f>
        <v>1425.9112499552621</v>
      </c>
      <c r="Q838" s="107">
        <v>0</v>
      </c>
      <c r="R838" s="107">
        <v>0</v>
      </c>
      <c r="S838" s="231">
        <f>P838*0.4</f>
        <v>570.3644999821048</v>
      </c>
      <c r="T838" s="236"/>
      <c r="U838" s="236"/>
    </row>
    <row r="839" spans="1:21" ht="72" x14ac:dyDescent="0.3">
      <c r="A839" s="117">
        <v>837</v>
      </c>
      <c r="B839" s="110" t="s">
        <v>1541</v>
      </c>
      <c r="C839" s="111">
        <v>51</v>
      </c>
      <c r="D839" s="111">
        <v>1</v>
      </c>
      <c r="E839" s="118" t="s">
        <v>1163</v>
      </c>
      <c r="F839" s="118" t="s">
        <v>595</v>
      </c>
      <c r="G839" s="118" t="s">
        <v>615</v>
      </c>
      <c r="H839" s="118" t="s">
        <v>797</v>
      </c>
      <c r="I839" s="117"/>
      <c r="J839" s="117"/>
      <c r="K839" s="117" t="s">
        <v>1055</v>
      </c>
      <c r="L839" s="117" t="s">
        <v>1148</v>
      </c>
      <c r="M839" s="111"/>
      <c r="N839" s="122"/>
      <c r="O839" s="140">
        <v>687</v>
      </c>
      <c r="P839" s="227">
        <f t="shared" si="20"/>
        <v>351.25752238180212</v>
      </c>
      <c r="Q839" s="107">
        <v>0</v>
      </c>
      <c r="R839" s="107">
        <v>0</v>
      </c>
      <c r="S839" s="231"/>
      <c r="T839" s="236"/>
      <c r="U839" s="236"/>
    </row>
    <row r="840" spans="1:21" ht="72" x14ac:dyDescent="0.3">
      <c r="A840" s="117">
        <v>838</v>
      </c>
      <c r="B840" s="110" t="s">
        <v>1542</v>
      </c>
      <c r="C840" s="111">
        <v>7</v>
      </c>
      <c r="D840" s="111">
        <v>3</v>
      </c>
      <c r="E840" s="118" t="s">
        <v>1058</v>
      </c>
      <c r="F840" s="118" t="s">
        <v>193</v>
      </c>
      <c r="G840" s="118" t="s">
        <v>110</v>
      </c>
      <c r="H840" s="117" t="s">
        <v>798</v>
      </c>
      <c r="I840" s="117" t="s">
        <v>1142</v>
      </c>
      <c r="J840" s="117" t="s">
        <v>1095</v>
      </c>
      <c r="K840" s="117" t="s">
        <v>1056</v>
      </c>
      <c r="L840" s="117" t="s">
        <v>1153</v>
      </c>
      <c r="M840" s="111"/>
      <c r="N840" s="122"/>
      <c r="O840" s="140">
        <v>5284.8</v>
      </c>
      <c r="P840" s="227">
        <f t="shared" si="20"/>
        <v>2702.0753337457754</v>
      </c>
      <c r="Q840" s="107">
        <v>0</v>
      </c>
      <c r="R840" s="107">
        <v>0</v>
      </c>
      <c r="S840" s="231"/>
      <c r="T840" s="236"/>
      <c r="U840" s="236"/>
    </row>
    <row r="841" spans="1:21" ht="72" x14ac:dyDescent="0.3">
      <c r="A841" s="117">
        <v>839</v>
      </c>
      <c r="B841" s="110" t="s">
        <v>1019</v>
      </c>
      <c r="C841" s="111">
        <v>43</v>
      </c>
      <c r="D841" s="111">
        <v>3</v>
      </c>
      <c r="E841" s="118" t="s">
        <v>1058</v>
      </c>
      <c r="F841" s="118" t="s">
        <v>243</v>
      </c>
      <c r="G841" s="118" t="s">
        <v>244</v>
      </c>
      <c r="H841" s="117" t="s">
        <v>799</v>
      </c>
      <c r="I841" s="117"/>
      <c r="J841" s="117"/>
      <c r="K841" s="117" t="s">
        <v>1122</v>
      </c>
      <c r="L841" s="117" t="s">
        <v>1150</v>
      </c>
      <c r="M841" s="111"/>
      <c r="N841" s="120">
        <v>44144</v>
      </c>
      <c r="O841" s="108">
        <v>950</v>
      </c>
      <c r="P841" s="229">
        <f t="shared" si="20"/>
        <v>485.7272871364076</v>
      </c>
      <c r="Q841" s="107">
        <v>0</v>
      </c>
      <c r="R841" s="107">
        <v>0</v>
      </c>
      <c r="S841" s="231"/>
      <c r="T841" s="236"/>
      <c r="U841" s="236"/>
    </row>
    <row r="842" spans="1:21" ht="72" x14ac:dyDescent="0.3">
      <c r="A842" s="117">
        <v>840</v>
      </c>
      <c r="B842" s="110" t="s">
        <v>1020</v>
      </c>
      <c r="C842" s="111">
        <v>43</v>
      </c>
      <c r="D842" s="111">
        <v>3</v>
      </c>
      <c r="E842" s="118" t="s">
        <v>1058</v>
      </c>
      <c r="F842" s="118" t="s">
        <v>243</v>
      </c>
      <c r="G842" s="118" t="s">
        <v>244</v>
      </c>
      <c r="H842" s="117" t="s">
        <v>799</v>
      </c>
      <c r="I842" s="117"/>
      <c r="J842" s="117"/>
      <c r="K842" s="117" t="s">
        <v>1122</v>
      </c>
      <c r="L842" s="117" t="s">
        <v>1150</v>
      </c>
      <c r="M842" s="111"/>
      <c r="N842" s="122">
        <v>2018</v>
      </c>
      <c r="O842" s="108">
        <v>950</v>
      </c>
      <c r="P842" s="229">
        <f t="shared" si="20"/>
        <v>485.7272871364076</v>
      </c>
      <c r="Q842" s="107">
        <v>0</v>
      </c>
      <c r="R842" s="107">
        <v>0</v>
      </c>
      <c r="S842" s="231"/>
      <c r="T842" s="236"/>
      <c r="U842" s="236"/>
    </row>
    <row r="843" spans="1:21" ht="57.6" x14ac:dyDescent="0.3">
      <c r="A843" s="117">
        <v>841</v>
      </c>
      <c r="B843" s="110" t="s">
        <v>1543</v>
      </c>
      <c r="C843" s="111">
        <v>16</v>
      </c>
      <c r="D843" s="111">
        <v>4</v>
      </c>
      <c r="E843" s="118" t="s">
        <v>1353</v>
      </c>
      <c r="F843" s="118" t="s">
        <v>201</v>
      </c>
      <c r="G843" s="119" t="s">
        <v>1204</v>
      </c>
      <c r="H843" s="117" t="s">
        <v>731</v>
      </c>
      <c r="I843" s="117" t="s">
        <v>1135</v>
      </c>
      <c r="J843" s="117"/>
      <c r="K843" s="117" t="s">
        <v>1067</v>
      </c>
      <c r="L843" s="117" t="s">
        <v>1150</v>
      </c>
      <c r="M843" s="111"/>
      <c r="N843" s="122"/>
      <c r="O843" s="140">
        <v>10849.2</v>
      </c>
      <c r="P843" s="227">
        <f t="shared" si="20"/>
        <v>5547.1078774740145</v>
      </c>
      <c r="Q843" s="107">
        <v>0</v>
      </c>
      <c r="R843" s="107">
        <v>0</v>
      </c>
      <c r="S843" s="231"/>
      <c r="T843" s="236"/>
      <c r="U843" s="236"/>
    </row>
    <row r="844" spans="1:21" ht="72" x14ac:dyDescent="0.3">
      <c r="A844" s="117">
        <v>842</v>
      </c>
      <c r="B844" s="110" t="s">
        <v>1021</v>
      </c>
      <c r="C844" s="111">
        <v>2</v>
      </c>
      <c r="D844" s="111">
        <v>1</v>
      </c>
      <c r="E844" s="118" t="s">
        <v>1163</v>
      </c>
      <c r="F844" s="118" t="s">
        <v>191</v>
      </c>
      <c r="G844" s="119" t="s">
        <v>8</v>
      </c>
      <c r="H844" s="117" t="s">
        <v>800</v>
      </c>
      <c r="I844" s="117" t="s">
        <v>1210</v>
      </c>
      <c r="J844" s="117" t="s">
        <v>1096</v>
      </c>
      <c r="K844" s="117" t="s">
        <v>1056</v>
      </c>
      <c r="L844" s="117" t="s">
        <v>1153</v>
      </c>
      <c r="M844" s="111"/>
      <c r="N844" s="120">
        <v>45352</v>
      </c>
      <c r="O844" s="108">
        <v>1700</v>
      </c>
      <c r="P844" s="229">
        <f t="shared" si="20"/>
        <v>869.19619803357148</v>
      </c>
      <c r="Q844" s="107">
        <v>0</v>
      </c>
      <c r="R844" s="107">
        <v>0</v>
      </c>
      <c r="S844" s="231"/>
      <c r="T844" s="236"/>
      <c r="U844" s="236"/>
    </row>
    <row r="845" spans="1:21" ht="72" x14ac:dyDescent="0.3">
      <c r="A845" s="117">
        <v>843</v>
      </c>
      <c r="B845" s="110" t="s">
        <v>1022</v>
      </c>
      <c r="C845" s="111">
        <v>2</v>
      </c>
      <c r="D845" s="111">
        <v>1</v>
      </c>
      <c r="E845" s="118" t="s">
        <v>1163</v>
      </c>
      <c r="F845" s="118" t="s">
        <v>191</v>
      </c>
      <c r="G845" s="119" t="s">
        <v>8</v>
      </c>
      <c r="H845" s="119" t="s">
        <v>800</v>
      </c>
      <c r="I845" s="117" t="s">
        <v>1210</v>
      </c>
      <c r="J845" s="117" t="s">
        <v>1096</v>
      </c>
      <c r="K845" s="117" t="s">
        <v>1056</v>
      </c>
      <c r="L845" s="117" t="s">
        <v>1153</v>
      </c>
      <c r="M845" s="111"/>
      <c r="N845" s="120">
        <v>45352</v>
      </c>
      <c r="O845" s="108">
        <v>1700</v>
      </c>
      <c r="P845" s="229">
        <f t="shared" si="20"/>
        <v>869.19619803357148</v>
      </c>
      <c r="Q845" s="107">
        <v>0</v>
      </c>
      <c r="R845" s="107">
        <v>0</v>
      </c>
      <c r="S845" s="231"/>
      <c r="T845" s="236"/>
      <c r="U845" s="236"/>
    </row>
    <row r="846" spans="1:21" ht="72" x14ac:dyDescent="0.3">
      <c r="A846" s="117">
        <v>844</v>
      </c>
      <c r="B846" s="110" t="s">
        <v>1023</v>
      </c>
      <c r="C846" s="111">
        <v>2</v>
      </c>
      <c r="D846" s="111">
        <v>1</v>
      </c>
      <c r="E846" s="118" t="s">
        <v>1163</v>
      </c>
      <c r="F846" s="118" t="s">
        <v>191</v>
      </c>
      <c r="G846" s="119" t="s">
        <v>8</v>
      </c>
      <c r="H846" s="119" t="s">
        <v>800</v>
      </c>
      <c r="I846" s="117" t="s">
        <v>1210</v>
      </c>
      <c r="J846" s="117" t="s">
        <v>1096</v>
      </c>
      <c r="K846" s="117" t="s">
        <v>1056</v>
      </c>
      <c r="L846" s="117" t="s">
        <v>1153</v>
      </c>
      <c r="M846" s="111"/>
      <c r="N846" s="120">
        <v>45352</v>
      </c>
      <c r="O846" s="108">
        <v>1700</v>
      </c>
      <c r="P846" s="229">
        <f t="shared" si="20"/>
        <v>869.19619803357148</v>
      </c>
      <c r="Q846" s="107">
        <v>0</v>
      </c>
      <c r="R846" s="107">
        <v>0</v>
      </c>
      <c r="S846" s="231"/>
      <c r="T846" s="236"/>
      <c r="U846" s="236"/>
    </row>
    <row r="847" spans="1:21" ht="72" x14ac:dyDescent="0.3">
      <c r="A847" s="117">
        <v>845</v>
      </c>
      <c r="B847" s="110" t="s">
        <v>1544</v>
      </c>
      <c r="C847" s="111">
        <v>45</v>
      </c>
      <c r="D847" s="111">
        <v>3</v>
      </c>
      <c r="E847" s="118" t="s">
        <v>1058</v>
      </c>
      <c r="F847" s="118" t="s">
        <v>258</v>
      </c>
      <c r="G847" s="118" t="s">
        <v>257</v>
      </c>
      <c r="H847" s="117" t="s">
        <v>801</v>
      </c>
      <c r="I847" s="117"/>
      <c r="J847" s="117" t="s">
        <v>1145</v>
      </c>
      <c r="K847" s="117" t="s">
        <v>1055</v>
      </c>
      <c r="L847" s="117" t="s">
        <v>1148</v>
      </c>
      <c r="M847" s="111"/>
      <c r="N847" s="120">
        <v>44330</v>
      </c>
      <c r="O847" s="140">
        <v>2160</v>
      </c>
      <c r="P847" s="227">
        <f t="shared" si="20"/>
        <v>1104.390463383832</v>
      </c>
      <c r="Q847" s="107">
        <v>0</v>
      </c>
      <c r="R847" s="107">
        <v>0</v>
      </c>
      <c r="S847" s="231"/>
      <c r="T847" s="236"/>
      <c r="U847" s="236"/>
    </row>
    <row r="848" spans="1:21" ht="72" x14ac:dyDescent="0.3">
      <c r="A848" s="117">
        <v>846</v>
      </c>
      <c r="B848" s="131" t="s">
        <v>1024</v>
      </c>
      <c r="C848" s="111">
        <v>37</v>
      </c>
      <c r="D848" s="111">
        <v>1</v>
      </c>
      <c r="E848" s="118" t="s">
        <v>1163</v>
      </c>
      <c r="F848" s="118" t="s">
        <v>221</v>
      </c>
      <c r="G848" s="119" t="s">
        <v>591</v>
      </c>
      <c r="H848" s="119" t="s">
        <v>802</v>
      </c>
      <c r="I848" s="117" t="s">
        <v>1320</v>
      </c>
      <c r="J848" s="117"/>
      <c r="K848" s="117" t="s">
        <v>1055</v>
      </c>
      <c r="L848" s="117" t="s">
        <v>1148</v>
      </c>
      <c r="M848" s="111"/>
      <c r="N848" s="120"/>
      <c r="O848" s="108">
        <v>720</v>
      </c>
      <c r="P848" s="229">
        <f t="shared" si="20"/>
        <v>368.1301544612773</v>
      </c>
      <c r="Q848" s="107">
        <v>0</v>
      </c>
      <c r="R848" s="107">
        <v>0</v>
      </c>
      <c r="S848" s="231"/>
      <c r="T848" s="236"/>
      <c r="U848" s="236"/>
    </row>
    <row r="849" spans="1:21" ht="72" x14ac:dyDescent="0.3">
      <c r="A849" s="117">
        <v>847</v>
      </c>
      <c r="B849" s="131" t="s">
        <v>1025</v>
      </c>
      <c r="C849" s="111">
        <v>37</v>
      </c>
      <c r="D849" s="111">
        <v>1</v>
      </c>
      <c r="E849" s="118" t="s">
        <v>1163</v>
      </c>
      <c r="F849" s="118" t="s">
        <v>221</v>
      </c>
      <c r="G849" s="119" t="s">
        <v>591</v>
      </c>
      <c r="H849" s="117" t="s">
        <v>789</v>
      </c>
      <c r="I849" s="117" t="s">
        <v>1320</v>
      </c>
      <c r="J849" s="117"/>
      <c r="K849" s="117" t="s">
        <v>1055</v>
      </c>
      <c r="L849" s="117" t="s">
        <v>1148</v>
      </c>
      <c r="M849" s="111"/>
      <c r="N849" s="120"/>
      <c r="O849" s="108">
        <v>720</v>
      </c>
      <c r="P849" s="229">
        <f t="shared" si="20"/>
        <v>368.1301544612773</v>
      </c>
      <c r="Q849" s="107">
        <v>0</v>
      </c>
      <c r="R849" s="107">
        <v>0</v>
      </c>
      <c r="S849" s="231"/>
      <c r="T849" s="236"/>
      <c r="U849" s="236"/>
    </row>
    <row r="850" spans="1:21" ht="72" x14ac:dyDescent="0.3">
      <c r="A850" s="117">
        <v>848</v>
      </c>
      <c r="B850" s="110" t="s">
        <v>1026</v>
      </c>
      <c r="C850" s="111">
        <v>1</v>
      </c>
      <c r="D850" s="111">
        <v>1</v>
      </c>
      <c r="E850" s="118" t="s">
        <v>1163</v>
      </c>
      <c r="F850" s="118" t="s">
        <v>190</v>
      </c>
      <c r="G850" s="119" t="s">
        <v>33</v>
      </c>
      <c r="H850" s="119" t="s">
        <v>796</v>
      </c>
      <c r="I850" s="117"/>
      <c r="J850" s="117"/>
      <c r="K850" s="117" t="s">
        <v>11</v>
      </c>
      <c r="L850" s="117" t="s">
        <v>1149</v>
      </c>
      <c r="M850" s="111"/>
      <c r="N850" s="120">
        <v>45352</v>
      </c>
      <c r="O850" s="108">
        <v>2788.84</v>
      </c>
      <c r="P850" s="229">
        <f t="shared" si="20"/>
        <v>1425.9112499552621</v>
      </c>
      <c r="Q850" s="107">
        <v>0</v>
      </c>
      <c r="R850" s="107">
        <v>0</v>
      </c>
      <c r="S850" s="231">
        <f>P850*0.4</f>
        <v>570.3644999821048</v>
      </c>
      <c r="T850" s="236"/>
      <c r="U850" s="236"/>
    </row>
    <row r="851" spans="1:21" ht="72" x14ac:dyDescent="0.3">
      <c r="A851" s="117">
        <v>849</v>
      </c>
      <c r="B851" s="110" t="s">
        <v>1027</v>
      </c>
      <c r="C851" s="111">
        <v>1</v>
      </c>
      <c r="D851" s="111">
        <v>1</v>
      </c>
      <c r="E851" s="118" t="s">
        <v>1163</v>
      </c>
      <c r="F851" s="118" t="s">
        <v>190</v>
      </c>
      <c r="G851" s="119" t="s">
        <v>33</v>
      </c>
      <c r="H851" s="119" t="s">
        <v>796</v>
      </c>
      <c r="I851" s="117"/>
      <c r="J851" s="117"/>
      <c r="K851" s="117" t="s">
        <v>11</v>
      </c>
      <c r="L851" s="117" t="s">
        <v>1149</v>
      </c>
      <c r="M851" s="111"/>
      <c r="N851" s="120">
        <v>45352</v>
      </c>
      <c r="O851" s="108">
        <v>2788.84</v>
      </c>
      <c r="P851" s="229">
        <f t="shared" si="20"/>
        <v>1425.9112499552621</v>
      </c>
      <c r="Q851" s="107">
        <v>0</v>
      </c>
      <c r="R851" s="107">
        <v>0</v>
      </c>
      <c r="S851" s="231">
        <f>P851*0.4</f>
        <v>570.3644999821048</v>
      </c>
      <c r="T851" s="236"/>
      <c r="U851" s="236"/>
    </row>
    <row r="852" spans="1:21" ht="72" x14ac:dyDescent="0.3">
      <c r="A852" s="117">
        <v>850</v>
      </c>
      <c r="B852" s="110" t="s">
        <v>1028</v>
      </c>
      <c r="C852" s="111">
        <v>2</v>
      </c>
      <c r="D852" s="111">
        <v>1</v>
      </c>
      <c r="E852" s="118" t="s">
        <v>1163</v>
      </c>
      <c r="F852" s="118" t="s">
        <v>191</v>
      </c>
      <c r="G852" s="118" t="s">
        <v>245</v>
      </c>
      <c r="H852" s="117" t="s">
        <v>789</v>
      </c>
      <c r="I852" s="117" t="s">
        <v>1100</v>
      </c>
      <c r="J852" s="117" t="s">
        <v>1074</v>
      </c>
      <c r="K852" s="117" t="s">
        <v>1061</v>
      </c>
      <c r="L852" s="117" t="s">
        <v>1150</v>
      </c>
      <c r="M852" s="111"/>
      <c r="N852" s="122"/>
      <c r="O852" s="108">
        <v>2535.4249999999997</v>
      </c>
      <c r="P852" s="229">
        <f t="shared" si="20"/>
        <v>1296.3422178819221</v>
      </c>
      <c r="Q852" s="107">
        <v>0</v>
      </c>
      <c r="R852" s="107">
        <v>0</v>
      </c>
      <c r="S852" s="231"/>
      <c r="T852" s="236"/>
      <c r="U852" s="236"/>
    </row>
    <row r="853" spans="1:21" ht="72" x14ac:dyDescent="0.3">
      <c r="A853" s="117">
        <v>851</v>
      </c>
      <c r="B853" s="110" t="s">
        <v>1029</v>
      </c>
      <c r="C853" s="111">
        <v>46</v>
      </c>
      <c r="D853" s="111">
        <v>3</v>
      </c>
      <c r="E853" s="118" t="s">
        <v>1058</v>
      </c>
      <c r="F853" s="118" t="s">
        <v>230</v>
      </c>
      <c r="G853" s="118" t="s">
        <v>230</v>
      </c>
      <c r="H853" s="117" t="s">
        <v>803</v>
      </c>
      <c r="I853" s="117"/>
      <c r="J853" s="117"/>
      <c r="K853" s="117" t="s">
        <v>1063</v>
      </c>
      <c r="L853" s="117" t="s">
        <v>1149</v>
      </c>
      <c r="M853" s="111"/>
      <c r="N853" s="120">
        <v>43542</v>
      </c>
      <c r="O853" s="108">
        <v>450</v>
      </c>
      <c r="P853" s="229">
        <f t="shared" si="20"/>
        <v>230.08134653829833</v>
      </c>
      <c r="Q853" s="107">
        <v>0</v>
      </c>
      <c r="R853" s="107">
        <v>0</v>
      </c>
      <c r="S853" s="231">
        <v>100</v>
      </c>
      <c r="T853" s="236"/>
      <c r="U853" s="236"/>
    </row>
    <row r="854" spans="1:21" ht="72" x14ac:dyDescent="0.3">
      <c r="A854" s="117">
        <v>852</v>
      </c>
      <c r="B854" s="110" t="s">
        <v>1030</v>
      </c>
      <c r="C854" s="111">
        <v>2</v>
      </c>
      <c r="D854" s="111">
        <v>1</v>
      </c>
      <c r="E854" s="118" t="s">
        <v>1163</v>
      </c>
      <c r="F854" s="118" t="s">
        <v>191</v>
      </c>
      <c r="G854" s="119" t="s">
        <v>400</v>
      </c>
      <c r="H854" s="117" t="s">
        <v>804</v>
      </c>
      <c r="I854" s="117" t="s">
        <v>1073</v>
      </c>
      <c r="J854" s="117" t="s">
        <v>1096</v>
      </c>
      <c r="K854" s="117" t="s">
        <v>1056</v>
      </c>
      <c r="L854" s="117" t="s">
        <v>1153</v>
      </c>
      <c r="M854" s="111"/>
      <c r="N854" s="120">
        <v>45352</v>
      </c>
      <c r="O854" s="108">
        <v>1800</v>
      </c>
      <c r="P854" s="229">
        <f t="shared" si="20"/>
        <v>920.32538615319334</v>
      </c>
      <c r="Q854" s="107">
        <v>0</v>
      </c>
      <c r="R854" s="107">
        <v>0</v>
      </c>
      <c r="S854" s="231"/>
      <c r="T854" s="236"/>
      <c r="U854" s="236"/>
    </row>
    <row r="855" spans="1:21" ht="72" x14ac:dyDescent="0.3">
      <c r="A855" s="117">
        <v>853</v>
      </c>
      <c r="B855" s="110" t="s">
        <v>1545</v>
      </c>
      <c r="C855" s="111">
        <v>2</v>
      </c>
      <c r="D855" s="111">
        <v>1</v>
      </c>
      <c r="E855" s="118" t="s">
        <v>1163</v>
      </c>
      <c r="F855" s="118" t="s">
        <v>191</v>
      </c>
      <c r="G855" s="118" t="s">
        <v>111</v>
      </c>
      <c r="H855" s="117" t="s">
        <v>805</v>
      </c>
      <c r="I855" s="117" t="s">
        <v>1102</v>
      </c>
      <c r="J855" s="117" t="s">
        <v>1074</v>
      </c>
      <c r="K855" s="117" t="s">
        <v>1066</v>
      </c>
      <c r="L855" s="117" t="s">
        <v>1149</v>
      </c>
      <c r="M855" s="111"/>
      <c r="N855" s="122"/>
      <c r="O855" s="140">
        <v>2977.5249999999996</v>
      </c>
      <c r="P855" s="227">
        <f t="shared" si="20"/>
        <v>1522.3843585587704</v>
      </c>
      <c r="Q855" s="107">
        <v>0</v>
      </c>
      <c r="R855" s="107">
        <v>0</v>
      </c>
      <c r="S855" s="231">
        <f>P855*0.4</f>
        <v>608.95374342350817</v>
      </c>
      <c r="T855" s="236"/>
      <c r="U855" s="236"/>
    </row>
    <row r="856" spans="1:21" ht="72" x14ac:dyDescent="0.3">
      <c r="A856" s="117">
        <v>854</v>
      </c>
      <c r="B856" s="110" t="s">
        <v>1546</v>
      </c>
      <c r="C856" s="111">
        <v>2</v>
      </c>
      <c r="D856" s="111">
        <v>1</v>
      </c>
      <c r="E856" s="118" t="s">
        <v>1163</v>
      </c>
      <c r="F856" s="118" t="s">
        <v>191</v>
      </c>
      <c r="G856" s="119" t="s">
        <v>55</v>
      </c>
      <c r="H856" s="117" t="s">
        <v>806</v>
      </c>
      <c r="I856" s="117" t="s">
        <v>1102</v>
      </c>
      <c r="J856" s="117" t="s">
        <v>1074</v>
      </c>
      <c r="K856" s="117" t="s">
        <v>1056</v>
      </c>
      <c r="L856" s="117" t="s">
        <v>1153</v>
      </c>
      <c r="M856" s="111"/>
      <c r="N856" s="122"/>
      <c r="O856" s="140">
        <v>2977.5249999999996</v>
      </c>
      <c r="P856" s="227">
        <f t="shared" si="20"/>
        <v>1522.3843585587704</v>
      </c>
      <c r="Q856" s="107">
        <v>0</v>
      </c>
      <c r="R856" s="107">
        <v>0</v>
      </c>
      <c r="S856" s="231"/>
      <c r="T856" s="236"/>
      <c r="U856" s="236"/>
    </row>
    <row r="857" spans="1:21" ht="72" x14ac:dyDescent="0.3">
      <c r="A857" s="117">
        <v>855</v>
      </c>
      <c r="B857" s="110" t="s">
        <v>1547</v>
      </c>
      <c r="C857" s="111">
        <v>4</v>
      </c>
      <c r="D857" s="111">
        <v>3</v>
      </c>
      <c r="E857" s="118" t="s">
        <v>1058</v>
      </c>
      <c r="F857" s="118" t="s">
        <v>213</v>
      </c>
      <c r="G857" s="118" t="s">
        <v>572</v>
      </c>
      <c r="H857" s="117" t="s">
        <v>807</v>
      </c>
      <c r="I857" s="117" t="s">
        <v>1068</v>
      </c>
      <c r="J857" s="117"/>
      <c r="K857" s="117" t="s">
        <v>1056</v>
      </c>
      <c r="L857" s="117" t="s">
        <v>1153</v>
      </c>
      <c r="M857" s="111"/>
      <c r="N857" s="122"/>
      <c r="O857" s="140">
        <v>10876.833333333334</v>
      </c>
      <c r="P857" s="227">
        <f t="shared" si="20"/>
        <v>5561.2365764577362</v>
      </c>
      <c r="Q857" s="107">
        <v>0</v>
      </c>
      <c r="R857" s="107">
        <v>0</v>
      </c>
      <c r="S857" s="231"/>
      <c r="T857" s="236"/>
      <c r="U857" s="236"/>
    </row>
    <row r="858" spans="1:21" ht="72" x14ac:dyDescent="0.3">
      <c r="A858" s="117">
        <v>856</v>
      </c>
      <c r="B858" s="131" t="s">
        <v>1548</v>
      </c>
      <c r="C858" s="111">
        <v>24</v>
      </c>
      <c r="D858" s="111">
        <v>1</v>
      </c>
      <c r="E858" s="118" t="s">
        <v>1163</v>
      </c>
      <c r="F858" s="118" t="s">
        <v>225</v>
      </c>
      <c r="G858" s="119" t="s">
        <v>599</v>
      </c>
      <c r="H858" s="119" t="s">
        <v>808</v>
      </c>
      <c r="I858" s="117" t="s">
        <v>1295</v>
      </c>
      <c r="J858" s="117" t="s">
        <v>1290</v>
      </c>
      <c r="K858" s="117"/>
      <c r="L858" s="117" t="s">
        <v>1148</v>
      </c>
      <c r="M858" s="111"/>
      <c r="N858" s="120"/>
      <c r="O858" s="140">
        <v>33354.699999999997</v>
      </c>
      <c r="P858" s="227">
        <f t="shared" si="20"/>
        <v>17053.987309735508</v>
      </c>
      <c r="Q858" s="107">
        <v>0</v>
      </c>
      <c r="R858" s="107">
        <v>0</v>
      </c>
      <c r="S858" s="231"/>
      <c r="T858" s="236"/>
      <c r="U858" s="236"/>
    </row>
    <row r="859" spans="1:21" ht="72" x14ac:dyDescent="0.3">
      <c r="A859" s="117">
        <v>857</v>
      </c>
      <c r="B859" s="110" t="s">
        <v>1549</v>
      </c>
      <c r="C859" s="111">
        <v>19</v>
      </c>
      <c r="D859" s="111">
        <v>1</v>
      </c>
      <c r="E859" s="118" t="s">
        <v>1163</v>
      </c>
      <c r="F859" s="118" t="s">
        <v>69</v>
      </c>
      <c r="G859" s="118" t="s">
        <v>594</v>
      </c>
      <c r="H859" s="117" t="s">
        <v>809</v>
      </c>
      <c r="I859" s="117"/>
      <c r="J859" s="117"/>
      <c r="K859" s="117" t="s">
        <v>1055</v>
      </c>
      <c r="L859" s="117" t="s">
        <v>1148</v>
      </c>
      <c r="M859" s="111"/>
      <c r="N859" s="122"/>
      <c r="O859" s="140">
        <v>2335</v>
      </c>
      <c r="P859" s="227">
        <f t="shared" si="20"/>
        <v>1193.8665425931702</v>
      </c>
      <c r="Q859" s="107">
        <v>0</v>
      </c>
      <c r="R859" s="107">
        <v>0</v>
      </c>
      <c r="S859" s="231"/>
      <c r="T859" s="236"/>
      <c r="U859" s="236"/>
    </row>
    <row r="860" spans="1:21" ht="72" x14ac:dyDescent="0.3">
      <c r="A860" s="117">
        <v>858</v>
      </c>
      <c r="B860" s="110" t="s">
        <v>1550</v>
      </c>
      <c r="C860" s="111">
        <v>19</v>
      </c>
      <c r="D860" s="111">
        <v>1</v>
      </c>
      <c r="E860" s="118" t="s">
        <v>1163</v>
      </c>
      <c r="F860" s="118" t="s">
        <v>69</v>
      </c>
      <c r="G860" s="118" t="s">
        <v>594</v>
      </c>
      <c r="H860" s="117" t="s">
        <v>809</v>
      </c>
      <c r="I860" s="117"/>
      <c r="J860" s="117"/>
      <c r="K860" s="117" t="s">
        <v>1055</v>
      </c>
      <c r="L860" s="117" t="s">
        <v>1148</v>
      </c>
      <c r="M860" s="111"/>
      <c r="N860" s="122"/>
      <c r="O860" s="140">
        <v>2335</v>
      </c>
      <c r="P860" s="227">
        <f t="shared" si="20"/>
        <v>1193.8665425931702</v>
      </c>
      <c r="Q860" s="107">
        <v>0</v>
      </c>
      <c r="R860" s="107">
        <v>0</v>
      </c>
      <c r="S860" s="231"/>
      <c r="T860" s="236"/>
      <c r="U860" s="236"/>
    </row>
    <row r="861" spans="1:21" ht="72" x14ac:dyDescent="0.3">
      <c r="A861" s="117">
        <v>859</v>
      </c>
      <c r="B861" s="110" t="s">
        <v>1551</v>
      </c>
      <c r="C861" s="111">
        <v>28</v>
      </c>
      <c r="D861" s="111">
        <v>3</v>
      </c>
      <c r="E861" s="118" t="s">
        <v>1058</v>
      </c>
      <c r="F861" s="118" t="s">
        <v>205</v>
      </c>
      <c r="G861" s="118" t="s">
        <v>75</v>
      </c>
      <c r="H861" s="117" t="s">
        <v>810</v>
      </c>
      <c r="I861" s="117" t="s">
        <v>1346</v>
      </c>
      <c r="J861" s="117" t="s">
        <v>1300</v>
      </c>
      <c r="K861" s="117" t="s">
        <v>1066</v>
      </c>
      <c r="L861" s="117" t="s">
        <v>1149</v>
      </c>
      <c r="M861" s="111"/>
      <c r="N861" s="122"/>
      <c r="O861" s="140">
        <v>1080</v>
      </c>
      <c r="P861" s="227">
        <f t="shared" si="20"/>
        <v>552.19523169191598</v>
      </c>
      <c r="Q861" s="107">
        <v>0</v>
      </c>
      <c r="R861" s="107">
        <v>0</v>
      </c>
      <c r="S861" s="231">
        <v>100</v>
      </c>
      <c r="T861" s="236"/>
      <c r="U861" s="236"/>
    </row>
    <row r="862" spans="1:21" ht="158.4" x14ac:dyDescent="0.3">
      <c r="A862" s="117">
        <v>860</v>
      </c>
      <c r="B862" s="131" t="s">
        <v>1552</v>
      </c>
      <c r="C862" s="111">
        <v>34</v>
      </c>
      <c r="D862" s="111">
        <v>6</v>
      </c>
      <c r="E862" s="118" t="s">
        <v>1158</v>
      </c>
      <c r="F862" s="118" t="s">
        <v>210</v>
      </c>
      <c r="G862" s="119" t="s">
        <v>605</v>
      </c>
      <c r="H862" s="119" t="s">
        <v>811</v>
      </c>
      <c r="I862" s="117"/>
      <c r="J862" s="117"/>
      <c r="K862" s="117" t="s">
        <v>1122</v>
      </c>
      <c r="L862" s="117" t="s">
        <v>1150</v>
      </c>
      <c r="M862" s="111"/>
      <c r="N862" s="122"/>
      <c r="O862" s="140">
        <v>5071.47</v>
      </c>
      <c r="P862" s="227">
        <f t="shared" si="20"/>
        <v>2593.0014367301865</v>
      </c>
      <c r="Q862" s="107">
        <v>0</v>
      </c>
      <c r="R862" s="107">
        <v>0</v>
      </c>
      <c r="S862" s="231"/>
      <c r="T862" s="236"/>
      <c r="U862" s="236"/>
    </row>
    <row r="863" spans="1:21" ht="72" x14ac:dyDescent="0.3">
      <c r="A863" s="117">
        <v>861</v>
      </c>
      <c r="B863" s="110" t="s">
        <v>1031</v>
      </c>
      <c r="C863" s="111">
        <v>2</v>
      </c>
      <c r="D863" s="111">
        <v>1</v>
      </c>
      <c r="E863" s="118" t="s">
        <v>1163</v>
      </c>
      <c r="F863" s="118" t="s">
        <v>191</v>
      </c>
      <c r="G863" s="118" t="s">
        <v>109</v>
      </c>
      <c r="H863" s="117" t="s">
        <v>812</v>
      </c>
      <c r="I863" s="117" t="s">
        <v>1073</v>
      </c>
      <c r="J863" s="117" t="s">
        <v>1096</v>
      </c>
      <c r="K863" s="117" t="s">
        <v>1059</v>
      </c>
      <c r="L863" s="117" t="s">
        <v>1150</v>
      </c>
      <c r="M863" s="111"/>
      <c r="N863" s="122"/>
      <c r="O863" s="108">
        <v>1800</v>
      </c>
      <c r="P863" s="229">
        <f t="shared" si="20"/>
        <v>920.32538615319334</v>
      </c>
      <c r="Q863" s="107">
        <v>0</v>
      </c>
      <c r="R863" s="107">
        <v>0</v>
      </c>
      <c r="S863" s="231"/>
      <c r="T863" s="236"/>
      <c r="U863" s="236"/>
    </row>
    <row r="864" spans="1:21" ht="72" x14ac:dyDescent="0.3">
      <c r="A864" s="117">
        <v>862</v>
      </c>
      <c r="B864" s="110" t="s">
        <v>1032</v>
      </c>
      <c r="C864" s="111">
        <v>1</v>
      </c>
      <c r="D864" s="111">
        <v>1</v>
      </c>
      <c r="E864" s="118" t="s">
        <v>1163</v>
      </c>
      <c r="F864" s="118" t="s">
        <v>190</v>
      </c>
      <c r="G864" s="119" t="s">
        <v>398</v>
      </c>
      <c r="H864" s="119" t="s">
        <v>813</v>
      </c>
      <c r="I864" s="117"/>
      <c r="J864" s="117"/>
      <c r="K864" s="117" t="s">
        <v>11</v>
      </c>
      <c r="L864" s="117" t="s">
        <v>1149</v>
      </c>
      <c r="M864" s="111"/>
      <c r="N864" s="120">
        <v>45352</v>
      </c>
      <c r="O864" s="108">
        <v>2788.84</v>
      </c>
      <c r="P864" s="229">
        <f t="shared" si="20"/>
        <v>1425.9112499552621</v>
      </c>
      <c r="Q864" s="107">
        <v>0</v>
      </c>
      <c r="R864" s="107">
        <v>0</v>
      </c>
      <c r="S864" s="231">
        <f>P864*0.4</f>
        <v>570.3644999821048</v>
      </c>
      <c r="T864" s="236"/>
      <c r="U864" s="236"/>
    </row>
    <row r="865" spans="1:21" ht="72" x14ac:dyDescent="0.3">
      <c r="A865" s="117">
        <v>863</v>
      </c>
      <c r="B865" s="131" t="s">
        <v>1553</v>
      </c>
      <c r="C865" s="111">
        <v>24</v>
      </c>
      <c r="D865" s="111">
        <v>1</v>
      </c>
      <c r="E865" s="118" t="s">
        <v>1163</v>
      </c>
      <c r="F865" s="118" t="s">
        <v>225</v>
      </c>
      <c r="G865" s="119" t="s">
        <v>602</v>
      </c>
      <c r="H865" s="119" t="s">
        <v>814</v>
      </c>
      <c r="I865" s="117" t="s">
        <v>1345</v>
      </c>
      <c r="J865" s="117" t="s">
        <v>1289</v>
      </c>
      <c r="K865" s="117"/>
      <c r="L865" s="117" t="s">
        <v>1148</v>
      </c>
      <c r="M865" s="111"/>
      <c r="N865" s="120"/>
      <c r="O865" s="140">
        <v>1348</v>
      </c>
      <c r="P865" s="227">
        <f t="shared" si="20"/>
        <v>689.22145585250257</v>
      </c>
      <c r="Q865" s="107">
        <v>0</v>
      </c>
      <c r="R865" s="107">
        <v>0</v>
      </c>
      <c r="S865" s="231"/>
      <c r="T865" s="236"/>
      <c r="U865" s="236"/>
    </row>
    <row r="866" spans="1:21" ht="72" x14ac:dyDescent="0.3">
      <c r="A866" s="117">
        <v>864</v>
      </c>
      <c r="B866" s="110" t="s">
        <v>1033</v>
      </c>
      <c r="C866" s="111">
        <v>1</v>
      </c>
      <c r="D866" s="111">
        <v>1</v>
      </c>
      <c r="E866" s="118" t="s">
        <v>1163</v>
      </c>
      <c r="F866" s="118" t="s">
        <v>190</v>
      </c>
      <c r="G866" s="119" t="s">
        <v>33</v>
      </c>
      <c r="H866" s="119" t="s">
        <v>796</v>
      </c>
      <c r="I866" s="117"/>
      <c r="J866" s="117"/>
      <c r="K866" s="117" t="s">
        <v>11</v>
      </c>
      <c r="L866" s="117" t="s">
        <v>1149</v>
      </c>
      <c r="M866" s="111"/>
      <c r="N866" s="120">
        <v>45352</v>
      </c>
      <c r="O866" s="108">
        <v>2788.84</v>
      </c>
      <c r="P866" s="229">
        <f t="shared" si="20"/>
        <v>1425.9112499552621</v>
      </c>
      <c r="Q866" s="107">
        <v>0</v>
      </c>
      <c r="R866" s="107">
        <v>0</v>
      </c>
      <c r="S866" s="231">
        <f>P866*0.4</f>
        <v>570.3644999821048</v>
      </c>
      <c r="T866" s="236"/>
      <c r="U866" s="236"/>
    </row>
    <row r="867" spans="1:21" ht="72" x14ac:dyDescent="0.3">
      <c r="A867" s="117">
        <v>865</v>
      </c>
      <c r="B867" s="110" t="s">
        <v>1034</v>
      </c>
      <c r="C867" s="111">
        <v>1</v>
      </c>
      <c r="D867" s="111">
        <v>1</v>
      </c>
      <c r="E867" s="118" t="s">
        <v>1163</v>
      </c>
      <c r="F867" s="118" t="s">
        <v>190</v>
      </c>
      <c r="G867" s="119" t="s">
        <v>33</v>
      </c>
      <c r="H867" s="119" t="s">
        <v>796</v>
      </c>
      <c r="I867" s="117"/>
      <c r="J867" s="117"/>
      <c r="K867" s="117" t="s">
        <v>11</v>
      </c>
      <c r="L867" s="117" t="s">
        <v>1149</v>
      </c>
      <c r="M867" s="111"/>
      <c r="N867" s="120">
        <v>45352</v>
      </c>
      <c r="O867" s="108">
        <v>2788.84</v>
      </c>
      <c r="P867" s="229">
        <f t="shared" si="20"/>
        <v>1425.9112499552621</v>
      </c>
      <c r="Q867" s="107">
        <v>0</v>
      </c>
      <c r="R867" s="107">
        <v>0</v>
      </c>
      <c r="S867" s="231">
        <f>P867*0.4</f>
        <v>570.3644999821048</v>
      </c>
      <c r="T867" s="236"/>
      <c r="U867" s="236"/>
    </row>
    <row r="868" spans="1:21" ht="72" x14ac:dyDescent="0.3">
      <c r="A868" s="117">
        <v>866</v>
      </c>
      <c r="B868" s="110" t="s">
        <v>1554</v>
      </c>
      <c r="C868" s="111">
        <v>9</v>
      </c>
      <c r="D868" s="111">
        <v>2</v>
      </c>
      <c r="E868" s="118" t="s">
        <v>1151</v>
      </c>
      <c r="F868" s="118" t="s">
        <v>195</v>
      </c>
      <c r="G868" s="119" t="s">
        <v>12</v>
      </c>
      <c r="H868" s="119" t="s">
        <v>815</v>
      </c>
      <c r="I868" s="117" t="s">
        <v>1078</v>
      </c>
      <c r="J868" s="117" t="s">
        <v>1239</v>
      </c>
      <c r="K868" s="117" t="s">
        <v>1059</v>
      </c>
      <c r="L868" s="117" t="s">
        <v>1150</v>
      </c>
      <c r="M868" s="111"/>
      <c r="N868" s="122"/>
      <c r="O868" s="140">
        <v>13703.891249999999</v>
      </c>
      <c r="P868" s="227">
        <f t="shared" si="20"/>
        <v>7006.6883369208972</v>
      </c>
      <c r="Q868" s="107">
        <v>0</v>
      </c>
      <c r="R868" s="107">
        <v>0</v>
      </c>
      <c r="S868" s="231"/>
      <c r="T868" s="236"/>
      <c r="U868" s="236"/>
    </row>
    <row r="869" spans="1:21" ht="72" x14ac:dyDescent="0.3">
      <c r="A869" s="117">
        <v>867</v>
      </c>
      <c r="B869" s="110" t="s">
        <v>1555</v>
      </c>
      <c r="C869" s="111">
        <v>9</v>
      </c>
      <c r="D869" s="111">
        <v>2</v>
      </c>
      <c r="E869" s="118" t="s">
        <v>1151</v>
      </c>
      <c r="F869" s="118" t="s">
        <v>195</v>
      </c>
      <c r="G869" s="118" t="s">
        <v>4</v>
      </c>
      <c r="H869" s="118" t="s">
        <v>816</v>
      </c>
      <c r="I869" s="117" t="s">
        <v>1062</v>
      </c>
      <c r="J869" s="117" t="s">
        <v>1239</v>
      </c>
      <c r="K869" s="117" t="s">
        <v>1059</v>
      </c>
      <c r="L869" s="117" t="s">
        <v>1150</v>
      </c>
      <c r="M869" s="111"/>
      <c r="N869" s="122"/>
      <c r="O869" s="140">
        <v>5317.54</v>
      </c>
      <c r="P869" s="227">
        <f t="shared" si="20"/>
        <v>2718.8150299361396</v>
      </c>
      <c r="Q869" s="107">
        <v>0</v>
      </c>
      <c r="R869" s="107">
        <v>0</v>
      </c>
      <c r="S869" s="231"/>
      <c r="T869" s="236"/>
      <c r="U869" s="236"/>
    </row>
    <row r="870" spans="1:21" ht="72" x14ac:dyDescent="0.3">
      <c r="A870" s="117">
        <v>868</v>
      </c>
      <c r="B870" s="110" t="s">
        <v>1556</v>
      </c>
      <c r="C870" s="111">
        <v>9</v>
      </c>
      <c r="D870" s="111">
        <v>2</v>
      </c>
      <c r="E870" s="118" t="s">
        <v>1151</v>
      </c>
      <c r="F870" s="118" t="s">
        <v>195</v>
      </c>
      <c r="G870" s="118" t="s">
        <v>4</v>
      </c>
      <c r="H870" s="118" t="s">
        <v>816</v>
      </c>
      <c r="I870" s="117" t="s">
        <v>1062</v>
      </c>
      <c r="J870" s="117" t="s">
        <v>1239</v>
      </c>
      <c r="K870" s="117" t="s">
        <v>1059</v>
      </c>
      <c r="L870" s="117" t="s">
        <v>1150</v>
      </c>
      <c r="M870" s="111"/>
      <c r="N870" s="122"/>
      <c r="O870" s="140">
        <v>5317.54</v>
      </c>
      <c r="P870" s="227">
        <f t="shared" si="20"/>
        <v>2718.8150299361396</v>
      </c>
      <c r="Q870" s="107">
        <v>0</v>
      </c>
      <c r="R870" s="107">
        <v>0</v>
      </c>
      <c r="S870" s="231"/>
      <c r="T870" s="236"/>
      <c r="U870" s="236"/>
    </row>
    <row r="871" spans="1:21" ht="72" x14ac:dyDescent="0.3">
      <c r="A871" s="117">
        <v>869</v>
      </c>
      <c r="B871" s="110" t="s">
        <v>1557</v>
      </c>
      <c r="C871" s="111">
        <v>9</v>
      </c>
      <c r="D871" s="111">
        <v>2</v>
      </c>
      <c r="E871" s="118" t="s">
        <v>1151</v>
      </c>
      <c r="F871" s="118" t="s">
        <v>195</v>
      </c>
      <c r="G871" s="118" t="s">
        <v>4</v>
      </c>
      <c r="H871" s="118" t="s">
        <v>816</v>
      </c>
      <c r="I871" s="117" t="s">
        <v>1062</v>
      </c>
      <c r="J871" s="117" t="s">
        <v>1239</v>
      </c>
      <c r="K871" s="117" t="s">
        <v>1061</v>
      </c>
      <c r="L871" s="117" t="s">
        <v>1150</v>
      </c>
      <c r="M871" s="111"/>
      <c r="N871" s="122"/>
      <c r="O871" s="140">
        <v>5317.54</v>
      </c>
      <c r="P871" s="227">
        <f t="shared" si="20"/>
        <v>2718.8150299361396</v>
      </c>
      <c r="Q871" s="107">
        <v>0</v>
      </c>
      <c r="R871" s="107">
        <v>0</v>
      </c>
      <c r="S871" s="231"/>
      <c r="T871" s="236"/>
      <c r="U871" s="236"/>
    </row>
    <row r="872" spans="1:21" ht="72" x14ac:dyDescent="0.3">
      <c r="A872" s="117">
        <v>870</v>
      </c>
      <c r="B872" s="110" t="s">
        <v>1558</v>
      </c>
      <c r="C872" s="111">
        <v>9</v>
      </c>
      <c r="D872" s="111">
        <v>2</v>
      </c>
      <c r="E872" s="118" t="s">
        <v>1151</v>
      </c>
      <c r="F872" s="118" t="s">
        <v>195</v>
      </c>
      <c r="G872" s="118" t="s">
        <v>12</v>
      </c>
      <c r="H872" s="118" t="s">
        <v>815</v>
      </c>
      <c r="I872" s="117" t="s">
        <v>1078</v>
      </c>
      <c r="J872" s="117" t="s">
        <v>1239</v>
      </c>
      <c r="K872" s="117" t="s">
        <v>1056</v>
      </c>
      <c r="L872" s="117" t="s">
        <v>1153</v>
      </c>
      <c r="M872" s="111"/>
      <c r="N872" s="122"/>
      <c r="O872" s="140">
        <v>13703.891249999999</v>
      </c>
      <c r="P872" s="227">
        <f t="shared" si="20"/>
        <v>7006.6883369208972</v>
      </c>
      <c r="Q872" s="107">
        <v>0</v>
      </c>
      <c r="R872" s="107">
        <v>0</v>
      </c>
      <c r="S872" s="231"/>
      <c r="T872" s="236"/>
      <c r="U872" s="236"/>
    </row>
    <row r="873" spans="1:21" ht="72" x14ac:dyDescent="0.3">
      <c r="A873" s="117">
        <v>871</v>
      </c>
      <c r="B873" s="110" t="s">
        <v>1559</v>
      </c>
      <c r="C873" s="111">
        <v>9</v>
      </c>
      <c r="D873" s="111">
        <v>2</v>
      </c>
      <c r="E873" s="118" t="s">
        <v>1151</v>
      </c>
      <c r="F873" s="118" t="s">
        <v>195</v>
      </c>
      <c r="G873" s="118" t="s">
        <v>12</v>
      </c>
      <c r="H873" s="118" t="s">
        <v>815</v>
      </c>
      <c r="I873" s="117" t="s">
        <v>1078</v>
      </c>
      <c r="J873" s="117" t="s">
        <v>1239</v>
      </c>
      <c r="K873" s="117" t="s">
        <v>1061</v>
      </c>
      <c r="L873" s="117" t="s">
        <v>1150</v>
      </c>
      <c r="M873" s="111"/>
      <c r="N873" s="122"/>
      <c r="O873" s="140">
        <v>13703.891249999999</v>
      </c>
      <c r="P873" s="227">
        <f t="shared" si="20"/>
        <v>7006.6883369208972</v>
      </c>
      <c r="Q873" s="107">
        <v>0</v>
      </c>
      <c r="R873" s="107">
        <v>0</v>
      </c>
      <c r="S873" s="231"/>
      <c r="T873" s="236"/>
      <c r="U873" s="236"/>
    </row>
    <row r="874" spans="1:21" ht="72" x14ac:dyDescent="0.3">
      <c r="A874" s="117">
        <v>872</v>
      </c>
      <c r="B874" s="110" t="s">
        <v>1035</v>
      </c>
      <c r="C874" s="111">
        <v>1</v>
      </c>
      <c r="D874" s="111">
        <v>1</v>
      </c>
      <c r="E874" s="118" t="s">
        <v>1163</v>
      </c>
      <c r="F874" s="118" t="s">
        <v>190</v>
      </c>
      <c r="G874" s="119" t="s">
        <v>398</v>
      </c>
      <c r="H874" s="119" t="s">
        <v>813</v>
      </c>
      <c r="I874" s="117"/>
      <c r="J874" s="117"/>
      <c r="K874" s="117" t="s">
        <v>11</v>
      </c>
      <c r="L874" s="117" t="s">
        <v>1149</v>
      </c>
      <c r="M874" s="111"/>
      <c r="N874" s="120">
        <v>45352</v>
      </c>
      <c r="O874" s="108">
        <v>2788.84</v>
      </c>
      <c r="P874" s="229">
        <f t="shared" si="20"/>
        <v>1425.9112499552621</v>
      </c>
      <c r="Q874" s="107">
        <v>0</v>
      </c>
      <c r="R874" s="107">
        <v>0</v>
      </c>
      <c r="S874" s="231">
        <f>P874*0.4</f>
        <v>570.3644999821048</v>
      </c>
      <c r="T874" s="236"/>
      <c r="U874" s="236"/>
    </row>
    <row r="875" spans="1:21" ht="72" x14ac:dyDescent="0.3">
      <c r="A875" s="117">
        <v>873</v>
      </c>
      <c r="B875" s="110" t="s">
        <v>1560</v>
      </c>
      <c r="C875" s="111">
        <v>45</v>
      </c>
      <c r="D875" s="111">
        <v>3</v>
      </c>
      <c r="E875" s="118" t="s">
        <v>1058</v>
      </c>
      <c r="F875" s="118" t="s">
        <v>258</v>
      </c>
      <c r="G875" s="118" t="s">
        <v>112</v>
      </c>
      <c r="H875" s="117" t="s">
        <v>817</v>
      </c>
      <c r="I875" s="117"/>
      <c r="J875" s="117" t="s">
        <v>1146</v>
      </c>
      <c r="K875" s="117" t="s">
        <v>1066</v>
      </c>
      <c r="L875" s="117" t="s">
        <v>1149</v>
      </c>
      <c r="M875" s="111">
        <v>14521</v>
      </c>
      <c r="N875" s="122"/>
      <c r="O875" s="140">
        <v>1800</v>
      </c>
      <c r="P875" s="227">
        <f t="shared" si="20"/>
        <v>920.32538615319334</v>
      </c>
      <c r="Q875" s="107">
        <v>0</v>
      </c>
      <c r="R875" s="107">
        <v>0</v>
      </c>
      <c r="S875" s="231">
        <v>100</v>
      </c>
      <c r="T875" s="236"/>
      <c r="U875" s="236"/>
    </row>
    <row r="876" spans="1:21" ht="57.6" x14ac:dyDescent="0.3">
      <c r="A876" s="117">
        <v>874</v>
      </c>
      <c r="B876" s="110" t="s">
        <v>1561</v>
      </c>
      <c r="C876" s="111">
        <v>17</v>
      </c>
      <c r="D876" s="111">
        <v>4</v>
      </c>
      <c r="E876" s="118" t="s">
        <v>1353</v>
      </c>
      <c r="F876" s="118" t="s">
        <v>202</v>
      </c>
      <c r="G876" s="119" t="s">
        <v>380</v>
      </c>
      <c r="H876" s="117" t="s">
        <v>818</v>
      </c>
      <c r="I876" s="117" t="s">
        <v>1279</v>
      </c>
      <c r="J876" s="117"/>
      <c r="K876" s="117" t="s">
        <v>1077</v>
      </c>
      <c r="L876" s="117" t="s">
        <v>1150</v>
      </c>
      <c r="M876" s="111"/>
      <c r="N876" s="122"/>
      <c r="O876" s="140">
        <v>63399</v>
      </c>
      <c r="P876" s="227">
        <f t="shared" si="20"/>
        <v>32415.393975959058</v>
      </c>
      <c r="Q876" s="107">
        <v>0</v>
      </c>
      <c r="R876" s="107">
        <v>0</v>
      </c>
      <c r="S876" s="231"/>
      <c r="T876" s="236"/>
      <c r="U876" s="236"/>
    </row>
    <row r="877" spans="1:21" ht="57.6" x14ac:dyDescent="0.3">
      <c r="A877" s="117">
        <v>875</v>
      </c>
      <c r="B877" s="110" t="s">
        <v>1562</v>
      </c>
      <c r="C877" s="111">
        <v>17</v>
      </c>
      <c r="D877" s="111">
        <v>4</v>
      </c>
      <c r="E877" s="118" t="s">
        <v>1353</v>
      </c>
      <c r="F877" s="118" t="s">
        <v>202</v>
      </c>
      <c r="G877" s="119" t="s">
        <v>376</v>
      </c>
      <c r="H877" s="117" t="s">
        <v>819</v>
      </c>
      <c r="I877" s="117" t="s">
        <v>1281</v>
      </c>
      <c r="J877" s="117"/>
      <c r="K877" s="117" t="s">
        <v>1061</v>
      </c>
      <c r="L877" s="117" t="s">
        <v>1150</v>
      </c>
      <c r="M877" s="111"/>
      <c r="N877" s="122"/>
      <c r="O877" s="140">
        <v>28329</v>
      </c>
      <c r="P877" s="227">
        <f t="shared" si="20"/>
        <v>14484.387702407674</v>
      </c>
      <c r="Q877" s="107">
        <v>0</v>
      </c>
      <c r="R877" s="107">
        <v>0</v>
      </c>
      <c r="S877" s="231"/>
      <c r="T877" s="236"/>
      <c r="U877" s="236"/>
    </row>
    <row r="878" spans="1:21" ht="57.6" x14ac:dyDescent="0.3">
      <c r="A878" s="117">
        <v>876</v>
      </c>
      <c r="B878" s="110" t="s">
        <v>1563</v>
      </c>
      <c r="C878" s="111">
        <v>17</v>
      </c>
      <c r="D878" s="111">
        <v>4</v>
      </c>
      <c r="E878" s="118" t="s">
        <v>1353</v>
      </c>
      <c r="F878" s="118" t="s">
        <v>202</v>
      </c>
      <c r="G878" s="119" t="s">
        <v>382</v>
      </c>
      <c r="H878" s="117" t="s">
        <v>820</v>
      </c>
      <c r="I878" s="117" t="s">
        <v>1280</v>
      </c>
      <c r="J878" s="117"/>
      <c r="K878" s="117" t="s">
        <v>1077</v>
      </c>
      <c r="L878" s="117" t="s">
        <v>1150</v>
      </c>
      <c r="M878" s="111"/>
      <c r="N878" s="122"/>
      <c r="O878" s="140">
        <v>83249</v>
      </c>
      <c r="P878" s="227">
        <f t="shared" si="20"/>
        <v>42564.537817703997</v>
      </c>
      <c r="Q878" s="107">
        <v>0</v>
      </c>
      <c r="R878" s="107">
        <v>0</v>
      </c>
      <c r="S878" s="231"/>
      <c r="T878" s="236"/>
      <c r="U878" s="236"/>
    </row>
    <row r="879" spans="1:21" ht="158.4" x14ac:dyDescent="0.3">
      <c r="A879" s="117">
        <v>877</v>
      </c>
      <c r="B879" s="110" t="s">
        <v>1564</v>
      </c>
      <c r="C879" s="111">
        <v>33</v>
      </c>
      <c r="D879" s="111">
        <v>6</v>
      </c>
      <c r="E879" s="118" t="s">
        <v>1158</v>
      </c>
      <c r="F879" s="118" t="s">
        <v>1053</v>
      </c>
      <c r="G879" s="118" t="s">
        <v>607</v>
      </c>
      <c r="H879" s="118" t="s">
        <v>822</v>
      </c>
      <c r="I879" s="117" t="s">
        <v>1316</v>
      </c>
      <c r="J879" s="117" t="s">
        <v>1317</v>
      </c>
      <c r="K879" s="117" t="s">
        <v>1057</v>
      </c>
      <c r="L879" s="117" t="s">
        <v>1154</v>
      </c>
      <c r="M879" s="111"/>
      <c r="N879" s="120"/>
      <c r="O879" s="140">
        <v>1695</v>
      </c>
      <c r="P879" s="227">
        <f t="shared" si="20"/>
        <v>866.6397386275903</v>
      </c>
      <c r="Q879" s="107">
        <v>0</v>
      </c>
      <c r="R879" s="107">
        <v>0</v>
      </c>
      <c r="S879" s="231"/>
      <c r="T879" s="236"/>
      <c r="U879" s="236"/>
    </row>
    <row r="880" spans="1:21" ht="72" x14ac:dyDescent="0.3">
      <c r="A880" s="117">
        <v>878</v>
      </c>
      <c r="B880" s="110" t="s">
        <v>1036</v>
      </c>
      <c r="C880" s="111">
        <v>1</v>
      </c>
      <c r="D880" s="111">
        <v>1</v>
      </c>
      <c r="E880" s="118" t="s">
        <v>1163</v>
      </c>
      <c r="F880" s="118" t="s">
        <v>190</v>
      </c>
      <c r="G880" s="119" t="s">
        <v>398</v>
      </c>
      <c r="H880" s="119" t="s">
        <v>821</v>
      </c>
      <c r="I880" s="117"/>
      <c r="J880" s="117"/>
      <c r="K880" s="117" t="s">
        <v>11</v>
      </c>
      <c r="L880" s="117" t="s">
        <v>1149</v>
      </c>
      <c r="M880" s="111"/>
      <c r="N880" s="120">
        <v>45352</v>
      </c>
      <c r="O880" s="108">
        <v>2788.84</v>
      </c>
      <c r="P880" s="229">
        <f t="shared" si="20"/>
        <v>1425.9112499552621</v>
      </c>
      <c r="Q880" s="107">
        <v>0</v>
      </c>
      <c r="R880" s="107">
        <v>0</v>
      </c>
      <c r="S880" s="231">
        <f>P880*0.4</f>
        <v>570.3644999821048</v>
      </c>
      <c r="T880" s="236"/>
      <c r="U880" s="236"/>
    </row>
    <row r="881" spans="1:21" ht="72" x14ac:dyDescent="0.3">
      <c r="A881" s="117">
        <v>879</v>
      </c>
      <c r="B881" s="110" t="s">
        <v>1037</v>
      </c>
      <c r="C881" s="111">
        <v>1</v>
      </c>
      <c r="D881" s="111">
        <v>1</v>
      </c>
      <c r="E881" s="118" t="s">
        <v>1163</v>
      </c>
      <c r="F881" s="118" t="s">
        <v>190</v>
      </c>
      <c r="G881" s="119" t="s">
        <v>398</v>
      </c>
      <c r="H881" s="119" t="s">
        <v>821</v>
      </c>
      <c r="I881" s="117"/>
      <c r="J881" s="117"/>
      <c r="K881" s="117" t="s">
        <v>11</v>
      </c>
      <c r="L881" s="117" t="s">
        <v>1149</v>
      </c>
      <c r="M881" s="111"/>
      <c r="N881" s="120">
        <v>45352</v>
      </c>
      <c r="O881" s="108">
        <v>2788.84</v>
      </c>
      <c r="P881" s="229">
        <f t="shared" si="20"/>
        <v>1425.9112499552621</v>
      </c>
      <c r="Q881" s="107">
        <v>0</v>
      </c>
      <c r="R881" s="107">
        <v>0</v>
      </c>
      <c r="S881" s="231">
        <f>P881*0.4</f>
        <v>570.3644999821048</v>
      </c>
      <c r="T881" s="236"/>
      <c r="U881" s="236"/>
    </row>
    <row r="882" spans="1:21" ht="158.4" x14ac:dyDescent="0.3">
      <c r="A882" s="117">
        <v>880</v>
      </c>
      <c r="B882" s="131" t="s">
        <v>1565</v>
      </c>
      <c r="C882" s="111">
        <v>34</v>
      </c>
      <c r="D882" s="111">
        <v>6</v>
      </c>
      <c r="E882" s="118" t="s">
        <v>1158</v>
      </c>
      <c r="F882" s="118" t="s">
        <v>210</v>
      </c>
      <c r="G882" s="119" t="s">
        <v>604</v>
      </c>
      <c r="H882" s="119" t="s">
        <v>824</v>
      </c>
      <c r="I882" s="117"/>
      <c r="J882" s="117"/>
      <c r="K882" s="117" t="s">
        <v>1122</v>
      </c>
      <c r="L882" s="117" t="s">
        <v>1150</v>
      </c>
      <c r="M882" s="111"/>
      <c r="N882" s="122"/>
      <c r="O882" s="140">
        <v>5071.47</v>
      </c>
      <c r="P882" s="227">
        <f t="shared" si="20"/>
        <v>2593.0014367301865</v>
      </c>
      <c r="Q882" s="107">
        <v>0</v>
      </c>
      <c r="R882" s="107">
        <v>0</v>
      </c>
      <c r="S882" s="231"/>
      <c r="T882" s="236"/>
      <c r="U882" s="236"/>
    </row>
    <row r="883" spans="1:21" ht="158.4" x14ac:dyDescent="0.3">
      <c r="A883" s="117">
        <v>881</v>
      </c>
      <c r="B883" s="110" t="s">
        <v>1566</v>
      </c>
      <c r="C883" s="111">
        <v>33</v>
      </c>
      <c r="D883" s="111">
        <v>6</v>
      </c>
      <c r="E883" s="118" t="s">
        <v>1158</v>
      </c>
      <c r="F883" s="118" t="s">
        <v>1053</v>
      </c>
      <c r="G883" s="118" t="s">
        <v>613</v>
      </c>
      <c r="H883" s="118" t="s">
        <v>823</v>
      </c>
      <c r="I883" s="117" t="s">
        <v>1316</v>
      </c>
      <c r="J883" s="117" t="s">
        <v>1318</v>
      </c>
      <c r="K883" s="117" t="s">
        <v>1122</v>
      </c>
      <c r="L883" s="117" t="s">
        <v>1150</v>
      </c>
      <c r="M883" s="111"/>
      <c r="N883" s="120"/>
      <c r="O883" s="140">
        <v>2285</v>
      </c>
      <c r="P883" s="227">
        <f t="shared" si="20"/>
        <v>1168.3019485333593</v>
      </c>
      <c r="Q883" s="107">
        <v>0</v>
      </c>
      <c r="R883" s="107">
        <v>0</v>
      </c>
      <c r="S883" s="231"/>
      <c r="T883" s="236"/>
      <c r="U883" s="236"/>
    </row>
    <row r="884" spans="1:21" ht="72" x14ac:dyDescent="0.3">
      <c r="A884" s="117">
        <v>882</v>
      </c>
      <c r="B884" s="110" t="s">
        <v>1567</v>
      </c>
      <c r="C884" s="111">
        <v>2</v>
      </c>
      <c r="D884" s="111">
        <v>1</v>
      </c>
      <c r="E884" s="118" t="s">
        <v>1163</v>
      </c>
      <c r="F884" s="118" t="s">
        <v>191</v>
      </c>
      <c r="G884" s="118" t="s">
        <v>109</v>
      </c>
      <c r="H884" s="117" t="s">
        <v>825</v>
      </c>
      <c r="I884" s="117" t="s">
        <v>1073</v>
      </c>
      <c r="J884" s="117" t="s">
        <v>1096</v>
      </c>
      <c r="K884" s="117" t="s">
        <v>1063</v>
      </c>
      <c r="L884" s="117" t="s">
        <v>1149</v>
      </c>
      <c r="M884" s="111"/>
      <c r="N884" s="122"/>
      <c r="O884" s="140">
        <v>1800</v>
      </c>
      <c r="P884" s="227">
        <f t="shared" si="20"/>
        <v>920.32538615319334</v>
      </c>
      <c r="Q884" s="107">
        <v>0</v>
      </c>
      <c r="R884" s="107">
        <v>0</v>
      </c>
      <c r="S884" s="231">
        <f>P884*0.4</f>
        <v>368.13015446127736</v>
      </c>
      <c r="T884" s="236"/>
      <c r="U884" s="236"/>
    </row>
    <row r="885" spans="1:21" ht="72" x14ac:dyDescent="0.3">
      <c r="A885" s="117">
        <v>883</v>
      </c>
      <c r="B885" s="110" t="s">
        <v>1568</v>
      </c>
      <c r="C885" s="111">
        <v>7</v>
      </c>
      <c r="D885" s="111">
        <v>3</v>
      </c>
      <c r="E885" s="118" t="s">
        <v>1058</v>
      </c>
      <c r="F885" s="118" t="s">
        <v>193</v>
      </c>
      <c r="G885" s="118" t="s">
        <v>574</v>
      </c>
      <c r="H885" s="117" t="s">
        <v>826</v>
      </c>
      <c r="I885" s="117" t="s">
        <v>1227</v>
      </c>
      <c r="J885" s="117" t="s">
        <v>1228</v>
      </c>
      <c r="K885" s="117" t="s">
        <v>1061</v>
      </c>
      <c r="L885" s="117" t="s">
        <v>1150</v>
      </c>
      <c r="M885" s="111"/>
      <c r="N885" s="122"/>
      <c r="O885" s="140">
        <v>7093</v>
      </c>
      <c r="P885" s="227">
        <f t="shared" si="20"/>
        <v>3626.5933133247777</v>
      </c>
      <c r="Q885" s="107">
        <v>0</v>
      </c>
      <c r="R885" s="107">
        <v>0</v>
      </c>
      <c r="S885" s="231"/>
      <c r="T885" s="236"/>
      <c r="U885" s="236"/>
    </row>
    <row r="886" spans="1:21" ht="72" x14ac:dyDescent="0.3">
      <c r="A886" s="117">
        <v>884</v>
      </c>
      <c r="B886" s="110" t="s">
        <v>1569</v>
      </c>
      <c r="C886" s="111">
        <v>51</v>
      </c>
      <c r="D886" s="111">
        <v>1</v>
      </c>
      <c r="E886" s="118" t="s">
        <v>1163</v>
      </c>
      <c r="F886" s="118" t="s">
        <v>595</v>
      </c>
      <c r="G886" s="118" t="s">
        <v>615</v>
      </c>
      <c r="H886" s="118" t="s">
        <v>797</v>
      </c>
      <c r="I886" s="117"/>
      <c r="J886" s="117"/>
      <c r="K886" s="117" t="s">
        <v>1055</v>
      </c>
      <c r="L886" s="117" t="s">
        <v>1148</v>
      </c>
      <c r="M886" s="111"/>
      <c r="N886" s="120"/>
      <c r="O886" s="140">
        <v>687</v>
      </c>
      <c r="P886" s="227">
        <f t="shared" si="20"/>
        <v>351.25752238180212</v>
      </c>
      <c r="Q886" s="107">
        <v>0</v>
      </c>
      <c r="R886" s="107">
        <v>0</v>
      </c>
      <c r="S886" s="231"/>
      <c r="T886" s="236"/>
      <c r="U886" s="236"/>
    </row>
    <row r="887" spans="1:21" ht="72" x14ac:dyDescent="0.3">
      <c r="A887" s="117">
        <v>885</v>
      </c>
      <c r="B887" s="131" t="s">
        <v>1038</v>
      </c>
      <c r="C887" s="111">
        <v>37</v>
      </c>
      <c r="D887" s="111">
        <v>1</v>
      </c>
      <c r="E887" s="118" t="s">
        <v>1163</v>
      </c>
      <c r="F887" s="118" t="s">
        <v>221</v>
      </c>
      <c r="G887" s="119" t="s">
        <v>592</v>
      </c>
      <c r="H887" s="119" t="s">
        <v>828</v>
      </c>
      <c r="I887" s="117" t="s">
        <v>1320</v>
      </c>
      <c r="J887" s="117"/>
      <c r="K887" s="117" t="s">
        <v>1055</v>
      </c>
      <c r="L887" s="117" t="s">
        <v>1148</v>
      </c>
      <c r="M887" s="111"/>
      <c r="N887" s="120"/>
      <c r="O887" s="108">
        <v>720</v>
      </c>
      <c r="P887" s="229">
        <f t="shared" si="20"/>
        <v>368.1301544612773</v>
      </c>
      <c r="Q887" s="107">
        <v>0</v>
      </c>
      <c r="R887" s="107">
        <v>0</v>
      </c>
      <c r="S887" s="231"/>
      <c r="T887" s="236"/>
      <c r="U887" s="236"/>
    </row>
    <row r="888" spans="1:21" ht="72" x14ac:dyDescent="0.3">
      <c r="A888" s="117">
        <v>886</v>
      </c>
      <c r="B888" s="110" t="s">
        <v>1570</v>
      </c>
      <c r="C888" s="111">
        <v>46</v>
      </c>
      <c r="D888" s="111">
        <v>3</v>
      </c>
      <c r="E888" s="118" t="s">
        <v>1058</v>
      </c>
      <c r="F888" s="118" t="s">
        <v>230</v>
      </c>
      <c r="G888" s="118" t="s">
        <v>113</v>
      </c>
      <c r="H888" s="117" t="s">
        <v>827</v>
      </c>
      <c r="I888" s="117"/>
      <c r="J888" s="117"/>
      <c r="K888" s="117" t="s">
        <v>1059</v>
      </c>
      <c r="L888" s="117" t="s">
        <v>1150</v>
      </c>
      <c r="M888" s="111"/>
      <c r="N888" s="122"/>
      <c r="O888" s="140">
        <v>450</v>
      </c>
      <c r="P888" s="227">
        <f t="shared" si="20"/>
        <v>230.08134653829833</v>
      </c>
      <c r="Q888" s="107">
        <v>0</v>
      </c>
      <c r="R888" s="107">
        <v>0</v>
      </c>
      <c r="S888" s="231"/>
      <c r="T888" s="236"/>
      <c r="U888" s="236"/>
    </row>
    <row r="889" spans="1:21" ht="57.6" x14ac:dyDescent="0.3">
      <c r="A889" s="117">
        <v>887</v>
      </c>
      <c r="B889" s="110" t="s">
        <v>1571</v>
      </c>
      <c r="C889" s="111">
        <v>16</v>
      </c>
      <c r="D889" s="111">
        <v>4</v>
      </c>
      <c r="E889" s="118" t="s">
        <v>1353</v>
      </c>
      <c r="F889" s="118" t="s">
        <v>201</v>
      </c>
      <c r="G889" s="118" t="s">
        <v>1190</v>
      </c>
      <c r="H889" s="118" t="s">
        <v>829</v>
      </c>
      <c r="I889" s="117" t="s">
        <v>1171</v>
      </c>
      <c r="J889" s="117" t="s">
        <v>1176</v>
      </c>
      <c r="K889" s="117" t="s">
        <v>1066</v>
      </c>
      <c r="L889" s="117" t="s">
        <v>1149</v>
      </c>
      <c r="M889" s="111"/>
      <c r="N889" s="122"/>
      <c r="O889" s="140">
        <v>3644</v>
      </c>
      <c r="P889" s="227">
        <f t="shared" si="20"/>
        <v>1863.1476150790202</v>
      </c>
      <c r="Q889" s="107">
        <v>0</v>
      </c>
      <c r="R889" s="107">
        <v>0</v>
      </c>
      <c r="S889" s="231">
        <f>P889*0.4</f>
        <v>745.25904603160814</v>
      </c>
      <c r="T889" s="236"/>
      <c r="U889" s="236"/>
    </row>
    <row r="890" spans="1:21" ht="57.6" x14ac:dyDescent="0.3">
      <c r="A890" s="117">
        <v>888</v>
      </c>
      <c r="B890" s="110" t="s">
        <v>1572</v>
      </c>
      <c r="C890" s="111">
        <v>17</v>
      </c>
      <c r="D890" s="111">
        <v>4</v>
      </c>
      <c r="E890" s="118" t="s">
        <v>1353</v>
      </c>
      <c r="F890" s="118" t="s">
        <v>202</v>
      </c>
      <c r="G890" s="118" t="s">
        <v>242</v>
      </c>
      <c r="H890" s="118" t="s">
        <v>830</v>
      </c>
      <c r="I890" s="117" t="s">
        <v>1147</v>
      </c>
      <c r="J890" s="117"/>
      <c r="K890" s="117" t="s">
        <v>1066</v>
      </c>
      <c r="L890" s="117" t="s">
        <v>1149</v>
      </c>
      <c r="M890" s="111"/>
      <c r="N890" s="122"/>
      <c r="O890" s="140">
        <v>36000</v>
      </c>
      <c r="P890" s="227">
        <f t="shared" si="20"/>
        <v>18406.507723063867</v>
      </c>
      <c r="Q890" s="107">
        <v>0</v>
      </c>
      <c r="R890" s="107">
        <v>0</v>
      </c>
      <c r="S890" s="231">
        <f>P890*0.4</f>
        <v>7362.6030892255476</v>
      </c>
      <c r="T890" s="236"/>
      <c r="U890" s="236"/>
    </row>
    <row r="891" spans="1:21" ht="72" x14ac:dyDescent="0.3">
      <c r="A891" s="117">
        <v>889</v>
      </c>
      <c r="B891" s="110" t="s">
        <v>1573</v>
      </c>
      <c r="C891" s="111">
        <v>1</v>
      </c>
      <c r="D891" s="111">
        <v>1</v>
      </c>
      <c r="E891" s="118" t="s">
        <v>1163</v>
      </c>
      <c r="F891" s="118" t="s">
        <v>190</v>
      </c>
      <c r="G891" s="119" t="s">
        <v>22</v>
      </c>
      <c r="H891" s="119" t="s">
        <v>831</v>
      </c>
      <c r="I891" s="117"/>
      <c r="J891" s="117"/>
      <c r="K891" s="117" t="s">
        <v>1056</v>
      </c>
      <c r="L891" s="117" t="s">
        <v>1153</v>
      </c>
      <c r="M891" s="111"/>
      <c r="N891" s="122"/>
      <c r="O891" s="140">
        <v>2366.5500000000002</v>
      </c>
      <c r="P891" s="227">
        <f t="shared" si="20"/>
        <v>1209.9978014449109</v>
      </c>
      <c r="Q891" s="107">
        <v>0</v>
      </c>
      <c r="R891" s="107">
        <v>0</v>
      </c>
      <c r="S891" s="231"/>
      <c r="T891" s="236"/>
      <c r="U891" s="236"/>
    </row>
    <row r="892" spans="1:21" ht="72" x14ac:dyDescent="0.3">
      <c r="A892" s="117">
        <v>890</v>
      </c>
      <c r="B892" s="110" t="s">
        <v>1039</v>
      </c>
      <c r="C892" s="111">
        <v>1</v>
      </c>
      <c r="D892" s="111">
        <v>1</v>
      </c>
      <c r="E892" s="118" t="s">
        <v>1163</v>
      </c>
      <c r="F892" s="118" t="s">
        <v>190</v>
      </c>
      <c r="G892" s="119" t="s">
        <v>399</v>
      </c>
      <c r="H892" s="119" t="s">
        <v>832</v>
      </c>
      <c r="I892" s="117"/>
      <c r="J892" s="117"/>
      <c r="K892" s="117" t="s">
        <v>11</v>
      </c>
      <c r="L892" s="117" t="s">
        <v>1149</v>
      </c>
      <c r="M892" s="111"/>
      <c r="N892" s="120">
        <v>45352</v>
      </c>
      <c r="O892" s="108">
        <v>2788.84</v>
      </c>
      <c r="P892" s="229">
        <f t="shared" si="20"/>
        <v>1425.9112499552621</v>
      </c>
      <c r="Q892" s="107">
        <v>0</v>
      </c>
      <c r="R892" s="107">
        <v>0</v>
      </c>
      <c r="S892" s="231">
        <f>P892*0.4</f>
        <v>570.3644999821048</v>
      </c>
      <c r="T892" s="236"/>
      <c r="U892" s="236"/>
    </row>
    <row r="893" spans="1:21" ht="158.4" x14ac:dyDescent="0.3">
      <c r="A893" s="117">
        <v>891</v>
      </c>
      <c r="B893" s="110" t="s">
        <v>1574</v>
      </c>
      <c r="C893" s="111">
        <v>33</v>
      </c>
      <c r="D893" s="111">
        <v>6</v>
      </c>
      <c r="E893" s="118" t="s">
        <v>1158</v>
      </c>
      <c r="F893" s="118" t="s">
        <v>1053</v>
      </c>
      <c r="G893" s="118" t="s">
        <v>613</v>
      </c>
      <c r="H893" s="118" t="s">
        <v>823</v>
      </c>
      <c r="I893" s="117" t="s">
        <v>1316</v>
      </c>
      <c r="J893" s="117" t="s">
        <v>1318</v>
      </c>
      <c r="K893" s="117" t="s">
        <v>1122</v>
      </c>
      <c r="L893" s="117" t="s">
        <v>1150</v>
      </c>
      <c r="M893" s="111"/>
      <c r="N893" s="120"/>
      <c r="O893" s="140">
        <v>2285</v>
      </c>
      <c r="P893" s="227">
        <f t="shared" si="20"/>
        <v>1168.3019485333593</v>
      </c>
      <c r="Q893" s="107">
        <v>0</v>
      </c>
      <c r="R893" s="107">
        <v>0</v>
      </c>
      <c r="S893" s="231"/>
      <c r="T893" s="236"/>
      <c r="U893" s="236"/>
    </row>
    <row r="894" spans="1:21" s="129" customFormat="1" ht="72" x14ac:dyDescent="0.3">
      <c r="A894" s="117">
        <v>892</v>
      </c>
      <c r="B894" s="110" t="s">
        <v>1040</v>
      </c>
      <c r="C894" s="111">
        <v>1</v>
      </c>
      <c r="D894" s="111">
        <v>1</v>
      </c>
      <c r="E894" s="118" t="s">
        <v>1163</v>
      </c>
      <c r="F894" s="118" t="s">
        <v>190</v>
      </c>
      <c r="G894" s="119" t="s">
        <v>33</v>
      </c>
      <c r="H894" s="119" t="s">
        <v>821</v>
      </c>
      <c r="I894" s="117"/>
      <c r="J894" s="117"/>
      <c r="K894" s="117" t="s">
        <v>11</v>
      </c>
      <c r="L894" s="117" t="s">
        <v>1149</v>
      </c>
      <c r="M894" s="111"/>
      <c r="N894" s="120">
        <v>45352</v>
      </c>
      <c r="O894" s="108">
        <v>2788.84</v>
      </c>
      <c r="P894" s="229">
        <f t="shared" si="20"/>
        <v>1425.9112499552621</v>
      </c>
      <c r="Q894" s="107">
        <v>0</v>
      </c>
      <c r="R894" s="107">
        <v>0</v>
      </c>
      <c r="S894" s="232">
        <f>P894*0.4</f>
        <v>570.3644999821048</v>
      </c>
      <c r="T894" s="237"/>
      <c r="U894" s="237"/>
    </row>
    <row r="895" spans="1:21" ht="72" x14ac:dyDescent="0.3">
      <c r="A895" s="117">
        <v>893</v>
      </c>
      <c r="B895" s="131"/>
      <c r="C895" s="111">
        <v>26</v>
      </c>
      <c r="D895" s="111">
        <v>5</v>
      </c>
      <c r="E895" s="118" t="s">
        <v>1152</v>
      </c>
      <c r="F895" s="118" t="s">
        <v>1354</v>
      </c>
      <c r="G895" s="118" t="s">
        <v>623</v>
      </c>
      <c r="H895" s="118" t="s">
        <v>833</v>
      </c>
      <c r="I895" s="117" t="s">
        <v>1328</v>
      </c>
      <c r="J895" s="117"/>
      <c r="K895" s="117"/>
      <c r="L895" s="117" t="s">
        <v>1155</v>
      </c>
      <c r="M895" s="111"/>
      <c r="N895" s="122"/>
      <c r="O895" s="108">
        <v>2774.93</v>
      </c>
      <c r="P895" s="229">
        <f t="shared" si="20"/>
        <v>1418.7991798878224</v>
      </c>
      <c r="Q895" s="107">
        <v>0</v>
      </c>
      <c r="R895" s="107">
        <v>0</v>
      </c>
      <c r="S895" s="231"/>
      <c r="T895" s="236"/>
      <c r="U895" s="236"/>
    </row>
    <row r="896" spans="1:21" ht="72" x14ac:dyDescent="0.3">
      <c r="A896" s="117">
        <v>894</v>
      </c>
      <c r="B896" s="131"/>
      <c r="C896" s="111">
        <v>26</v>
      </c>
      <c r="D896" s="111">
        <v>5</v>
      </c>
      <c r="E896" s="118" t="s">
        <v>1152</v>
      </c>
      <c r="F896" s="118" t="s">
        <v>1354</v>
      </c>
      <c r="G896" s="118" t="s">
        <v>624</v>
      </c>
      <c r="H896" s="118" t="s">
        <v>834</v>
      </c>
      <c r="I896" s="117" t="s">
        <v>1328</v>
      </c>
      <c r="J896" s="117"/>
      <c r="K896" s="117"/>
      <c r="L896" s="117" t="s">
        <v>1155</v>
      </c>
      <c r="M896" s="111"/>
      <c r="N896" s="122"/>
      <c r="O896" s="108">
        <v>2774.93</v>
      </c>
      <c r="P896" s="229">
        <f t="shared" si="20"/>
        <v>1418.7991798878224</v>
      </c>
      <c r="Q896" s="107">
        <v>0</v>
      </c>
      <c r="R896" s="107">
        <v>0</v>
      </c>
      <c r="S896" s="231"/>
      <c r="T896" s="236"/>
      <c r="U896" s="236"/>
    </row>
    <row r="897" spans="1:21" ht="72" x14ac:dyDescent="0.3">
      <c r="A897" s="117">
        <v>895</v>
      </c>
      <c r="B897" s="131"/>
      <c r="C897" s="111">
        <v>26</v>
      </c>
      <c r="D897" s="111">
        <v>5</v>
      </c>
      <c r="E897" s="118" t="s">
        <v>1152</v>
      </c>
      <c r="F897" s="118" t="s">
        <v>1354</v>
      </c>
      <c r="G897" s="119" t="s">
        <v>625</v>
      </c>
      <c r="H897" s="119" t="s">
        <v>835</v>
      </c>
      <c r="I897" s="117" t="s">
        <v>627</v>
      </c>
      <c r="J897" s="117" t="s">
        <v>626</v>
      </c>
      <c r="K897" s="117"/>
      <c r="L897" s="117" t="s">
        <v>1155</v>
      </c>
      <c r="M897" s="111"/>
      <c r="N897" s="122"/>
      <c r="O897" s="108">
        <v>469</v>
      </c>
      <c r="P897" s="229">
        <f t="shared" si="20"/>
        <v>239.79589228102648</v>
      </c>
      <c r="Q897" s="107">
        <v>0</v>
      </c>
      <c r="R897" s="107">
        <v>0</v>
      </c>
      <c r="S897" s="231"/>
      <c r="T897" s="236"/>
      <c r="U897" s="236"/>
    </row>
    <row r="898" spans="1:21" ht="72" x14ac:dyDescent="0.3">
      <c r="A898" s="117">
        <v>896</v>
      </c>
      <c r="B898" s="131"/>
      <c r="C898" s="111">
        <v>26</v>
      </c>
      <c r="D898" s="111">
        <v>5</v>
      </c>
      <c r="E898" s="118" t="s">
        <v>1152</v>
      </c>
      <c r="F898" s="118" t="s">
        <v>1354</v>
      </c>
      <c r="G898" s="119" t="s">
        <v>627</v>
      </c>
      <c r="H898" s="119" t="s">
        <v>836</v>
      </c>
      <c r="I898" s="117" t="s">
        <v>627</v>
      </c>
      <c r="J898" s="117" t="s">
        <v>628</v>
      </c>
      <c r="K898" s="117"/>
      <c r="L898" s="117" t="s">
        <v>1155</v>
      </c>
      <c r="M898" s="111"/>
      <c r="N898" s="122"/>
      <c r="O898" s="108">
        <f>100*1.95583</f>
        <v>195.583</v>
      </c>
      <c r="P898" s="229">
        <f t="shared" si="20"/>
        <v>100</v>
      </c>
      <c r="Q898" s="107">
        <v>0</v>
      </c>
      <c r="R898" s="107">
        <v>0</v>
      </c>
      <c r="S898" s="231"/>
      <c r="T898" s="236"/>
      <c r="U898" s="236"/>
    </row>
    <row r="899" spans="1:21" ht="72" x14ac:dyDescent="0.3">
      <c r="A899" s="117">
        <v>897</v>
      </c>
      <c r="B899" s="131"/>
      <c r="C899" s="111">
        <v>26</v>
      </c>
      <c r="D899" s="111">
        <v>5</v>
      </c>
      <c r="E899" s="118" t="s">
        <v>1152</v>
      </c>
      <c r="F899" s="118" t="s">
        <v>1354</v>
      </c>
      <c r="G899" s="119" t="s">
        <v>629</v>
      </c>
      <c r="H899" s="119" t="s">
        <v>837</v>
      </c>
      <c r="I899" s="117" t="s">
        <v>1335</v>
      </c>
      <c r="J899" s="117"/>
      <c r="K899" s="117"/>
      <c r="L899" s="117" t="s">
        <v>1155</v>
      </c>
      <c r="M899" s="111"/>
      <c r="N899" s="122"/>
      <c r="O899" s="108">
        <f>100+72</f>
        <v>172</v>
      </c>
      <c r="P899" s="229">
        <f t="shared" si="20"/>
        <v>87.94220356574958</v>
      </c>
      <c r="Q899" s="107">
        <v>0</v>
      </c>
      <c r="R899" s="107">
        <v>0</v>
      </c>
      <c r="S899" s="231"/>
      <c r="T899" s="236"/>
      <c r="U899" s="236"/>
    </row>
    <row r="900" spans="1:21" ht="72" x14ac:dyDescent="0.3">
      <c r="A900" s="117">
        <v>898</v>
      </c>
      <c r="B900" s="110"/>
      <c r="C900" s="111">
        <v>48</v>
      </c>
      <c r="D900" s="111">
        <v>3</v>
      </c>
      <c r="E900" s="118" t="s">
        <v>1058</v>
      </c>
      <c r="F900" s="118" t="s">
        <v>396</v>
      </c>
      <c r="G900" s="118" t="s">
        <v>397</v>
      </c>
      <c r="H900" s="117" t="s">
        <v>838</v>
      </c>
      <c r="I900" s="117"/>
      <c r="J900" s="117"/>
      <c r="K900" s="117"/>
      <c r="L900" s="117" t="s">
        <v>1154</v>
      </c>
      <c r="M900" s="111"/>
      <c r="N900" s="120">
        <v>44720</v>
      </c>
      <c r="O900" s="108">
        <f>124*1.95583</f>
        <v>242.52292</v>
      </c>
      <c r="P900" s="229">
        <f t="shared" ref="P900:P905" si="21">O900/$P$1</f>
        <v>124</v>
      </c>
      <c r="Q900" s="107">
        <v>0</v>
      </c>
      <c r="R900" s="107">
        <v>0</v>
      </c>
      <c r="S900" s="231"/>
      <c r="T900" s="236"/>
      <c r="U900" s="236"/>
    </row>
    <row r="901" spans="1:21" ht="72" x14ac:dyDescent="0.3">
      <c r="A901" s="117">
        <v>899</v>
      </c>
      <c r="B901" s="110"/>
      <c r="C901" s="111">
        <v>28</v>
      </c>
      <c r="D901" s="111">
        <v>3</v>
      </c>
      <c r="E901" s="118" t="s">
        <v>1058</v>
      </c>
      <c r="F901" s="118" t="s">
        <v>205</v>
      </c>
      <c r="G901" s="118" t="s">
        <v>1305</v>
      </c>
      <c r="H901" s="117" t="s">
        <v>1308</v>
      </c>
      <c r="I901" s="117" t="s">
        <v>1348</v>
      </c>
      <c r="J901" s="117" t="s">
        <v>1301</v>
      </c>
      <c r="K901" s="117" t="s">
        <v>1056</v>
      </c>
      <c r="L901" s="117" t="s">
        <v>1153</v>
      </c>
      <c r="M901" s="111"/>
      <c r="N901" s="120"/>
      <c r="O901" s="108">
        <v>140</v>
      </c>
      <c r="P901" s="229">
        <f t="shared" si="21"/>
        <v>71.580863367470585</v>
      </c>
      <c r="Q901" s="107">
        <v>0</v>
      </c>
      <c r="R901" s="107">
        <v>0</v>
      </c>
      <c r="S901" s="231"/>
      <c r="T901" s="236"/>
      <c r="U901" s="236"/>
    </row>
    <row r="902" spans="1:21" ht="72" x14ac:dyDescent="0.3">
      <c r="A902" s="117">
        <v>900</v>
      </c>
      <c r="B902" s="110"/>
      <c r="C902" s="111">
        <v>30</v>
      </c>
      <c r="D902" s="111">
        <v>3</v>
      </c>
      <c r="E902" s="118" t="s">
        <v>1058</v>
      </c>
      <c r="F902" s="118" t="s">
        <v>207</v>
      </c>
      <c r="G902" s="118" t="s">
        <v>1306</v>
      </c>
      <c r="H902" s="117" t="s">
        <v>1307</v>
      </c>
      <c r="I902" s="117" t="s">
        <v>1309</v>
      </c>
      <c r="J902" s="117"/>
      <c r="K902" s="117" t="s">
        <v>1059</v>
      </c>
      <c r="L902" s="117" t="s">
        <v>1150</v>
      </c>
      <c r="M902" s="111"/>
      <c r="N902" s="120"/>
      <c r="O902" s="108">
        <v>5000</v>
      </c>
      <c r="P902" s="229">
        <f t="shared" si="21"/>
        <v>2556.4594059810925</v>
      </c>
      <c r="Q902" s="107">
        <v>0</v>
      </c>
      <c r="R902" s="107">
        <v>0</v>
      </c>
      <c r="S902" s="231"/>
      <c r="T902" s="236"/>
      <c r="U902" s="236"/>
    </row>
    <row r="903" spans="1:21" ht="72" x14ac:dyDescent="0.3">
      <c r="A903" s="117">
        <v>901</v>
      </c>
      <c r="B903" s="110"/>
      <c r="C903" s="111">
        <v>30</v>
      </c>
      <c r="D903" s="111">
        <v>3</v>
      </c>
      <c r="E903" s="118" t="s">
        <v>1058</v>
      </c>
      <c r="F903" s="118" t="s">
        <v>207</v>
      </c>
      <c r="G903" s="118" t="s">
        <v>1306</v>
      </c>
      <c r="H903" s="117" t="s">
        <v>1307</v>
      </c>
      <c r="I903" s="117" t="s">
        <v>1309</v>
      </c>
      <c r="J903" s="117"/>
      <c r="K903" s="117" t="s">
        <v>1059</v>
      </c>
      <c r="L903" s="117" t="s">
        <v>1150</v>
      </c>
      <c r="M903" s="111"/>
      <c r="N903" s="120"/>
      <c r="O903" s="108">
        <v>5000</v>
      </c>
      <c r="P903" s="229">
        <f t="shared" si="21"/>
        <v>2556.4594059810925</v>
      </c>
      <c r="Q903" s="107">
        <v>0</v>
      </c>
      <c r="R903" s="107">
        <v>0</v>
      </c>
      <c r="S903" s="231"/>
      <c r="T903" s="236"/>
      <c r="U903" s="236"/>
    </row>
    <row r="904" spans="1:21" ht="72" x14ac:dyDescent="0.3">
      <c r="A904" s="117">
        <v>902</v>
      </c>
      <c r="B904" s="110"/>
      <c r="C904" s="111">
        <v>30</v>
      </c>
      <c r="D904" s="111">
        <v>3</v>
      </c>
      <c r="E904" s="118" t="s">
        <v>1058</v>
      </c>
      <c r="F904" s="118" t="s">
        <v>207</v>
      </c>
      <c r="G904" s="118" t="s">
        <v>1306</v>
      </c>
      <c r="H904" s="117" t="s">
        <v>1307</v>
      </c>
      <c r="I904" s="117" t="s">
        <v>1309</v>
      </c>
      <c r="J904" s="117"/>
      <c r="K904" s="117" t="s">
        <v>1059</v>
      </c>
      <c r="L904" s="117" t="s">
        <v>1150</v>
      </c>
      <c r="M904" s="111"/>
      <c r="N904" s="120"/>
      <c r="O904" s="108">
        <v>5000</v>
      </c>
      <c r="P904" s="229">
        <f t="shared" si="21"/>
        <v>2556.4594059810925</v>
      </c>
      <c r="Q904" s="107">
        <v>0</v>
      </c>
      <c r="R904" s="107">
        <v>0</v>
      </c>
      <c r="S904" s="231"/>
      <c r="T904" s="236"/>
      <c r="U904" s="236"/>
    </row>
    <row r="905" spans="1:21" x14ac:dyDescent="0.3">
      <c r="A905" s="111"/>
      <c r="B905" s="110"/>
      <c r="C905" s="111"/>
      <c r="D905" s="111"/>
      <c r="E905" s="111"/>
      <c r="F905" s="111"/>
      <c r="G905" s="111"/>
      <c r="H905" s="111"/>
      <c r="I905" s="111"/>
      <c r="J905" s="111"/>
      <c r="K905" s="111"/>
      <c r="L905" s="111"/>
      <c r="M905" s="111"/>
      <c r="N905" s="111"/>
      <c r="O905" s="107">
        <f>SUM(O3:O904)</f>
        <v>8950492.7471033297</v>
      </c>
      <c r="P905" s="230">
        <f t="shared" si="21"/>
        <v>4576314.2742995713</v>
      </c>
      <c r="Q905" s="107">
        <f>SUM(Q3:Q904)</f>
        <v>180192.40000000017</v>
      </c>
      <c r="R905" s="107">
        <f>SUM(R3:R904)</f>
        <v>21485.39</v>
      </c>
      <c r="S905" s="231"/>
      <c r="T905" s="236"/>
      <c r="U905" s="236"/>
    </row>
  </sheetData>
  <sheetProtection insertRows="0" deleteColumns="0" deleteRows="0" sort="0" autoFilter="0"/>
  <autoFilter ref="A2:U905" xr:uid="{00000000-0009-0000-0000-000005000000}"/>
  <mergeCells count="1">
    <mergeCell ref="A1:M1"/>
  </mergeCells>
  <pageMargins left="0.62992125984251968" right="0.19685039370078741" top="0.47244094488188981" bottom="0.38" header="0.27559055118110237" footer="0.19685039370078741"/>
  <pageSetup paperSize="9" scale="89" firstPageNumber="0" fitToHeight="0" orientation="landscape" verticalDpi="300" r:id="rId1"/>
  <headerFooter alignWithMargins="0">
    <oddFooter>&amp;Rстр.&amp;P от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Y257"/>
  <sheetViews>
    <sheetView topLeftCell="D3" zoomScale="82" zoomScaleNormal="82" workbookViewId="0">
      <pane ySplit="2" topLeftCell="A197" activePane="bottomLeft" state="frozen"/>
      <selection activeCell="A3" sqref="A3"/>
      <selection pane="bottomLeft" activeCell="X212" sqref="X212"/>
    </sheetView>
  </sheetViews>
  <sheetFormatPr baseColWidth="10" defaultColWidth="9.109375" defaultRowHeight="14.4" x14ac:dyDescent="0.3"/>
  <cols>
    <col min="1" max="1" width="11.109375" style="65" hidden="1" customWidth="1"/>
    <col min="2" max="2" width="14.88671875" style="65" hidden="1" customWidth="1"/>
    <col min="3" max="3" width="5.88671875" style="65" hidden="1" customWidth="1"/>
    <col min="4" max="4" width="17.109375" style="66" customWidth="1"/>
    <col min="5" max="5" width="27.44140625" style="66" customWidth="1"/>
    <col min="6" max="6" width="27.44140625" style="65" customWidth="1"/>
    <col min="7" max="7" width="10.44140625" style="65" customWidth="1"/>
    <col min="8" max="8" width="22.109375" style="65" bestFit="1" customWidth="1"/>
    <col min="9" max="9" width="22.109375" style="65" customWidth="1"/>
    <col min="10" max="10" width="12.44140625" style="65" customWidth="1"/>
    <col min="11" max="11" width="16.33203125" style="84" customWidth="1"/>
    <col min="12" max="12" width="25.109375" style="84" customWidth="1"/>
    <col min="13" max="13" width="10.5546875" style="74" customWidth="1"/>
    <col min="14" max="14" width="19.5546875" style="74" customWidth="1"/>
    <col min="15" max="16" width="10.5546875" style="74" customWidth="1"/>
    <col min="17" max="17" width="19.5546875" style="74" customWidth="1"/>
    <col min="18" max="19" width="10.5546875" style="74" customWidth="1"/>
    <col min="20" max="20" width="19.33203125" style="74" customWidth="1"/>
    <col min="21" max="21" width="10.5546875" style="74" customWidth="1"/>
    <col min="22" max="22" width="9.109375" style="65" customWidth="1"/>
    <col min="23" max="23" width="10.6640625" style="180" customWidth="1"/>
    <col min="24" max="24" width="17" style="65" customWidth="1"/>
    <col min="25" max="25" width="17.33203125" style="65" customWidth="1"/>
    <col min="26" max="16384" width="9.109375" style="65"/>
  </cols>
  <sheetData>
    <row r="1" spans="1:24" ht="15" thickBot="1" x14ac:dyDescent="0.35">
      <c r="A1" s="77" t="s">
        <v>1044</v>
      </c>
      <c r="B1" s="63" t="s">
        <v>2746</v>
      </c>
    </row>
    <row r="2" spans="1:24" ht="15" thickBot="1" x14ac:dyDescent="0.35">
      <c r="M2" s="86" t="s">
        <v>1364</v>
      </c>
      <c r="N2" s="146"/>
      <c r="O2" s="88"/>
      <c r="P2" s="87" t="s">
        <v>1365</v>
      </c>
      <c r="Q2" s="181"/>
      <c r="R2" s="88"/>
      <c r="S2" s="89" t="s">
        <v>1365</v>
      </c>
      <c r="T2" s="181"/>
      <c r="U2" s="88"/>
      <c r="V2" s="66"/>
      <c r="W2" s="210" t="s">
        <v>1369</v>
      </c>
    </row>
    <row r="3" spans="1:24" s="66" customFormat="1" ht="30.75" customHeight="1" thickBot="1" x14ac:dyDescent="0.35">
      <c r="A3" s="104"/>
      <c r="B3" s="104"/>
      <c r="C3" s="104"/>
      <c r="D3" s="104"/>
      <c r="E3" s="104"/>
      <c r="F3" s="104"/>
      <c r="G3" s="76" t="s">
        <v>1460</v>
      </c>
      <c r="H3" s="104"/>
      <c r="J3"/>
      <c r="K3" s="84"/>
      <c r="L3" s="84"/>
      <c r="M3" s="172" t="s">
        <v>1363</v>
      </c>
      <c r="N3" s="173"/>
      <c r="O3" s="174"/>
      <c r="P3" s="91" t="s">
        <v>1366</v>
      </c>
      <c r="Q3" s="147"/>
      <c r="R3" s="92"/>
      <c r="S3" s="90" t="s">
        <v>1367</v>
      </c>
      <c r="T3" s="147"/>
      <c r="U3" s="92"/>
      <c r="W3" s="319" t="s">
        <v>1369</v>
      </c>
      <c r="X3" s="320"/>
    </row>
    <row r="4" spans="1:24" s="3" customFormat="1" ht="29.4" thickBot="1" x14ac:dyDescent="0.35">
      <c r="A4" s="142" t="s">
        <v>1164</v>
      </c>
      <c r="B4" s="142" t="s">
        <v>1054</v>
      </c>
      <c r="C4" s="142" t="s">
        <v>2</v>
      </c>
      <c r="D4" s="142" t="s">
        <v>1045</v>
      </c>
      <c r="E4" s="142" t="s">
        <v>1014</v>
      </c>
      <c r="F4" s="142" t="s">
        <v>1015</v>
      </c>
      <c r="G4" s="78" t="s">
        <v>1159</v>
      </c>
      <c r="H4" s="78" t="s">
        <v>1461</v>
      </c>
      <c r="I4" s="3" t="s">
        <v>1463</v>
      </c>
      <c r="J4" s="105"/>
      <c r="K4" s="96" t="s">
        <v>1045</v>
      </c>
      <c r="L4" s="99" t="s">
        <v>1374</v>
      </c>
      <c r="M4" s="175" t="s">
        <v>1368</v>
      </c>
      <c r="N4" s="176" t="s">
        <v>1464</v>
      </c>
      <c r="O4" s="177"/>
      <c r="P4" s="143" t="s">
        <v>1368</v>
      </c>
      <c r="Q4" s="176" t="s">
        <v>1464</v>
      </c>
      <c r="R4" s="144"/>
      <c r="S4" s="143" t="s">
        <v>1368</v>
      </c>
      <c r="T4" s="176" t="s">
        <v>1464</v>
      </c>
      <c r="U4" s="144"/>
      <c r="W4" s="215" t="s">
        <v>1370</v>
      </c>
      <c r="X4" s="216" t="s">
        <v>1481</v>
      </c>
    </row>
    <row r="5" spans="1:24" ht="58.5" customHeight="1" x14ac:dyDescent="0.3">
      <c r="A5" s="307">
        <v>1</v>
      </c>
      <c r="B5" s="307" t="s">
        <v>1163</v>
      </c>
      <c r="C5" s="307">
        <v>1</v>
      </c>
      <c r="D5" s="307" t="s">
        <v>190</v>
      </c>
      <c r="E5" s="78" t="s">
        <v>1092</v>
      </c>
      <c r="F5" s="78" t="s">
        <v>1093</v>
      </c>
      <c r="G5" s="63">
        <v>1</v>
      </c>
      <c r="H5" s="102">
        <v>6454.24</v>
      </c>
      <c r="I5" s="145">
        <f>GETPIVOTDATA("Сума от Първоначална стойност",$A$3,"група",1,"№ Вид машини",1,"Вид машини","Стандартни машини","наименование на групата","Едноиглова права машина","описание"," обрезвачка","характеристики","долен и горен диф. транспорт-изрязване резерва-8сектора")/GETPIVOTDATA("Брой от име",$A$3,"група",1,"№ Вид машини",1,"Вид машини","Стандартни машини","наименование на групата","Едноиглова права машина","описание"," обрезвачка","характеристики","долен и горен диф. транспорт-изрязване резерва-8сектора")</f>
        <v>6454.24</v>
      </c>
      <c r="J5"/>
      <c r="K5" s="322" t="s">
        <v>190</v>
      </c>
      <c r="L5" s="100" t="s">
        <v>1375</v>
      </c>
      <c r="M5" s="91">
        <v>1</v>
      </c>
      <c r="N5" s="149">
        <f>M5*I5</f>
        <v>6454.24</v>
      </c>
      <c r="O5" s="92"/>
      <c r="P5" s="91"/>
      <c r="Q5" s="149"/>
      <c r="R5" s="92"/>
      <c r="S5" s="90"/>
      <c r="T5" s="147"/>
      <c r="U5" s="92"/>
      <c r="W5" s="211">
        <f>GETPIVOTDATA("Брой от име",$A$3,"група",1,"№ Вид машини",1,"Вид машини","Стандартни машини","наименование на групата","Едноиглова права машина","описание"," обрезвачка","характеристики","долен и горен диф. транспорт-изрязване резерва-8сектора")-M5-P5-S5</f>
        <v>0</v>
      </c>
      <c r="X5" s="217">
        <f>W5*I5</f>
        <v>0</v>
      </c>
    </row>
    <row r="6" spans="1:24" ht="28.8" x14ac:dyDescent="0.3">
      <c r="A6" s="308"/>
      <c r="B6" s="308"/>
      <c r="C6" s="308"/>
      <c r="D6" s="308"/>
      <c r="E6" s="78" t="s">
        <v>1046</v>
      </c>
      <c r="F6" s="78" t="s">
        <v>1048</v>
      </c>
      <c r="G6" s="63">
        <v>1</v>
      </c>
      <c r="H6" s="102">
        <v>8947.92</v>
      </c>
      <c r="I6" s="145">
        <f>GETPIVOTDATA("Сума от Първоначална стойност",$A$3,"група",1,"№ Вид машини",1,"Вид машини","Стандартни машини","наименование на групата","Едноиглова права машина","описание","за подгъв","характеристики","горен диф. транспорт")/GETPIVOTDATA("Брой от име",$A$3,"група",1,"№ Вид машини",1,"Вид машини","Стандартни машини","наименование на групата","Едноиглова права машина","описание","за подгъв","характеристики","горен диф. транспорт")</f>
        <v>8947.92</v>
      </c>
      <c r="J6"/>
      <c r="K6" s="322"/>
      <c r="L6" s="100" t="s">
        <v>1376</v>
      </c>
      <c r="M6" s="91"/>
      <c r="N6" s="149"/>
      <c r="O6" s="92"/>
      <c r="P6" s="91"/>
      <c r="Q6" s="149"/>
      <c r="R6" s="92"/>
      <c r="S6" s="90">
        <v>1</v>
      </c>
      <c r="T6" s="149">
        <f>S6*I6</f>
        <v>8947.92</v>
      </c>
      <c r="U6" s="92"/>
      <c r="W6" s="212">
        <f>GETPIVOTDATA("Брой от име",$A$3,"група",1,"№ Вид машини",1,"Вид машини","Стандартни машини","наименование на групата","Едноиглова права машина","описание","за подгъв","характеристики","горен диф. транспорт")-M6-P6-S6</f>
        <v>0</v>
      </c>
      <c r="X6" s="217">
        <f t="shared" ref="X6:X23" si="0">W6*I6</f>
        <v>0</v>
      </c>
    </row>
    <row r="7" spans="1:24" ht="28.8" x14ac:dyDescent="0.3">
      <c r="A7" s="308"/>
      <c r="B7" s="308"/>
      <c r="C7" s="308"/>
      <c r="D7" s="308"/>
      <c r="E7" s="78" t="s">
        <v>1123</v>
      </c>
      <c r="F7" s="78" t="s">
        <v>1049</v>
      </c>
      <c r="G7" s="63">
        <v>2</v>
      </c>
      <c r="H7" s="102">
        <v>21122.959999999999</v>
      </c>
      <c r="I7" s="145">
        <f>GETPIVOTDATA("Сума от Първоначална стойност",$A$3,"група",1,"№ Вид машини",1,"Вид машини","Стандартни машини","наименование на групата","Едноиглова права машина","описание","за похлюпване на колани","характеристики","иглен транспорт")/GETPIVOTDATA("Брой от име",$A$3,"група",1,"№ Вид машини",1,"Вид машини","Стандартни машини","наименование на групата","Едноиглова права машина","описание","за похлюпване на колани","характеристики","иглен транспорт")</f>
        <v>10561.48</v>
      </c>
      <c r="J7"/>
      <c r="K7" s="322"/>
      <c r="L7" s="100" t="s">
        <v>1377</v>
      </c>
      <c r="M7" s="91"/>
      <c r="N7" s="149"/>
      <c r="O7" s="92"/>
      <c r="P7" s="91">
        <v>2</v>
      </c>
      <c r="Q7" s="149">
        <f>P7*I7</f>
        <v>21122.959999999999</v>
      </c>
      <c r="R7" s="92"/>
      <c r="S7" s="90"/>
      <c r="T7" s="149"/>
      <c r="U7" s="92"/>
      <c r="W7" s="212">
        <f>GETPIVOTDATA("Брой от име",$A$3,"група",1,"№ Вид машини",1,"Вид машини","Стандартни машини","наименование на групата","Едноиглова права машина","описание","за похлюпване на колани","характеристики","иглен транспорт")-M7-P7-S7</f>
        <v>0</v>
      </c>
      <c r="X7" s="217">
        <f t="shared" si="0"/>
        <v>0</v>
      </c>
    </row>
    <row r="8" spans="1:24" ht="43.2" x14ac:dyDescent="0.3">
      <c r="A8" s="308"/>
      <c r="B8" s="308"/>
      <c r="C8" s="308"/>
      <c r="D8" s="308"/>
      <c r="E8" s="307" t="s">
        <v>6</v>
      </c>
      <c r="F8" s="78" t="s">
        <v>1072</v>
      </c>
      <c r="G8" s="63">
        <v>6</v>
      </c>
      <c r="H8" s="102">
        <v>105507</v>
      </c>
      <c r="I8" s="145">
        <f>GETPIVOTDATA("Сума от Първоначална стойност",$A$3,"група",1,"№ Вид машини",1,"Вид машини","Стандартни машини","наименование на групата","Едноиглова права машина","описание","обрезвачка","характеристики","горен диф. транспорт-  8 сектора-изрязване резерва")/GETPIVOTDATA("Брой от име",$A$3,"група",1,"№ Вид машини",1,"Вид машини","Стандартни машини","наименование на групата","Едноиглова права машина","описание","обрезвачка","характеристики","горен диф. транспорт-  8 сектора-изрязване резерва")</f>
        <v>17584.5</v>
      </c>
      <c r="J8"/>
      <c r="K8" s="322"/>
      <c r="L8" s="100" t="s">
        <v>1378</v>
      </c>
      <c r="M8" s="91">
        <v>3</v>
      </c>
      <c r="N8" s="149">
        <f>M8*I8</f>
        <v>52753.5</v>
      </c>
      <c r="O8" s="92"/>
      <c r="P8" s="91"/>
      <c r="Q8" s="149"/>
      <c r="R8" s="92"/>
      <c r="S8" s="90"/>
      <c r="T8" s="149"/>
      <c r="U8" s="92"/>
      <c r="W8" s="212">
        <f>GETPIVOTDATA("Брой от име",$A$3,"група",1,"№ Вид машини",1,"Вид машини","Стандартни машини","наименование на групата","Едноиглова права машина","описание","обрезвачка","характеристики","горен диф. транспорт-  8 сектора-изрязване резерва")-M8-P8-S8</f>
        <v>3</v>
      </c>
      <c r="X8" s="217">
        <f>W8*I8</f>
        <v>52753.5</v>
      </c>
    </row>
    <row r="9" spans="1:24" ht="43.2" x14ac:dyDescent="0.3">
      <c r="A9" s="308"/>
      <c r="B9" s="308"/>
      <c r="C9" s="308"/>
      <c r="D9" s="308"/>
      <c r="E9" s="308"/>
      <c r="F9" s="78" t="s">
        <v>1050</v>
      </c>
      <c r="G9" s="63">
        <v>10</v>
      </c>
      <c r="H9" s="102">
        <v>95914.26</v>
      </c>
      <c r="I9" s="145">
        <f>GETPIVOTDATA("Сума от Първоначална стойност",$A$3,"група",1,"№ Вид машини",1,"Вид машини","Стандартни машини","наименование на групата","Едноиглова права машина","описание","обрезвачка","характеристики","горен диф. транспорт-изрязване резерва")/GETPIVOTDATA("Брой от име",$A$3,"група",1,"№ Вид машини",1,"Вид машини","Стандартни машини","наименование на групата","Едноиглова права машина","описание","обрезвачка","характеристики","горен диф. транспорт-изрязване резерва")</f>
        <v>9591.4259999999995</v>
      </c>
      <c r="J9"/>
      <c r="K9" s="322"/>
      <c r="L9" s="100" t="s">
        <v>1379</v>
      </c>
      <c r="M9" s="91">
        <v>2</v>
      </c>
      <c r="N9" s="149">
        <f>M9*I9</f>
        <v>19182.851999999999</v>
      </c>
      <c r="O9" s="92"/>
      <c r="P9" s="91"/>
      <c r="Q9" s="149"/>
      <c r="R9" s="92"/>
      <c r="S9" s="90">
        <v>2</v>
      </c>
      <c r="T9" s="149">
        <f>S9*I9</f>
        <v>19182.851999999999</v>
      </c>
      <c r="U9" s="92"/>
      <c r="W9" s="212">
        <f>GETPIVOTDATA("Брой от име",$A$3,"група",1,"№ Вид машини",1,"Вид машини","Стандартни машини","наименование на групата","Едноиглова права машина","описание","обрезвачка","характеристики","горен диф. транспорт-изрязване резерва")-M9-P9-S9</f>
        <v>6</v>
      </c>
      <c r="X9" s="217">
        <f t="shared" si="0"/>
        <v>57548.555999999997</v>
      </c>
    </row>
    <row r="10" spans="1:24" ht="43.2" x14ac:dyDescent="0.3">
      <c r="A10" s="308"/>
      <c r="B10" s="308"/>
      <c r="C10" s="308"/>
      <c r="D10" s="308"/>
      <c r="E10" s="308"/>
      <c r="F10" s="78" t="s">
        <v>1137</v>
      </c>
      <c r="G10" s="63">
        <v>1</v>
      </c>
      <c r="H10" s="102">
        <v>5182.95</v>
      </c>
      <c r="I10" s="145">
        <f>GETPIVOTDATA("Сума от Първоначална стойност",$A$3,"група",1,"№ Вид машини",1,"Вид машини","Стандартни машини","наименование на групата","Едноиглова права машина","описание","обрезвачка","характеристики","долен диф. транспорт-изрязване на резерва")/GETPIVOTDATA("Брой от име",$A$3,"група",1,"№ Вид машини",1,"Вид машини","Стандартни машини","наименование на групата","Едноиглова права машина","описание","обрезвачка","характеристики","долен диф. транспорт-изрязване на резерва")</f>
        <v>5182.95</v>
      </c>
      <c r="J10"/>
      <c r="K10" s="322"/>
      <c r="L10" s="100" t="s">
        <v>1380</v>
      </c>
      <c r="M10" s="91"/>
      <c r="N10" s="149"/>
      <c r="O10" s="92"/>
      <c r="P10" s="91">
        <v>1</v>
      </c>
      <c r="Q10" s="149">
        <f>P10*I10</f>
        <v>5182.95</v>
      </c>
      <c r="R10" s="92"/>
      <c r="S10" s="90"/>
      <c r="T10" s="149"/>
      <c r="U10" s="92"/>
      <c r="W10" s="212">
        <f>GETPIVOTDATA("Брой от име",$A$3,"група",1,"№ Вид машини",1,"Вид машини","Стандартни машини","наименование на групата","Едноиглова права машина","описание","обрезвачка","характеристики","долен диф. транспорт-изрязване на резерва")-M10-P10-S10</f>
        <v>0</v>
      </c>
      <c r="X10" s="217">
        <f t="shared" si="0"/>
        <v>0</v>
      </c>
    </row>
    <row r="11" spans="1:24" ht="43.2" x14ac:dyDescent="0.3">
      <c r="A11" s="308"/>
      <c r="B11" s="308"/>
      <c r="C11" s="308"/>
      <c r="D11" s="308"/>
      <c r="E11" s="308"/>
      <c r="F11" s="78" t="s">
        <v>1138</v>
      </c>
      <c r="G11" s="63">
        <v>1</v>
      </c>
      <c r="H11" s="102">
        <v>5182.95</v>
      </c>
      <c r="I11" s="145">
        <f>GETPIVOTDATA("Сума от Първоначална стойност",$A$3,"група",1,"№ Вид машини",1,"Вид машини","Стандартни машини","наименование на групата","Едноиглова права машина","описание","обрезвачка","характеристики","иглен транспорт-изрязване на резерва")/GETPIVOTDATA("Брой от име",$A$3,"група",1,"№ Вид машини",1,"Вид машини","Стандартни машини","наименование на групата","Едноиглова права машина","описание","обрезвачка","характеристики","иглен транспорт-изрязване на резерва")</f>
        <v>5182.95</v>
      </c>
      <c r="J11"/>
      <c r="K11" s="322"/>
      <c r="L11" s="100" t="s">
        <v>1381</v>
      </c>
      <c r="M11" s="91"/>
      <c r="N11" s="149"/>
      <c r="O11" s="92"/>
      <c r="P11" s="91"/>
      <c r="Q11" s="149"/>
      <c r="R11" s="92"/>
      <c r="S11" s="90"/>
      <c r="T11" s="149"/>
      <c r="U11" s="92"/>
      <c r="W11" s="212">
        <f>GETPIVOTDATA("Брой от име",$A$3,"група",1,"№ Вид машини",1,"Вид машини","Стандартни машини","наименование на групата","Едноиглова права машина","описание","обрезвачка","характеристики","иглен транспорт-изрязване на резерва")-M11-P11-S11</f>
        <v>1</v>
      </c>
      <c r="X11" s="217">
        <f t="shared" si="0"/>
        <v>5182.95</v>
      </c>
    </row>
    <row r="12" spans="1:24" ht="28.8" x14ac:dyDescent="0.3">
      <c r="A12" s="308"/>
      <c r="B12" s="308"/>
      <c r="C12" s="308"/>
      <c r="D12" s="308"/>
      <c r="E12" s="308"/>
      <c r="F12" s="78" t="s">
        <v>1084</v>
      </c>
      <c r="G12" s="63">
        <v>1</v>
      </c>
      <c r="H12" s="102">
        <v>5989</v>
      </c>
      <c r="I12" s="145">
        <f>GETPIVOTDATA("Сума от Първоначална стойност",$A$3,"група",1,"№ Вид машини",1,"Вид машини","Стандартни машини","наименование на групата","Едноиглова права машина","описание","обрезвачка","характеристики","изрязване резерва")/GETPIVOTDATA("Брой от име",$A$3,"група",1,"№ Вид машини",1,"Вид машини","Стандартни машини","наименование на групата","Едноиглова права машина","описание","обрезвачка","характеристики","изрязване резерва")</f>
        <v>5989</v>
      </c>
      <c r="J12"/>
      <c r="K12" s="322"/>
      <c r="L12" s="100" t="s">
        <v>1382</v>
      </c>
      <c r="M12" s="91"/>
      <c r="N12" s="149"/>
      <c r="O12" s="92"/>
      <c r="P12" s="91"/>
      <c r="Q12" s="149"/>
      <c r="R12" s="92"/>
      <c r="S12" s="90"/>
      <c r="T12" s="149"/>
      <c r="U12" s="92"/>
      <c r="W12" s="212">
        <f>GETPIVOTDATA("Брой от име",$A$3,"група",1,"№ Вид машини",1,"Вид машини","Стандартни машини","наименование на групата","Едноиглова права машина","описание","обрезвачка","характеристики","изрязване резерва")-M12-P12-S12</f>
        <v>1</v>
      </c>
      <c r="X12" s="217">
        <f t="shared" si="0"/>
        <v>5989</v>
      </c>
    </row>
    <row r="13" spans="1:24" ht="43.2" x14ac:dyDescent="0.3">
      <c r="A13" s="308"/>
      <c r="B13" s="308"/>
      <c r="C13" s="308"/>
      <c r="D13" s="308"/>
      <c r="E13" s="78" t="s">
        <v>1117</v>
      </c>
      <c r="F13" s="78" t="s">
        <v>1050</v>
      </c>
      <c r="G13" s="63">
        <v>1</v>
      </c>
      <c r="H13" s="102">
        <v>9974.73</v>
      </c>
      <c r="I13" s="145">
        <f>GETPIVOTDATA("Сума от Първоначална стойност",$A$3,"група",1,"№ Вид машини",1,"Вид машини","Стандартни машини","наименование на групата","Едноиглова права машина","описание","обрезвачка -3мм","характеристики","горен диф. транспорт-изрязване резерва")/GETPIVOTDATA("Брой от име",$A$3,"група",1,"№ Вид машини",1,"Вид машини","Стандартни машини","наименование на групата","Едноиглова права машина","описание","обрезвачка -3мм","характеристики","горен диф. транспорт-изрязване резерва")</f>
        <v>9974.73</v>
      </c>
      <c r="J13"/>
      <c r="K13" s="322"/>
      <c r="L13" s="100" t="s">
        <v>1383</v>
      </c>
      <c r="M13" s="91"/>
      <c r="N13" s="149"/>
      <c r="O13" s="92"/>
      <c r="P13" s="91"/>
      <c r="Q13" s="149"/>
      <c r="R13" s="92"/>
      <c r="S13" s="90">
        <v>1</v>
      </c>
      <c r="T13" s="149">
        <f t="shared" ref="T13:T22" si="1">S13*I13</f>
        <v>9974.73</v>
      </c>
      <c r="U13" s="92"/>
      <c r="W13" s="212">
        <f>GETPIVOTDATA("Брой от име",$A$3,"група",1,"№ Вид машини",1,"Вид машини","Стандартни машини","наименование на групата","Едноиглова права машина","описание","обрезвачка -3мм","характеристики","горен диф. транспорт-изрязване резерва")-M13-P13-S13</f>
        <v>0</v>
      </c>
      <c r="X13" s="217">
        <f t="shared" si="0"/>
        <v>0</v>
      </c>
    </row>
    <row r="14" spans="1:24" ht="28.8" x14ac:dyDescent="0.3">
      <c r="A14" s="308"/>
      <c r="B14" s="308"/>
      <c r="C14" s="308"/>
      <c r="D14" s="308"/>
      <c r="E14" s="78" t="s">
        <v>1107</v>
      </c>
      <c r="F14" s="78" t="s">
        <v>1106</v>
      </c>
      <c r="G14" s="63">
        <v>1</v>
      </c>
      <c r="H14" s="102">
        <v>10415</v>
      </c>
      <c r="I14" s="145">
        <f>GETPIVOTDATA("Сума от Първоначална стойност",$A$3,"група",1,"№ Вид машини",1,"Вид машини","Стандартни машини","наименование на групата","Едноиглова права машина","описание","тежък клас","характеристики","иглен транспорт-пулер")/GETPIVOTDATA("Брой от име",$A$3,"група",1,"№ Вид машини",1,"Вид машини","Стандартни машини","наименование на групата","Едноиглова права машина","описание","тежък клас","характеристики","иглен транспорт-пулер")</f>
        <v>10415</v>
      </c>
      <c r="J14"/>
      <c r="K14" s="322"/>
      <c r="L14" s="100" t="s">
        <v>1384</v>
      </c>
      <c r="M14" s="91"/>
      <c r="N14" s="149"/>
      <c r="O14" s="92"/>
      <c r="P14" s="91">
        <v>1</v>
      </c>
      <c r="Q14" s="149">
        <f>P14*I14</f>
        <v>10415</v>
      </c>
      <c r="R14" s="92"/>
      <c r="S14" s="90"/>
      <c r="T14" s="149"/>
      <c r="U14" s="92"/>
      <c r="W14" s="212">
        <f>GETPIVOTDATA("Брой от име",$A$3,"група",1,"№ Вид машини",1,"Вид машини","Стандартни машини","наименование на групата","Едноиглова права машина","описание","тежък клас","характеристики","иглен транспорт-пулер")-M14-P14-S14</f>
        <v>0</v>
      </c>
      <c r="X14" s="217">
        <f t="shared" si="0"/>
        <v>0</v>
      </c>
    </row>
    <row r="15" spans="1:24" x14ac:dyDescent="0.3">
      <c r="A15" s="308"/>
      <c r="B15" s="308"/>
      <c r="C15" s="308"/>
      <c r="D15" s="308"/>
      <c r="E15" s="307" t="s">
        <v>1639</v>
      </c>
      <c r="F15" s="78" t="s">
        <v>1048</v>
      </c>
      <c r="G15" s="63">
        <v>11</v>
      </c>
      <c r="H15" s="102">
        <v>105232.13</v>
      </c>
      <c r="I15" s="145">
        <f>GETPIVOTDATA("Сума от Първоначална стойност",$A$3,"група",1,"№ Вид машини",1,"Вид машини","Стандартни машини","наименование на групата","Едноиглова права машина","описание",,"характеристики","горен диф. транспорт")/GETPIVOTDATA("Брой от име",$A$3,"група",1,"№ Вид машини",1,"Вид машини","Стандартни машини","наименование на групата","Едноиглова права машина","описание",,"характеристики","горен диф. транспорт")</f>
        <v>9566.5572727272738</v>
      </c>
      <c r="J15"/>
      <c r="K15" s="322"/>
      <c r="L15" s="100" t="s">
        <v>1048</v>
      </c>
      <c r="M15" s="91">
        <v>2</v>
      </c>
      <c r="N15" s="149">
        <f>M15*I15</f>
        <v>19133.114545454548</v>
      </c>
      <c r="O15" s="92"/>
      <c r="P15" s="91"/>
      <c r="Q15" s="149"/>
      <c r="R15" s="92"/>
      <c r="S15" s="90">
        <v>2</v>
      </c>
      <c r="T15" s="149">
        <f t="shared" si="1"/>
        <v>19133.114545454548</v>
      </c>
      <c r="U15" s="92"/>
      <c r="W15" s="212">
        <f>GETPIVOTDATA("Брой от име",$A$3,"група",1,"№ Вид машини",1,"Вид машини","Стандартни машини","наименование на групата","Едноиглова права машина","описание",,"характеристики","горен диф. транспорт")-M15-P15-S15</f>
        <v>7</v>
      </c>
      <c r="X15" s="217">
        <f t="shared" si="0"/>
        <v>66965.900909090909</v>
      </c>
    </row>
    <row r="16" spans="1:24" ht="28.8" x14ac:dyDescent="0.3">
      <c r="A16" s="308"/>
      <c r="B16" s="308"/>
      <c r="C16" s="308"/>
      <c r="D16" s="308"/>
      <c r="E16" s="308"/>
      <c r="F16" s="78" t="s">
        <v>1091</v>
      </c>
      <c r="G16" s="63">
        <v>2</v>
      </c>
      <c r="H16" s="102">
        <v>11930.56</v>
      </c>
      <c r="I16" s="145">
        <f>GETPIVOTDATA("Сума от Първоначална стойност",$A$3,"група",1,"№ Вид машини",1,"Вид машини","Стандартни машини","наименование на групата","Едноиглова права машина","описание",,"характеристики","горен диф. транспорт-  8 сектора")/GETPIVOTDATA("Брой от име",$A$3,"група",1,"№ Вид машини",1,"Вид машини","Стандартни машини","наименование на групата","Едноиглова права машина","описание",,"характеристики","горен диф. транспорт-  8 сектора")</f>
        <v>5965.28</v>
      </c>
      <c r="J16"/>
      <c r="K16" s="322"/>
      <c r="L16" s="100" t="s">
        <v>1091</v>
      </c>
      <c r="M16" s="91"/>
      <c r="N16" s="149"/>
      <c r="O16" s="92"/>
      <c r="P16" s="91"/>
      <c r="Q16" s="149"/>
      <c r="R16" s="92"/>
      <c r="S16" s="90">
        <v>2</v>
      </c>
      <c r="T16" s="149">
        <f t="shared" si="1"/>
        <v>11930.56</v>
      </c>
      <c r="U16" s="92"/>
      <c r="W16" s="212">
        <f>GETPIVOTDATA("Брой от име",$A$3,"група",1,"№ Вид машини",1,"Вид машини","Стандартни машини","наименование на групата","Едноиглова права машина","описание",,"характеристики","горен диф. транспорт-  8 сектора")-M16-P16-S16</f>
        <v>0</v>
      </c>
      <c r="X16" s="217">
        <f t="shared" si="0"/>
        <v>0</v>
      </c>
    </row>
    <row r="17" spans="1:25" x14ac:dyDescent="0.3">
      <c r="A17" s="308"/>
      <c r="B17" s="308"/>
      <c r="C17" s="308"/>
      <c r="D17" s="308"/>
      <c r="E17" s="308"/>
      <c r="F17" s="78" t="s">
        <v>1049</v>
      </c>
      <c r="G17" s="63">
        <v>28</v>
      </c>
      <c r="H17" s="102">
        <v>161689.46000000002</v>
      </c>
      <c r="I17" s="145">
        <f>GETPIVOTDATA("Сума от Първоначална стойност",$A$3,"група",1,"№ Вид машини",1,"Вид машини","Стандартни машини","наименование на групата","Едноиглова права машина","описание",,"характеристики","иглен транспорт")/GETPIVOTDATA("Брой от име",$A$3,"група",1,"№ Вид машини",1,"Вид машини","Стандартни машини","наименование на групата","Едноиглова права машина","описание",,"характеристики","иглен транспорт")</f>
        <v>5774.6235714285722</v>
      </c>
      <c r="J17"/>
      <c r="K17" s="322"/>
      <c r="L17" s="100" t="s">
        <v>1049</v>
      </c>
      <c r="M17" s="91">
        <v>2</v>
      </c>
      <c r="N17" s="149">
        <f>M17*I17</f>
        <v>11549.247142857144</v>
      </c>
      <c r="O17" s="92"/>
      <c r="P17" s="91"/>
      <c r="Q17" s="149"/>
      <c r="R17" s="92"/>
      <c r="S17" s="90">
        <v>2</v>
      </c>
      <c r="T17" s="149">
        <f t="shared" si="1"/>
        <v>11549.247142857144</v>
      </c>
      <c r="U17" s="92"/>
      <c r="W17" s="212">
        <f>GETPIVOTDATA("Брой от име",$A$3,"група",1,"№ Вид машини",1,"Вид машини","Стандартни машини","наименование на групата","Едноиглова права машина","описание",,"характеристики","иглен транспорт")-M17-P17-S17</f>
        <v>24</v>
      </c>
      <c r="X17" s="217">
        <f t="shared" si="0"/>
        <v>138590.96571428573</v>
      </c>
    </row>
    <row r="18" spans="1:25" x14ac:dyDescent="0.3">
      <c r="A18" s="308"/>
      <c r="B18" s="308"/>
      <c r="C18" s="308"/>
      <c r="D18" s="308"/>
      <c r="E18" s="308"/>
      <c r="F18" s="78" t="s">
        <v>1106</v>
      </c>
      <c r="G18" s="63">
        <v>10</v>
      </c>
      <c r="H18" s="102">
        <v>77522.200000000012</v>
      </c>
      <c r="I18" s="145">
        <f>GETPIVOTDATA("Сума от Първоначална стойност",$A$3,"група",1,"№ Вид машини",1,"Вид машини","Стандартни машини","наименование на групата","Едноиглова права машина","описание",,"характеристики","иглен транспорт-пулер")/GETPIVOTDATA("Брой от име",$A$3,"група",1,"№ Вид машини",1,"Вид машини","Стандартни машини","наименование на групата","Едноиглова права машина","описание",,"характеристики","иглен транспорт-пулер")</f>
        <v>7752.2200000000012</v>
      </c>
      <c r="J18"/>
      <c r="K18" s="322"/>
      <c r="L18" s="100" t="s">
        <v>1106</v>
      </c>
      <c r="M18" s="91"/>
      <c r="N18" s="149"/>
      <c r="O18" s="92"/>
      <c r="P18" s="91">
        <v>2</v>
      </c>
      <c r="Q18" s="149">
        <f>P18*I18</f>
        <v>15504.440000000002</v>
      </c>
      <c r="R18" s="92"/>
      <c r="S18" s="90">
        <v>2</v>
      </c>
      <c r="T18" s="149">
        <f t="shared" si="1"/>
        <v>15504.440000000002</v>
      </c>
      <c r="U18" s="92"/>
      <c r="W18" s="212">
        <f>GETPIVOTDATA("Брой от име",$A$3,"група",1,"№ Вид машини",1,"Вид машини","Стандартни машини","наименование на групата","Едноиглова права машина","описание",,"характеристики","иглен транспорт-пулер")-M18-P18-S18</f>
        <v>6</v>
      </c>
      <c r="X18" s="217">
        <f t="shared" si="0"/>
        <v>46513.320000000007</v>
      </c>
    </row>
    <row r="19" spans="1:25" x14ac:dyDescent="0.3">
      <c r="A19" s="308"/>
      <c r="B19" s="308"/>
      <c r="C19" s="308"/>
      <c r="D19" s="308"/>
      <c r="E19" s="308"/>
      <c r="F19" s="78" t="s">
        <v>1097</v>
      </c>
      <c r="G19" s="63">
        <v>2</v>
      </c>
      <c r="H19" s="102">
        <v>17015.72</v>
      </c>
      <c r="I19" s="145">
        <f>GETPIVOTDATA("Сума от Първоначална стойност",$A$3,"група",1,"№ Вид машини",1,"Вид машини","Стандартни машини","наименование на групата","Едноиглова права машина","описание",,"характеристики","пулер")/GETPIVOTDATA("Брой от име",$A$3,"група",1,"№ Вид машини",1,"Вид машини","Стандартни машини","наименование на групата","Едноиглова права машина","описание",,"характеристики","пулер")</f>
        <v>8507.86</v>
      </c>
      <c r="J19"/>
      <c r="K19" s="322"/>
      <c r="L19" s="100" t="s">
        <v>1097</v>
      </c>
      <c r="M19" s="91"/>
      <c r="N19" s="149"/>
      <c r="O19" s="92"/>
      <c r="P19" s="91">
        <v>1</v>
      </c>
      <c r="Q19" s="149">
        <f>P19*I19</f>
        <v>8507.86</v>
      </c>
      <c r="R19" s="92"/>
      <c r="S19" s="90">
        <v>1</v>
      </c>
      <c r="T19" s="149">
        <f t="shared" si="1"/>
        <v>8507.86</v>
      </c>
      <c r="U19" s="92"/>
      <c r="W19" s="212">
        <f>GETPIVOTDATA("Брой от име",$A$3,"група",1,"№ Вид машини",1,"Вид машини","Стандартни машини","наименование на групата","Едноиглова права машина","описание",,"характеристики","пулер")-M19-P19-S19</f>
        <v>0</v>
      </c>
      <c r="X19" s="217">
        <f t="shared" si="0"/>
        <v>0</v>
      </c>
    </row>
    <row r="20" spans="1:25" x14ac:dyDescent="0.3">
      <c r="A20" s="308"/>
      <c r="B20" s="308"/>
      <c r="C20" s="308"/>
      <c r="D20" s="308"/>
      <c r="E20" s="308"/>
      <c r="F20" s="78" t="s">
        <v>1639</v>
      </c>
      <c r="G20" s="63">
        <v>242</v>
      </c>
      <c r="H20" s="102">
        <v>520374.11999999941</v>
      </c>
      <c r="I20" s="145">
        <f>GETPIVOTDATA("Сума от Първоначална стойност",$A$3,"група",1,"№ Вид машини",1,"Вид машини","Стандартни машини","наименование на групата","Едноиглова права машина","описание",,"характеристики",)/GETPIVOTDATA("Брой от име",$A$3,"група",1,"№ Вид машини",1,"Вид машини","Стандартни машини","наименование на групата","Едноиглова права машина","описание",,"характеристики",)</f>
        <v>2150.3062809917333</v>
      </c>
      <c r="J20"/>
      <c r="K20" s="322"/>
      <c r="L20" s="100"/>
      <c r="M20" s="91">
        <v>17</v>
      </c>
      <c r="N20" s="149">
        <f>M20*I20</f>
        <v>36555.206776859464</v>
      </c>
      <c r="O20" s="92"/>
      <c r="P20" s="91">
        <v>18</v>
      </c>
      <c r="Q20" s="149">
        <f>P20*I20</f>
        <v>38705.513057851196</v>
      </c>
      <c r="R20" s="92"/>
      <c r="S20" s="90">
        <v>11</v>
      </c>
      <c r="T20" s="149">
        <f>S20*I20</f>
        <v>23653.369090909066</v>
      </c>
      <c r="U20" s="92"/>
      <c r="W20" s="212">
        <f>GETPIVOTDATA("Брой от име",$A$3,"група",1,"№ Вид машини",1,"Вид машини","Стандартни машини","наименование на групата","Едноиглова права машина","описание",,"характеристики",)-M20-P20-S20</f>
        <v>196</v>
      </c>
      <c r="X20" s="217">
        <f t="shared" si="0"/>
        <v>421460.03107437975</v>
      </c>
    </row>
    <row r="21" spans="1:25" x14ac:dyDescent="0.3">
      <c r="A21" s="308"/>
      <c r="B21" s="308"/>
      <c r="C21" s="308"/>
      <c r="D21" s="308"/>
      <c r="E21" s="308"/>
      <c r="F21" s="78" t="s">
        <v>1047</v>
      </c>
      <c r="G21" s="63">
        <v>1</v>
      </c>
      <c r="H21" s="102">
        <v>4100</v>
      </c>
      <c r="I21" s="145">
        <f>GETPIVOTDATA("Сума от Първоначална стойност",$A$3,"група",1,"№ Вид машини",1,"Вид машини","Стандартни машини","наименование на групата","Едноиглова права машина","описание",,"характеристики","цилиндрична")/GETPIVOTDATA("Брой от име",$A$3,"група",1,"№ Вид машини",1,"Вид машини","Стандартни машини","наименование на групата","Едноиглова права машина","описание",,"характеристики","цилиндрична")</f>
        <v>4100</v>
      </c>
      <c r="J21"/>
      <c r="K21" s="322"/>
      <c r="L21" s="100" t="s">
        <v>1047</v>
      </c>
      <c r="M21" s="91">
        <v>1</v>
      </c>
      <c r="N21" s="149">
        <f>M21*I21</f>
        <v>4100</v>
      </c>
      <c r="O21" s="92"/>
      <c r="P21" s="91"/>
      <c r="Q21" s="149"/>
      <c r="R21" s="92"/>
      <c r="S21" s="90"/>
      <c r="T21" s="149"/>
      <c r="U21" s="92"/>
      <c r="W21" s="212">
        <f>GETPIVOTDATA("Брой от име",$A$3,"група",1,"№ Вид машини",1,"Вид машини","Стандартни машини","наименование на групата","Едноиглова права машина","описание",,"характеристики","цилиндрична")-M21-P21-S21</f>
        <v>0</v>
      </c>
      <c r="X21" s="217">
        <f t="shared" si="0"/>
        <v>0</v>
      </c>
    </row>
    <row r="22" spans="1:25" ht="28.8" x14ac:dyDescent="0.3">
      <c r="A22" s="308"/>
      <c r="B22" s="308"/>
      <c r="C22" s="308"/>
      <c r="D22" s="308"/>
      <c r="E22" s="78" t="s">
        <v>1208</v>
      </c>
      <c r="F22" s="78" t="s">
        <v>1639</v>
      </c>
      <c r="G22" s="63">
        <v>1</v>
      </c>
      <c r="H22" s="102">
        <v>3106.53</v>
      </c>
      <c r="I22" s="145">
        <f>GETPIVOTDATA("Сума от Първоначална стойност",$A$3,"група",1,"№ Вид машини",1,"Вид машини","Стандартни машини","наименование на групата","Едноиглова права машина","описание","тънки презрамки с вътрешен шев (гайки)","характеристики",)/GETPIVOTDATA("Брой от име",$A$3,"група",1,"№ Вид машини",1,"Вид машини","Стандартни машини","наименование на групата","Едноиглова права машина","описание","тънки презрамки с вътрешен шев (гайки)","характеристики",)</f>
        <v>3106.53</v>
      </c>
      <c r="J22"/>
      <c r="K22" s="322"/>
      <c r="L22" s="100" t="s">
        <v>1208</v>
      </c>
      <c r="M22" s="91"/>
      <c r="N22" s="149"/>
      <c r="O22" s="92"/>
      <c r="P22" s="91"/>
      <c r="Q22" s="149"/>
      <c r="R22" s="92"/>
      <c r="S22" s="90">
        <v>1</v>
      </c>
      <c r="T22" s="149">
        <f t="shared" si="1"/>
        <v>3106.53</v>
      </c>
      <c r="U22" s="92"/>
      <c r="W22" s="212">
        <f>GETPIVOTDATA("Брой от име",$A$3,"група",1,"№ Вид машини",1,"Вид машини","Стандартни машини","наименование на групата","Едноиглова права машина","описание","тънки презрамки с вътрешен шев (гайки)","характеристики",)-M22-P22-S22</f>
        <v>0</v>
      </c>
      <c r="X22" s="217">
        <f t="shared" si="0"/>
        <v>0</v>
      </c>
    </row>
    <row r="23" spans="1:25" ht="43.2" x14ac:dyDescent="0.3">
      <c r="A23" s="308"/>
      <c r="B23" s="308"/>
      <c r="C23" s="308"/>
      <c r="D23" s="308"/>
      <c r="E23" s="78" t="s">
        <v>1209</v>
      </c>
      <c r="F23" s="78" t="s">
        <v>1049</v>
      </c>
      <c r="G23" s="63">
        <v>2</v>
      </c>
      <c r="H23" s="102">
        <v>17954.52</v>
      </c>
      <c r="I23" s="145">
        <f>GETPIVOTDATA("Сума от Първоначална стойност",$A$3,"група",1,"№ Вид машини",1,"Вид машини","Стандартни машини","наименование на групата","Едноиглова права машина","описание","програмиране на три различни гъстоти на бода","характеристики","иглен транспорт")/GETPIVOTDATA("Брой от име",$A$3,"група",1,"№ Вид машини",1,"Вид машини","Стандартни машини","наименование на групата","Едноиглова права машина","описание","програмиране на три различни гъстоти на бода","характеристики","иглен транспорт")</f>
        <v>8977.26</v>
      </c>
      <c r="J23"/>
      <c r="K23" s="322"/>
      <c r="L23" s="100" t="s">
        <v>1385</v>
      </c>
      <c r="M23" s="91">
        <v>2</v>
      </c>
      <c r="N23" s="149">
        <f>M23*I23</f>
        <v>17954.52</v>
      </c>
      <c r="O23" s="92"/>
      <c r="P23" s="91"/>
      <c r="Q23" s="149"/>
      <c r="R23" s="92"/>
      <c r="S23" s="90"/>
      <c r="T23" s="149"/>
      <c r="U23" s="92"/>
      <c r="W23" s="212">
        <f>GETPIVOTDATA("Брой от име",$A$3,"група",1,"№ Вид машини",1,"Вид машини","Стандартни машини","наименование на групата","Едноиглова права машина","описание","програмиране на три различни гъстоти на бода","характеристики","иглен транспорт")-M23-P23-S23</f>
        <v>0</v>
      </c>
      <c r="X23" s="217">
        <f t="shared" si="0"/>
        <v>0</v>
      </c>
    </row>
    <row r="24" spans="1:25" ht="28.8" x14ac:dyDescent="0.3">
      <c r="A24" s="308"/>
      <c r="B24" s="308"/>
      <c r="C24" s="308"/>
      <c r="D24" s="307" t="s">
        <v>2014</v>
      </c>
      <c r="E24" s="308"/>
      <c r="F24" s="308"/>
      <c r="G24" s="63">
        <v>324</v>
      </c>
      <c r="H24" s="102">
        <v>1193616.2500000033</v>
      </c>
      <c r="I24" s="145"/>
      <c r="J24"/>
      <c r="K24" s="97" t="s">
        <v>190</v>
      </c>
      <c r="L24" s="101" t="e">
        <f>COUNTIF('Machine park -  BTB 24.04.26'!#REF!,$K24)</f>
        <v>#REF!</v>
      </c>
      <c r="M24" s="94">
        <f>SUM(M5:M23)</f>
        <v>30</v>
      </c>
      <c r="N24" s="159">
        <f>SUM(N5:N23)</f>
        <v>167682.68046517114</v>
      </c>
      <c r="O24" s="95"/>
      <c r="P24" s="94">
        <f>SUM(P5:P23)</f>
        <v>25</v>
      </c>
      <c r="Q24" s="159">
        <f>SUM(Q5:Q23)</f>
        <v>99438.723057851195</v>
      </c>
      <c r="R24" s="95"/>
      <c r="S24" s="93">
        <f>SUM(S5:S23)</f>
        <v>25</v>
      </c>
      <c r="T24" s="159">
        <f>SUM(T5:T23)</f>
        <v>131490.62277922075</v>
      </c>
      <c r="U24" s="95"/>
      <c r="W24" s="213">
        <f>GETPIVOTDATA("Брой от име",$A$3,"група",1,"№ Вид машини",1,"Вид машини","Стандартни машини","наименование на групата","Едноиглова права машина")-M24-P24-S24</f>
        <v>244</v>
      </c>
      <c r="X24" s="218">
        <f>SUM(X5:X23)</f>
        <v>795004.22369775642</v>
      </c>
      <c r="Y24" s="145">
        <f>N24+Q24+T24+X24</f>
        <v>1193616.2499999995</v>
      </c>
    </row>
    <row r="25" spans="1:25" x14ac:dyDescent="0.3">
      <c r="A25" s="308"/>
      <c r="B25" s="308"/>
      <c r="C25" s="307">
        <v>2</v>
      </c>
      <c r="D25" s="307" t="s">
        <v>191</v>
      </c>
      <c r="E25" s="307" t="s">
        <v>1102</v>
      </c>
      <c r="F25" s="78" t="s">
        <v>1074</v>
      </c>
      <c r="G25" s="63">
        <v>2</v>
      </c>
      <c r="H25" s="102">
        <v>5955.0499999999993</v>
      </c>
      <c r="I25" s="145">
        <f>GETPIVOTDATA("Сума от Първоначална стойност",$A$3,"група",2,"№ Вид машини",1,"Вид машини","Стандартни машини","наименование на групата","Oверлог","описание","3 конечен","характеристики","ел.нож")/GETPIVOTDATA("Брой от име",$A$3,"група",2,"№ Вид машини",1,"Вид машини","Стандартни машини","наименование на групата","Oверлог","описание","3 конечен","характеристики","ел.нож")</f>
        <v>2977.5249999999996</v>
      </c>
      <c r="J25"/>
      <c r="K25" s="309" t="s">
        <v>191</v>
      </c>
      <c r="L25" s="100" t="s">
        <v>1386</v>
      </c>
      <c r="M25" s="91"/>
      <c r="N25" s="149"/>
      <c r="O25" s="92"/>
      <c r="P25" s="91"/>
      <c r="Q25" s="149"/>
      <c r="R25" s="92"/>
      <c r="S25" s="90"/>
      <c r="T25" s="147"/>
      <c r="U25" s="92"/>
      <c r="W25" s="212">
        <f>GETPIVOTDATA("Брой от име",$A$3,"група",2,"№ Вид машини",1,"Вид машини","Стандартни машини","наименование на групата","Oверлог","описание","3 конечен","характеристики","ел.нож")-M25-P25-S25</f>
        <v>2</v>
      </c>
      <c r="X25" s="217">
        <f>W25*I25</f>
        <v>5955.0499999999993</v>
      </c>
    </row>
    <row r="26" spans="1:25" ht="28.8" x14ac:dyDescent="0.3">
      <c r="A26" s="308"/>
      <c r="B26" s="308"/>
      <c r="C26" s="308"/>
      <c r="D26" s="308"/>
      <c r="E26" s="308"/>
      <c r="F26" s="78" t="s">
        <v>1083</v>
      </c>
      <c r="G26" s="63">
        <v>8</v>
      </c>
      <c r="H26" s="102">
        <v>23820.199999999997</v>
      </c>
      <c r="I26" s="145">
        <f>GETPIVOTDATA("Сума от Първоначална стойност",$A$3,"група",2,"№ Вид машини",1,"Вид машини","Стандартни машини","наименование на групата","Oверлог","описание","3 конечен","характеристики","пневматичен нож")/GETPIVOTDATA("Брой от име",$A$3,"група",2,"№ Вид машини",1,"Вид машини","Стандартни машини","наименование на групата","Oверлог","описание","3 конечен","характеристики","пневматичен нож")</f>
        <v>2977.5249999999996</v>
      </c>
      <c r="J26"/>
      <c r="K26" s="309"/>
      <c r="L26" s="100" t="s">
        <v>1387</v>
      </c>
      <c r="M26" s="91"/>
      <c r="N26" s="149"/>
      <c r="O26" s="92"/>
      <c r="P26" s="91">
        <v>3</v>
      </c>
      <c r="Q26" s="149">
        <f>P26*I26</f>
        <v>8932.5749999999989</v>
      </c>
      <c r="R26" s="92"/>
      <c r="S26" s="90"/>
      <c r="T26" s="147"/>
      <c r="U26" s="92"/>
      <c r="W26" s="212">
        <f>GETPIVOTDATA("Брой от име",$A$3,"група",2,"№ Вид машини",1,"Вид машини","Стандартни машини","наименование на групата","Oверлог","описание","3 конечен","характеристики","пневматичен нож")-M26-P26-S26</f>
        <v>5</v>
      </c>
      <c r="X26" s="217">
        <f t="shared" ref="X26:X41" si="2">W26*I26</f>
        <v>14887.624999999998</v>
      </c>
    </row>
    <row r="27" spans="1:25" x14ac:dyDescent="0.3">
      <c r="A27" s="308"/>
      <c r="B27" s="308"/>
      <c r="C27" s="308"/>
      <c r="D27" s="308"/>
      <c r="E27" s="308"/>
      <c r="F27" s="78" t="s">
        <v>1212</v>
      </c>
      <c r="G27" s="63">
        <v>3</v>
      </c>
      <c r="H27" s="102">
        <v>8870.33</v>
      </c>
      <c r="I27" s="145">
        <f>GETPIVOTDATA("Сума от Първоначална стойност",$A$3,"група",2,"№ Вид машини",1,"Вид машини","Стандартни машини","наименование на групата","Oверлог","описание","3 конечен","характеристики","без нож/ пико")/GETPIVOTDATA("Брой от име",$A$3,"група",2,"№ Вид машини",1,"Вид машини","Стандартни машини","наименование на групата","Oверлог","описание","3 конечен","характеристики","без нож/ пико")</f>
        <v>2956.7766666666666</v>
      </c>
      <c r="J27"/>
      <c r="K27" s="309"/>
      <c r="L27" s="100" t="s">
        <v>1388</v>
      </c>
      <c r="M27" s="91"/>
      <c r="N27" s="149"/>
      <c r="O27" s="92"/>
      <c r="P27" s="91"/>
      <c r="Q27" s="149"/>
      <c r="R27" s="92"/>
      <c r="S27" s="90">
        <v>1</v>
      </c>
      <c r="T27" s="149">
        <f>S27*I27</f>
        <v>2956.7766666666666</v>
      </c>
      <c r="U27" s="92"/>
      <c r="W27" s="212">
        <f>GETPIVOTDATA("Брой от име",$A$3,"група",2,"№ Вид машини",1,"Вид машини","Стандартни машини","наименование на групата","Oверлог","описание","3 конечен","характеристики","без нож/ пико")-M27-P27-S27</f>
        <v>2</v>
      </c>
      <c r="X27" s="217">
        <f t="shared" si="2"/>
        <v>5913.5533333333333</v>
      </c>
    </row>
    <row r="28" spans="1:25" x14ac:dyDescent="0.3">
      <c r="A28" s="308"/>
      <c r="B28" s="308"/>
      <c r="C28" s="308"/>
      <c r="D28" s="308"/>
      <c r="E28" s="307" t="s">
        <v>1100</v>
      </c>
      <c r="F28" s="78" t="s">
        <v>1074</v>
      </c>
      <c r="G28" s="63">
        <v>2</v>
      </c>
      <c r="H28" s="102">
        <v>5070.8499999999995</v>
      </c>
      <c r="I28" s="145">
        <f>GETPIVOTDATA("Сума от Първоначална стойност",$A$3,"група",2,"№ Вид машини",1,"Вид машини","Стандартни машини","наименование на групата","Oверлог","описание","4 конечен","характеристики","ел.нож")/GETPIVOTDATA("Брой от име",$A$3,"група",2,"№ Вид машини",1,"Вид машини","Стандартни машини","наименование на групата","Oверлог","описание","4 конечен","характеристики","ел.нож")</f>
        <v>2535.4249999999997</v>
      </c>
      <c r="J28"/>
      <c r="K28" s="309"/>
      <c r="L28" s="100" t="s">
        <v>1389</v>
      </c>
      <c r="M28" s="91"/>
      <c r="N28" s="149"/>
      <c r="O28" s="92"/>
      <c r="P28" s="91"/>
      <c r="Q28" s="149"/>
      <c r="R28" s="92"/>
      <c r="S28" s="90"/>
      <c r="T28" s="149"/>
      <c r="U28" s="92"/>
      <c r="W28" s="212">
        <f>GETPIVOTDATA("Брой от име",$A$3,"група",2,"№ Вид машини",1,"Вид машини","Стандартни машини","наименование на групата","Oверлог","описание","4 конечен","характеристики","ел.нож")-M28-P28-S28</f>
        <v>2</v>
      </c>
      <c r="X28" s="217">
        <f t="shared" si="2"/>
        <v>5070.8499999999995</v>
      </c>
    </row>
    <row r="29" spans="1:25" ht="28.8" x14ac:dyDescent="0.3">
      <c r="A29" s="308"/>
      <c r="B29" s="308"/>
      <c r="C29" s="308"/>
      <c r="D29" s="308"/>
      <c r="E29" s="308"/>
      <c r="F29" s="78" t="s">
        <v>1083</v>
      </c>
      <c r="G29" s="63">
        <v>12</v>
      </c>
      <c r="H29" s="102">
        <v>30425.1</v>
      </c>
      <c r="I29" s="145">
        <f>GETPIVOTDATA("Сума от Първоначална стойност",$A$3,"група",2,"№ Вид машини",1,"Вид машини","Стандартни машини","наименование на групата","Oверлог","описание","4 конечен","характеристики","пневматичен нож")/GETPIVOTDATA("Брой от име",$A$3,"група",2,"№ Вид машини",1,"Вид машини","Стандартни машини","наименование на групата","Oверлог","описание","4 конечен","характеристики","пневматичен нож")</f>
        <v>2535.4249999999997</v>
      </c>
      <c r="J29"/>
      <c r="K29" s="309"/>
      <c r="L29" s="100" t="s">
        <v>1390</v>
      </c>
      <c r="M29" s="91"/>
      <c r="N29" s="149"/>
      <c r="O29" s="92"/>
      <c r="P29" s="91"/>
      <c r="Q29" s="149"/>
      <c r="R29" s="92"/>
      <c r="S29" s="90">
        <v>2</v>
      </c>
      <c r="T29" s="149">
        <f>S29*I29</f>
        <v>5070.8499999999995</v>
      </c>
      <c r="U29" s="92"/>
      <c r="W29" s="212">
        <f>GETPIVOTDATA("Брой от име",$A$3,"група",2,"№ Вид машини",1,"Вид машини","Стандартни машини","наименование на групата","Oверлог","описание","4 конечен","характеристики","пневматичен нож")-M29-P29-S29</f>
        <v>10</v>
      </c>
      <c r="X29" s="217">
        <f t="shared" si="2"/>
        <v>25354.249999999996</v>
      </c>
    </row>
    <row r="30" spans="1:25" x14ac:dyDescent="0.3">
      <c r="A30" s="308"/>
      <c r="B30" s="308"/>
      <c r="C30" s="308"/>
      <c r="D30" s="308"/>
      <c r="E30" s="307" t="s">
        <v>1073</v>
      </c>
      <c r="F30" s="78" t="s">
        <v>1096</v>
      </c>
      <c r="G30" s="63">
        <v>4</v>
      </c>
      <c r="H30" s="102">
        <v>7200</v>
      </c>
      <c r="I30" s="145">
        <f>GETPIVOTDATA("Сума от Първоначална стойност",$A$3,"група",2,"№ Вид машини",1,"Вид машини","Стандартни машини","наименование на групата","Oверлог","описание","5 конечен","характеристики","без нож")/GETPIVOTDATA("Брой от име",$A$3,"група",2,"№ Вид машини",1,"Вид машини","Стандартни машини","наименование на групата","Oверлог","описание","5 конечен","характеристики","без нож")</f>
        <v>1800</v>
      </c>
      <c r="J30"/>
      <c r="K30" s="309"/>
      <c r="L30" s="100" t="s">
        <v>1391</v>
      </c>
      <c r="M30" s="91"/>
      <c r="N30" s="149"/>
      <c r="O30" s="92"/>
      <c r="P30" s="91"/>
      <c r="Q30" s="149"/>
      <c r="R30" s="92"/>
      <c r="S30" s="90"/>
      <c r="T30" s="149"/>
      <c r="U30" s="92"/>
      <c r="W30" s="212">
        <f>GETPIVOTDATA("Брой от име",$A$3,"група",2,"№ Вид машини",1,"Вид машини","Стандартни машини","наименование на групата","Oверлог","описание","5 конечен","характеристики","без нож")-M30-P30-S30</f>
        <v>4</v>
      </c>
      <c r="X30" s="217">
        <f t="shared" si="2"/>
        <v>7200</v>
      </c>
    </row>
    <row r="31" spans="1:25" x14ac:dyDescent="0.3">
      <c r="A31" s="308"/>
      <c r="B31" s="308"/>
      <c r="C31" s="308"/>
      <c r="D31" s="308"/>
      <c r="E31" s="308"/>
      <c r="F31" s="78" t="s">
        <v>1074</v>
      </c>
      <c r="G31" s="63">
        <v>9</v>
      </c>
      <c r="H31" s="102">
        <v>29101</v>
      </c>
      <c r="I31" s="145">
        <f>GETPIVOTDATA("Сума от Първоначална стойност",$A$3,"група",2,"№ Вид машини",1,"Вид машини","Стандартни машини","наименование на групата","Oверлог","описание","5 конечен","характеристики","ел.нож")/GETPIVOTDATA("Брой от име",$A$3,"група",2,"№ Вид машини",1,"Вид машини","Стандартни машини","наименование на групата","Oверлог","описание","5 конечен","характеристики","ел.нож")</f>
        <v>3233.4444444444443</v>
      </c>
      <c r="J31"/>
      <c r="K31" s="309"/>
      <c r="L31" s="100" t="s">
        <v>1392</v>
      </c>
      <c r="M31" s="91"/>
      <c r="N31" s="149"/>
      <c r="O31" s="92"/>
      <c r="P31" s="91"/>
      <c r="Q31" s="149"/>
      <c r="R31" s="92"/>
      <c r="S31" s="90"/>
      <c r="T31" s="149"/>
      <c r="U31" s="92"/>
      <c r="W31" s="212">
        <f>GETPIVOTDATA("Брой от име",$A$3,"група",2,"№ Вид машини",1,"Вид машини","Стандартни машини","наименование на групата","Oверлог","описание","5 конечен","характеристики","ел.нож")-M31-P31-S31</f>
        <v>9</v>
      </c>
      <c r="X31" s="217">
        <f t="shared" si="2"/>
        <v>29101</v>
      </c>
    </row>
    <row r="32" spans="1:25" ht="28.8" x14ac:dyDescent="0.3">
      <c r="A32" s="308"/>
      <c r="B32" s="308"/>
      <c r="C32" s="308"/>
      <c r="D32" s="308"/>
      <c r="E32" s="308"/>
      <c r="F32" s="78" t="s">
        <v>1083</v>
      </c>
      <c r="G32" s="63">
        <v>37</v>
      </c>
      <c r="H32" s="102">
        <v>88240.63999999997</v>
      </c>
      <c r="I32" s="145">
        <f>GETPIVOTDATA("Сума от Първоначална стойност",$A$3,"група",2,"№ Вид машини",1,"Вид машини","Стандартни машини","наименование на групата","Oверлог","описание","5 конечен","характеристики","пневматичен нож")/GETPIVOTDATA("Брой от име",$A$3,"група",2,"№ Вид машини",1,"Вид машини","Стандартни машини","наименование на групата","Oверлог","описание","5 конечен","характеристики","пневматичен нож")</f>
        <v>2384.8821621621614</v>
      </c>
      <c r="J32"/>
      <c r="K32" s="309"/>
      <c r="L32" s="100" t="s">
        <v>1393</v>
      </c>
      <c r="M32" s="91">
        <v>2</v>
      </c>
      <c r="N32" s="149">
        <f t="shared" ref="N32:N60" si="3">M32*I32</f>
        <v>4769.7643243243228</v>
      </c>
      <c r="O32" s="92"/>
      <c r="P32" s="91">
        <v>6</v>
      </c>
      <c r="Q32" s="149">
        <f>P32*I32</f>
        <v>14309.292972972969</v>
      </c>
      <c r="R32" s="92"/>
      <c r="S32" s="90"/>
      <c r="T32" s="149"/>
      <c r="U32" s="92"/>
      <c r="W32" s="212">
        <f>GETPIVOTDATA("Брой от име",$A$3,"група",2,"№ Вид машини",1,"Вид машини","Стандартни машини","наименование на групата","Oверлог","описание","5 конечен","характеристики","пневматичен нож")-M32-P32-S32</f>
        <v>29</v>
      </c>
      <c r="X32" s="217">
        <f t="shared" si="2"/>
        <v>69161.582702702683</v>
      </c>
    </row>
    <row r="33" spans="1:25" ht="28.8" x14ac:dyDescent="0.3">
      <c r="A33" s="308"/>
      <c r="B33" s="308"/>
      <c r="C33" s="308"/>
      <c r="D33" s="308"/>
      <c r="E33" s="307" t="s">
        <v>1113</v>
      </c>
      <c r="F33" s="78" t="s">
        <v>1096</v>
      </c>
      <c r="G33" s="63">
        <v>3</v>
      </c>
      <c r="H33" s="102">
        <v>17241.669999999998</v>
      </c>
      <c r="I33" s="145">
        <f>GETPIVOTDATA("Сума от Първоначална стойност",$A$3,"група",2,"№ Вид машини",1,"Вид машини","Стандартни машини","наименование на групата","Oверлог","описание","5 конечен-горен транспорт","характеристики","без нож")/GETPIVOTDATA("Брой от име",$A$3,"група",2,"№ Вид машини",1,"Вид машини","Стандартни машини","наименование на групата","Oверлог","описание","5 конечен-горен транспорт","характеристики","без нож")</f>
        <v>5747.2233333333324</v>
      </c>
      <c r="J33"/>
      <c r="K33" s="309"/>
      <c r="L33" s="100" t="s">
        <v>1394</v>
      </c>
      <c r="M33" s="91">
        <v>2</v>
      </c>
      <c r="N33" s="149">
        <f t="shared" si="3"/>
        <v>11494.446666666665</v>
      </c>
      <c r="O33" s="92"/>
      <c r="P33" s="91"/>
      <c r="Q33" s="149"/>
      <c r="R33" s="92"/>
      <c r="S33" s="90">
        <v>1</v>
      </c>
      <c r="T33" s="149">
        <f>S33*I33</f>
        <v>5747.2233333333324</v>
      </c>
      <c r="U33" s="92"/>
      <c r="W33" s="212">
        <f>GETPIVOTDATA("Брой от име",$A$3,"група",2,"№ Вид машини",1,"Вид машини","Стандартни машини","наименование на групата","Oверлог","описание","5 конечен-горен транспорт","характеристики","без нож")-M33-P33-S33</f>
        <v>0</v>
      </c>
      <c r="X33" s="217">
        <f t="shared" si="2"/>
        <v>0</v>
      </c>
    </row>
    <row r="34" spans="1:25" ht="28.8" x14ac:dyDescent="0.3">
      <c r="A34" s="308"/>
      <c r="B34" s="308"/>
      <c r="C34" s="308"/>
      <c r="D34" s="308"/>
      <c r="E34" s="308"/>
      <c r="F34" s="78" t="s">
        <v>1074</v>
      </c>
      <c r="G34" s="63">
        <v>1</v>
      </c>
      <c r="H34" s="102">
        <v>3150</v>
      </c>
      <c r="I34" s="145">
        <f>GETPIVOTDATA("Сума от Първоначална стойност",$A$3,"група",2,"№ Вид машини",1,"Вид машини","Стандартни машини","наименование на групата","Oверлог","описание","5 конечен-горен транспорт","характеристики","ел.нож")/GETPIVOTDATA("Брой от име",$A$3,"група",2,"№ Вид машини",1,"Вид машини","Стандартни машини","наименование на групата","Oверлог","описание","5 конечен-горен транспорт","характеристики","ел.нож")</f>
        <v>3150</v>
      </c>
      <c r="J34"/>
      <c r="K34" s="309"/>
      <c r="L34" s="100" t="s">
        <v>1395</v>
      </c>
      <c r="M34" s="91"/>
      <c r="N34" s="149"/>
      <c r="O34" s="92"/>
      <c r="P34" s="91"/>
      <c r="Q34" s="149"/>
      <c r="R34" s="92"/>
      <c r="S34" s="90">
        <v>1</v>
      </c>
      <c r="T34" s="149">
        <f>S34*I34</f>
        <v>3150</v>
      </c>
      <c r="U34" s="92"/>
      <c r="W34" s="212">
        <f>GETPIVOTDATA("Брой от име",$A$3,"група",2,"№ Вид машини",1,"Вид машини","Стандартни машини","наименование на групата","Oверлог","описание","5 конечен-горен транспорт","характеристики","ел.нож")-M34-P34-S34</f>
        <v>0</v>
      </c>
      <c r="X34" s="217">
        <f t="shared" si="2"/>
        <v>0</v>
      </c>
    </row>
    <row r="35" spans="1:25" x14ac:dyDescent="0.3">
      <c r="A35" s="308"/>
      <c r="B35" s="308"/>
      <c r="C35" s="308"/>
      <c r="D35" s="308"/>
      <c r="E35" s="307" t="s">
        <v>1105</v>
      </c>
      <c r="F35" s="78" t="s">
        <v>1074</v>
      </c>
      <c r="G35" s="63">
        <v>6</v>
      </c>
      <c r="H35" s="102">
        <v>18607</v>
      </c>
      <c r="I35" s="145">
        <f>GETPIVOTDATA("Сума от Първоначална стойност",$A$3,"група",2,"№ Вид машини",1,"Вид машини","Стандартни машини","наименование на групата","Oверлог","описание","6 конечен","характеристики","ел.нож")/GETPIVOTDATA("Брой от име",$A$3,"група",2,"№ Вид машини",1,"Вид машини","Стандартни машини","наименование на групата","Oверлог","описание","6 конечен","характеристики","ел.нож")</f>
        <v>3101.1666666666665</v>
      </c>
      <c r="J35"/>
      <c r="K35" s="309"/>
      <c r="L35" s="100" t="s">
        <v>1396</v>
      </c>
      <c r="M35" s="91"/>
      <c r="N35" s="149"/>
      <c r="O35" s="92"/>
      <c r="P35" s="91"/>
      <c r="Q35" s="149"/>
      <c r="R35" s="92"/>
      <c r="S35" s="90"/>
      <c r="T35" s="149"/>
      <c r="U35" s="92"/>
      <c r="W35" s="212">
        <f>GETPIVOTDATA("Брой от име",$A$3,"група",2,"№ Вид машини",1,"Вид машини","Стандартни машини","наименование на групата","Oверлог","описание","6 конечен","характеристики","ел.нож")-M35-P35-S35</f>
        <v>6</v>
      </c>
      <c r="X35" s="217">
        <f t="shared" si="2"/>
        <v>18607</v>
      </c>
    </row>
    <row r="36" spans="1:25" ht="28.8" x14ac:dyDescent="0.3">
      <c r="A36" s="308"/>
      <c r="B36" s="308"/>
      <c r="C36" s="308"/>
      <c r="D36" s="308"/>
      <c r="E36" s="308"/>
      <c r="F36" s="78" t="s">
        <v>1083</v>
      </c>
      <c r="G36" s="63">
        <v>2</v>
      </c>
      <c r="H36" s="102">
        <v>8082</v>
      </c>
      <c r="I36" s="145">
        <f>GETPIVOTDATA("Сума от Първоначална стойност",$A$3,"група",2,"№ Вид машини",1,"Вид машини","Стандартни машини","наименование на групата","Oверлог","описание","6 конечен","характеристики","пневматичен нож")/GETPIVOTDATA("Брой от име",$A$3,"група",2,"№ Вид машини",1,"Вид машини","Стандартни машини","наименование на групата","Oверлог","описание","6 конечен","характеристики","пневматичен нож")</f>
        <v>4041</v>
      </c>
      <c r="J36"/>
      <c r="K36" s="309"/>
      <c r="L36" s="100" t="s">
        <v>1397</v>
      </c>
      <c r="M36" s="91"/>
      <c r="N36" s="149"/>
      <c r="O36" s="92"/>
      <c r="P36" s="91"/>
      <c r="Q36" s="149"/>
      <c r="R36" s="92"/>
      <c r="S36" s="90"/>
      <c r="T36" s="149"/>
      <c r="U36" s="92"/>
      <c r="W36" s="212">
        <f>GETPIVOTDATA("Брой от име",$A$3,"група",2,"№ Вид машини",1,"Вид машини","Стандартни машини","наименование на групата","Oверлог","описание","6 конечен","характеристики","пневматичен нож")-M36-P36-S36</f>
        <v>2</v>
      </c>
      <c r="X36" s="217">
        <f t="shared" si="2"/>
        <v>8082</v>
      </c>
    </row>
    <row r="37" spans="1:25" ht="28.8" x14ac:dyDescent="0.3">
      <c r="A37" s="308"/>
      <c r="B37" s="308"/>
      <c r="C37" s="308"/>
      <c r="D37" s="308"/>
      <c r="E37" s="78" t="s">
        <v>1210</v>
      </c>
      <c r="F37" s="78" t="s">
        <v>1096</v>
      </c>
      <c r="G37" s="63">
        <v>4</v>
      </c>
      <c r="H37" s="102">
        <v>6800</v>
      </c>
      <c r="I37" s="145">
        <f>GETPIVOTDATA("Сума от Първоначална стойност",$A$3,"група",2,"№ Вид машини",1,"Вид машини","Стандартни машини","наименование на групата","Oверлог","описание","5 конечен/ горен монтаж","характеристики","без нож")/GETPIVOTDATA("Брой от име",$A$3,"група",2,"№ Вид машини",1,"Вид машини","Стандартни машини","наименование на групата","Oверлог","описание","5 конечен/ горен монтаж","характеристики","без нож")</f>
        <v>1700</v>
      </c>
      <c r="J37"/>
      <c r="K37" s="309"/>
      <c r="L37" s="100" t="s">
        <v>1398</v>
      </c>
      <c r="M37" s="91">
        <v>2</v>
      </c>
      <c r="N37" s="149">
        <f t="shared" si="3"/>
        <v>3400</v>
      </c>
      <c r="O37" s="92"/>
      <c r="P37" s="91"/>
      <c r="Q37" s="149"/>
      <c r="R37" s="92"/>
      <c r="S37" s="90"/>
      <c r="T37" s="149"/>
      <c r="U37" s="92"/>
      <c r="W37" s="212">
        <f>GETPIVOTDATA("Брой от име",$A$3,"група",2,"№ Вид машини",1,"Вид машини","Стандартни машини","наименование на групата","Oверлог","описание","5 конечен/ горен монтаж","характеристики","без нож")-M37-P37-S37</f>
        <v>2</v>
      </c>
      <c r="X37" s="217">
        <f t="shared" si="2"/>
        <v>3400</v>
      </c>
    </row>
    <row r="38" spans="1:25" ht="28.8" x14ac:dyDescent="0.3">
      <c r="A38" s="308"/>
      <c r="B38" s="308"/>
      <c r="C38" s="308"/>
      <c r="D38" s="308"/>
      <c r="E38" s="78" t="s">
        <v>1214</v>
      </c>
      <c r="F38" s="78" t="s">
        <v>1096</v>
      </c>
      <c r="G38" s="63">
        <v>1</v>
      </c>
      <c r="H38" s="102">
        <v>1525</v>
      </c>
      <c r="I38" s="145">
        <f>GETPIVOTDATA("Сума от Първоначална стойност",$A$3,"група",2,"№ Вид машини",1,"Вид машини","Стандартни машини","наименование на групата","Oверлог","описание","5 конечен за обточване","характеристики","без нож")/GETPIVOTDATA("Брой от име",$A$3,"група",2,"№ Вид машини",1,"Вид машини","Стандартни машини","наименование на групата","Oверлог","описание","5 конечен за обточване","характеристики","без нож")</f>
        <v>1525</v>
      </c>
      <c r="J38"/>
      <c r="K38" s="309"/>
      <c r="L38" s="100" t="s">
        <v>1399</v>
      </c>
      <c r="M38" s="91">
        <v>1</v>
      </c>
      <c r="N38" s="149">
        <f t="shared" si="3"/>
        <v>1525</v>
      </c>
      <c r="O38" s="92"/>
      <c r="P38" s="91"/>
      <c r="Q38" s="149"/>
      <c r="R38" s="92"/>
      <c r="S38" s="90"/>
      <c r="T38" s="149"/>
      <c r="U38" s="92"/>
      <c r="W38" s="212">
        <f>GETPIVOTDATA("Брой от име",$A$3,"група",2,"№ Вид машини",1,"Вид машини","Стандартни машини","наименование на групата","Oверлог","описание","5 конечен за обточване","характеристики","без нож")-M38-P38-S38</f>
        <v>0</v>
      </c>
      <c r="X38" s="217">
        <f t="shared" si="2"/>
        <v>0</v>
      </c>
    </row>
    <row r="39" spans="1:25" ht="28.8" x14ac:dyDescent="0.3">
      <c r="A39" s="308"/>
      <c r="B39" s="308"/>
      <c r="C39" s="308"/>
      <c r="D39" s="308"/>
      <c r="E39" s="78" t="s">
        <v>1215</v>
      </c>
      <c r="F39" s="78" t="s">
        <v>1096</v>
      </c>
      <c r="G39" s="63">
        <v>4</v>
      </c>
      <c r="H39" s="102">
        <v>8800</v>
      </c>
      <c r="I39" s="145">
        <f>GETPIVOTDATA("Сума от Първоначална стойност",$A$3,"група",2,"№ Вид машини",1,"Вид машини","Стандартни машини","наименование на групата","Oверлог","описание","4 конечен за обточване","характеристики","без нож")/GETPIVOTDATA("Брой от име",$A$3,"група",2,"№ Вид машини",1,"Вид машини","Стандартни машини","наименование на групата","Oверлог","описание","4 конечен за обточване","характеристики","без нож")</f>
        <v>2200</v>
      </c>
      <c r="J39"/>
      <c r="K39" s="309"/>
      <c r="L39" s="100" t="s">
        <v>1400</v>
      </c>
      <c r="M39" s="91"/>
      <c r="N39" s="149"/>
      <c r="O39" s="92"/>
      <c r="P39" s="91">
        <v>1</v>
      </c>
      <c r="Q39" s="149">
        <f>P39*I39</f>
        <v>2200</v>
      </c>
      <c r="R39" s="92" t="s">
        <v>1371</v>
      </c>
      <c r="S39" s="90">
        <v>1</v>
      </c>
      <c r="T39" s="149">
        <f>S39*I39</f>
        <v>2200</v>
      </c>
      <c r="U39" s="92" t="s">
        <v>1371</v>
      </c>
      <c r="W39" s="212">
        <f>GETPIVOTDATA("Брой от име",$A$3,"група",2,"№ Вид машини",1,"Вид машини","Стандартни машини","наименование на групата","Oверлог","описание","4 конечен за обточване","характеристики","без нож")-M39-P39-S39</f>
        <v>2</v>
      </c>
      <c r="X39" s="217">
        <f t="shared" si="2"/>
        <v>4400</v>
      </c>
    </row>
    <row r="40" spans="1:25" ht="28.8" x14ac:dyDescent="0.3">
      <c r="A40" s="308"/>
      <c r="B40" s="308"/>
      <c r="C40" s="308"/>
      <c r="D40" s="308"/>
      <c r="E40" s="78" t="s">
        <v>1211</v>
      </c>
      <c r="F40" s="78" t="s">
        <v>1083</v>
      </c>
      <c r="G40" s="63">
        <v>1</v>
      </c>
      <c r="H40" s="102">
        <v>2570</v>
      </c>
      <c r="I40" s="145">
        <f>GETPIVOTDATA("Сума от Първоначална стойност",$A$3,"група",2,"№ Вид машини",1,"Вид машини","Стандартни машини","наименование на групата","Oверлог","описание","4 конечен/ горен монтаж","характеристики","пневматичен нож")/GETPIVOTDATA("Брой от име",$A$3,"група",2,"№ Вид машини",1,"Вид машини","Стандартни машини","наименование на групата","Oверлог","описание","4 конечен/ горен монтаж","характеристики","пневматичен нож")</f>
        <v>2570</v>
      </c>
      <c r="J40"/>
      <c r="K40" s="309"/>
      <c r="L40" s="100" t="s">
        <v>1401</v>
      </c>
      <c r="M40" s="91"/>
      <c r="N40" s="149"/>
      <c r="O40" s="92"/>
      <c r="P40" s="91"/>
      <c r="Q40" s="149"/>
      <c r="R40" s="92"/>
      <c r="S40" s="90"/>
      <c r="T40" s="149"/>
      <c r="U40" s="92"/>
      <c r="W40" s="212">
        <f>GETPIVOTDATA("Брой от име",$A$3,"група",2,"№ Вид машини",1,"Вид машини","Стандартни машини","наименование на групата","Oверлог","описание","4 конечен/ горен монтаж","характеристики","пневматичен нож")-M40-P40-S40</f>
        <v>1</v>
      </c>
      <c r="X40" s="217">
        <f t="shared" si="2"/>
        <v>2570</v>
      </c>
    </row>
    <row r="41" spans="1:25" ht="43.2" x14ac:dyDescent="0.3">
      <c r="A41" s="308"/>
      <c r="B41" s="308"/>
      <c r="C41" s="308"/>
      <c r="D41" s="308"/>
      <c r="E41" s="78" t="s">
        <v>1213</v>
      </c>
      <c r="F41" s="78" t="s">
        <v>1098</v>
      </c>
      <c r="G41" s="63">
        <v>8</v>
      </c>
      <c r="H41" s="102">
        <v>300472</v>
      </c>
      <c r="I41" s="145">
        <f>GETPIVOTDATA("Сума от Първоначална стойност",$A$3,"група",2,"№ Вид машини",1,"Вид машини","Стандартни машини","наименование на групата","Oверлог","описание","5 конечен - полуавтомат","характеристики","пневматичен нож и повдигане на крачето")/GETPIVOTDATA("Брой от име",$A$3,"група",2,"№ Вид машини",1,"Вид машини","Стандартни машини","наименование на групата","Oверлог","описание","5 конечен - полуавтомат","характеристики","пневматичен нож и повдигане на крачето")</f>
        <v>37559</v>
      </c>
      <c r="J41"/>
      <c r="K41" s="309"/>
      <c r="L41" s="100" t="s">
        <v>1402</v>
      </c>
      <c r="M41" s="91"/>
      <c r="N41" s="149"/>
      <c r="O41" s="92"/>
      <c r="P41" s="91">
        <v>2</v>
      </c>
      <c r="Q41" s="149">
        <f>P41*I41</f>
        <v>75118</v>
      </c>
      <c r="R41" s="92"/>
      <c r="S41" s="90">
        <v>2</v>
      </c>
      <c r="T41" s="149">
        <f>S41*I41</f>
        <v>75118</v>
      </c>
      <c r="U41" s="92"/>
      <c r="W41" s="212">
        <f>GETPIVOTDATA("Брой от име",$A$3,"група",2,"№ Вид машини",1,"Вид машини","Стандартни машини","наименование на групата","Oверлог","описание","5 конечен - полуавтомат","характеристики","пневматичен нож и повдигане на крачето")-M41-P41-S41</f>
        <v>4</v>
      </c>
      <c r="X41" s="217">
        <f t="shared" si="2"/>
        <v>150236</v>
      </c>
    </row>
    <row r="42" spans="1:25" x14ac:dyDescent="0.3">
      <c r="A42" s="308"/>
      <c r="B42" s="308"/>
      <c r="C42" s="308"/>
      <c r="D42" s="307" t="s">
        <v>2015</v>
      </c>
      <c r="E42" s="308"/>
      <c r="F42" s="308"/>
      <c r="G42" s="63">
        <v>107</v>
      </c>
      <c r="H42" s="102">
        <v>565930.8400000002</v>
      </c>
      <c r="I42" s="145"/>
      <c r="J42"/>
      <c r="K42" s="97" t="s">
        <v>191</v>
      </c>
      <c r="L42" s="101" t="e">
        <f>COUNTIF('Machine park -  BTB 24.04.26'!#REF!,$K42)</f>
        <v>#REF!</v>
      </c>
      <c r="M42" s="94">
        <f>SUM(M25:M41)</f>
        <v>7</v>
      </c>
      <c r="N42" s="159">
        <f>SUM(N25:N41)</f>
        <v>21189.210990990989</v>
      </c>
      <c r="O42" s="182"/>
      <c r="P42" s="199">
        <f>SUM(P25:P41)</f>
        <v>12</v>
      </c>
      <c r="Q42" s="182">
        <f>SUM(Q25:Q41)</f>
        <v>100559.86797297298</v>
      </c>
      <c r="R42" s="95"/>
      <c r="S42" s="93">
        <f>SUM(S25:S41)</f>
        <v>8</v>
      </c>
      <c r="T42" s="182">
        <f>SUM(T25:T41)</f>
        <v>94242.85</v>
      </c>
      <c r="U42" s="95"/>
      <c r="W42" s="214">
        <f>GETPIVOTDATA("Брой от име",$A$3,"група",2,"№ Вид машини",1,"Вид машини","Стандартни машини","наименование на групата","Oверлог")-M42-P42-S42</f>
        <v>80</v>
      </c>
      <c r="X42" s="219">
        <f>GETPIVOTDATA("Сума от Първоначална стойност",$A$3,"група",2,"№ Вид машини",1,"Вид машини","Стандартни машини","наименование на групата","Oверлог")-N42-Q42-T42</f>
        <v>349938.91103603621</v>
      </c>
      <c r="Y42" s="145">
        <f>X42+T42+Q42+N42</f>
        <v>565930.84000000008</v>
      </c>
    </row>
    <row r="43" spans="1:25" x14ac:dyDescent="0.3">
      <c r="A43" s="308"/>
      <c r="B43" s="308"/>
      <c r="C43" s="307">
        <v>19</v>
      </c>
      <c r="D43" s="78" t="s">
        <v>69</v>
      </c>
      <c r="E43" s="78" t="s">
        <v>1639</v>
      </c>
      <c r="F43" s="78" t="s">
        <v>1639</v>
      </c>
      <c r="G43" s="63">
        <v>7</v>
      </c>
      <c r="H43" s="102">
        <v>16345</v>
      </c>
      <c r="I43" s="145">
        <f>GETPIVOTDATA("Сума от Първоначална стойност",$A$3,"група",19,"№ Вид машини",1,"Вид машини","Стандартни машини","наименование на групата","Гатер ножица ","описание",,"характеристики",)/GETPIVOTDATA("Брой от име",$A$3,"група",19,"№ Вид машини",1,"Вид машини","Стандартни машини","наименование на групата","Гатер ножица ","описание",,"характеристики",)</f>
        <v>2335</v>
      </c>
      <c r="J43"/>
      <c r="K43" s="98" t="s">
        <v>69</v>
      </c>
      <c r="L43" s="100"/>
      <c r="M43" s="91">
        <v>3</v>
      </c>
      <c r="N43" s="149">
        <f t="shared" si="3"/>
        <v>7005</v>
      </c>
      <c r="O43" s="92"/>
      <c r="P43" s="91"/>
      <c r="Q43" s="147"/>
      <c r="R43" s="92"/>
      <c r="S43" s="90"/>
      <c r="T43" s="147"/>
      <c r="U43" s="92"/>
      <c r="W43" s="212">
        <f>GETPIVOTDATA("Брой от име",$A$3,"група",19,"№ Вид машини",1,"Вид машини","Стандартни машини","наименование на групата","Гатер ножица ","описание",,"характеристики",)-M43-P43-S43</f>
        <v>4</v>
      </c>
      <c r="X43" s="217">
        <f>W43*I43</f>
        <v>9340</v>
      </c>
    </row>
    <row r="44" spans="1:25" x14ac:dyDescent="0.3">
      <c r="A44" s="308"/>
      <c r="B44" s="308"/>
      <c r="C44" s="308"/>
      <c r="D44" s="307" t="s">
        <v>2018</v>
      </c>
      <c r="E44" s="308"/>
      <c r="F44" s="308"/>
      <c r="G44" s="63">
        <v>7</v>
      </c>
      <c r="H44" s="102">
        <v>16345</v>
      </c>
      <c r="I44" s="145"/>
      <c r="J44"/>
      <c r="K44" s="97" t="s">
        <v>69</v>
      </c>
      <c r="L44" s="101" t="e">
        <f>COUNTIF('Machine park -  BTB 24.04.26'!#REF!,$K44)</f>
        <v>#REF!</v>
      </c>
      <c r="M44" s="94">
        <f>M43</f>
        <v>3</v>
      </c>
      <c r="N44" s="159">
        <f>N43</f>
        <v>7005</v>
      </c>
      <c r="O44" s="95"/>
      <c r="P44" s="94">
        <f>P43</f>
        <v>0</v>
      </c>
      <c r="Q44" s="148"/>
      <c r="R44" s="95"/>
      <c r="S44" s="93">
        <f>S43</f>
        <v>0</v>
      </c>
      <c r="T44" s="148"/>
      <c r="U44" s="95"/>
      <c r="W44" s="213">
        <f>GETPIVOTDATA("Брой от име",$A$3,"група",19,"№ Вид машини",1,"Вид машини","Стандартни машини","наименование на групата","Гатер ножица ")-M44-P44-S44</f>
        <v>4</v>
      </c>
      <c r="X44" s="219">
        <f>GETPIVOTDATA("Сума от Първоначална стойност",$A$3,"група",19,"№ Вид машини",1,"Вид машини","Стандартни машини","наименование на групата","Гатер ножица ")-N44-Q44-T44</f>
        <v>9340</v>
      </c>
      <c r="Y44" s="145">
        <f>X44+T44+Q44+N44</f>
        <v>16345</v>
      </c>
    </row>
    <row r="45" spans="1:25" x14ac:dyDescent="0.3">
      <c r="A45" s="308"/>
      <c r="B45" s="308"/>
      <c r="C45" s="307">
        <v>20</v>
      </c>
      <c r="D45" s="307" t="s">
        <v>44</v>
      </c>
      <c r="E45" s="78" t="s">
        <v>1129</v>
      </c>
      <c r="F45" s="78" t="s">
        <v>1639</v>
      </c>
      <c r="G45" s="63">
        <v>1</v>
      </c>
      <c r="H45" s="102">
        <v>4541.67</v>
      </c>
      <c r="I45" s="145">
        <f>GETPIVOTDATA("Сума от Първоначална стойност",$A$3,"група",20,"№ Вид машини",1,"Вид машини","Стандартни машини","наименование на групата","Подлепваща преса","описание","45 см.","характеристики",)/GETPIVOTDATA("Брой от име",$A$3,"група",20,"№ Вид машини",1,"Вид машини","Стандартни машини","наименование на групата","Подлепваща преса","описание","45 см.","характеристики",)</f>
        <v>4541.67</v>
      </c>
      <c r="J45"/>
      <c r="K45" s="321" t="s">
        <v>44</v>
      </c>
      <c r="L45" s="100" t="s">
        <v>1129</v>
      </c>
      <c r="M45" s="91"/>
      <c r="N45" s="149"/>
      <c r="O45" s="92"/>
      <c r="P45" s="91"/>
      <c r="Q45" s="147"/>
      <c r="R45" s="92"/>
      <c r="S45" s="90"/>
      <c r="T45" s="147"/>
      <c r="U45" s="92"/>
      <c r="W45" s="212">
        <f>GETPIVOTDATA("Брой от име",$A$3,"група",20,"№ Вид машини",1,"Вид машини","Стандартни машини","наименование на групата","Подлепваща преса","описание","45 см.","характеристики",)-M45-P45-S45</f>
        <v>1</v>
      </c>
      <c r="X45" s="217">
        <f>W45*I45</f>
        <v>4541.67</v>
      </c>
    </row>
    <row r="46" spans="1:25" x14ac:dyDescent="0.3">
      <c r="A46" s="308"/>
      <c r="B46" s="308"/>
      <c r="C46" s="308"/>
      <c r="D46" s="308"/>
      <c r="E46" s="78" t="s">
        <v>1124</v>
      </c>
      <c r="F46" s="78" t="s">
        <v>1639</v>
      </c>
      <c r="G46" s="63">
        <v>1</v>
      </c>
      <c r="H46" s="102">
        <v>7350</v>
      </c>
      <c r="I46" s="145">
        <f>GETPIVOTDATA("Сума от Първоначална стойност",$A$3,"група",20,"№ Вид машини",1,"Вид машини","Стандартни машини","наименование на групата","Подлепваща преса","описание","60 см.","характеристики",)/GETPIVOTDATA("Брой от име",$A$3,"група",20,"№ Вид машини",1,"Вид машини","Стандартни машини","наименование на групата","Подлепваща преса","описание","60 см.","характеристики",)</f>
        <v>7350</v>
      </c>
      <c r="J46"/>
      <c r="K46" s="321"/>
      <c r="L46" s="152" t="s">
        <v>1124</v>
      </c>
      <c r="M46" s="153">
        <v>1</v>
      </c>
      <c r="N46" s="149">
        <f t="shared" si="3"/>
        <v>7350</v>
      </c>
      <c r="O46" s="92"/>
      <c r="P46" s="91"/>
      <c r="Q46" s="147"/>
      <c r="R46" s="92"/>
      <c r="S46" s="90"/>
      <c r="T46" s="147"/>
      <c r="U46" s="92"/>
      <c r="W46" s="212">
        <f>GETPIVOTDATA("Брой от име",$A$3,"група",20,"№ Вид машини",1,"Вид машини","Стандартни машини","наименование на групата","Подлепваща преса","описание","60 см.","характеристики",)-M46-P46-S46</f>
        <v>0</v>
      </c>
      <c r="X46" s="217">
        <f>W46*I46</f>
        <v>0</v>
      </c>
    </row>
    <row r="47" spans="1:25" x14ac:dyDescent="0.3">
      <c r="A47" s="308"/>
      <c r="B47" s="308"/>
      <c r="C47" s="308"/>
      <c r="D47" s="308"/>
      <c r="E47" s="78" t="s">
        <v>1287</v>
      </c>
      <c r="F47" s="78" t="s">
        <v>1639</v>
      </c>
      <c r="G47" s="63">
        <v>1</v>
      </c>
      <c r="H47" s="102">
        <v>67846</v>
      </c>
      <c r="I47" s="145">
        <f>GETPIVOTDATA("Сума от Първоначална стойност",$A$3,"група",20,"№ Вид машини",1,"Вид машини","Стандартни машини","наименование на групата","Подлепваща преса","описание","100 см.","характеристики",)/GETPIVOTDATA("Брой от име",$A$3,"група",20,"№ Вид машини",1,"Вид машини","Стандартни машини","наименование на групата","Подлепваща преса","описание","100 см.","характеристики",)</f>
        <v>67846</v>
      </c>
      <c r="J47"/>
      <c r="K47" s="321"/>
      <c r="L47" s="100" t="s">
        <v>1287</v>
      </c>
      <c r="M47" s="91"/>
      <c r="N47" s="149"/>
      <c r="O47" s="92"/>
      <c r="P47" s="91"/>
      <c r="Q47" s="147"/>
      <c r="R47" s="92"/>
      <c r="S47" s="90"/>
      <c r="T47" s="147"/>
      <c r="U47" s="92"/>
      <c r="W47" s="212">
        <f>GETPIVOTDATA("Брой от име",$A$3,"група",20,"№ Вид машини",1,"Вид машини","Стандартни машини","наименование на групата","Подлепваща преса","описание","100 см.","характеристики",)-M47-P47-S47</f>
        <v>1</v>
      </c>
      <c r="X47" s="217">
        <f>W47*I47</f>
        <v>67846</v>
      </c>
    </row>
    <row r="48" spans="1:25" x14ac:dyDescent="0.3">
      <c r="A48" s="308"/>
      <c r="B48" s="308"/>
      <c r="C48" s="308"/>
      <c r="D48" s="308"/>
      <c r="E48" s="78" t="s">
        <v>1288</v>
      </c>
      <c r="F48" s="78" t="s">
        <v>1639</v>
      </c>
      <c r="G48" s="63">
        <v>2</v>
      </c>
      <c r="H48" s="102">
        <v>103485.14</v>
      </c>
      <c r="I48" s="145">
        <f>GETPIVOTDATA("Сума от Първоначална стойност",$A$3,"група",20,"№ Вид машини",1,"Вид машини","Стандартни машини","наименование на групата","Подлепваща преса","описание","140 см.","характеристики",)/GETPIVOTDATA("Брой от име",$A$3,"група",20,"№ Вид машини",1,"Вид машини","Стандартни машини","наименование на групата","Подлепваща преса","описание","140 см.","характеристики",)</f>
        <v>51742.57</v>
      </c>
      <c r="J48"/>
      <c r="K48" s="321"/>
      <c r="L48" s="152" t="s">
        <v>1288</v>
      </c>
      <c r="M48" s="153">
        <v>2</v>
      </c>
      <c r="N48" s="149">
        <f t="shared" si="3"/>
        <v>103485.14</v>
      </c>
      <c r="O48" s="92"/>
      <c r="P48" s="91"/>
      <c r="Q48" s="147"/>
      <c r="R48" s="92"/>
      <c r="S48" s="90"/>
      <c r="T48" s="147"/>
      <c r="U48" s="92"/>
      <c r="W48" s="212">
        <f>GETPIVOTDATA("Брой от име",$A$3,"група",20,"№ Вид машини",1,"Вид машини","Стандартни машини","наименование на групата","Подлепваща преса","описание","140 см.","характеристики",)-M48-P48-S48</f>
        <v>0</v>
      </c>
      <c r="X48" s="217">
        <f>W48*I48</f>
        <v>0</v>
      </c>
    </row>
    <row r="49" spans="1:25" ht="28.8" x14ac:dyDescent="0.3">
      <c r="A49" s="308"/>
      <c r="B49" s="308"/>
      <c r="C49" s="308"/>
      <c r="D49" s="307" t="s">
        <v>2019</v>
      </c>
      <c r="E49" s="308"/>
      <c r="F49" s="308"/>
      <c r="G49" s="63">
        <v>5</v>
      </c>
      <c r="H49" s="102">
        <v>183222.81</v>
      </c>
      <c r="I49" s="145"/>
      <c r="J49"/>
      <c r="K49" s="97" t="s">
        <v>44</v>
      </c>
      <c r="L49" s="101" t="e">
        <f>COUNTIF('Machine park -  BTB 24.04.26'!#REF!,$K49)</f>
        <v>#REF!</v>
      </c>
      <c r="M49" s="94">
        <f>SUM(M45:M48)</f>
        <v>3</v>
      </c>
      <c r="N49" s="160">
        <f>SUM(N45:N48)</f>
        <v>110835.14</v>
      </c>
      <c r="O49" s="95"/>
      <c r="P49" s="200">
        <f>SUM(P45:P48)</f>
        <v>0</v>
      </c>
      <c r="Q49" s="201"/>
      <c r="R49" s="202"/>
      <c r="S49" s="203">
        <f>SUM(S45:S48)</f>
        <v>0</v>
      </c>
      <c r="T49" s="148"/>
      <c r="U49" s="95"/>
      <c r="W49" s="213">
        <f>GETPIVOTDATA("Брой от име",$A$3,"група",20,"№ Вид машини",1,"Вид машини","Стандартни машини","наименование на групата","Подлепваща преса")-M49-P49-S49</f>
        <v>2</v>
      </c>
      <c r="X49" s="219">
        <f>SUM(X45:X48)</f>
        <v>72387.67</v>
      </c>
      <c r="Y49" s="145">
        <f>X49+T49+Q49+N49</f>
        <v>183222.81</v>
      </c>
    </row>
    <row r="50" spans="1:25" x14ac:dyDescent="0.3">
      <c r="A50" s="308"/>
      <c r="B50" s="308"/>
      <c r="C50" s="307">
        <v>23</v>
      </c>
      <c r="D50" s="78" t="s">
        <v>114</v>
      </c>
      <c r="E50" s="78" t="s">
        <v>1639</v>
      </c>
      <c r="F50" s="78" t="s">
        <v>1639</v>
      </c>
      <c r="G50" s="63">
        <v>4</v>
      </c>
      <c r="H50" s="102">
        <v>49315.25</v>
      </c>
      <c r="I50" s="145">
        <f>GETPIVOTDATA("Сума от Първоначална стойност",$A$3,"група",23,"№ Вид машини",1,"Вид машини","Стандартни машини","наименование на групата","Банциг","описание",,"характеристики",)/GETPIVOTDATA("Брой от име",$A$3,"група",23,"№ Вид машини",1,"Вид машини","Стандартни машини","наименование на групата","Банциг","описание",,"характеристики",)</f>
        <v>12328.8125</v>
      </c>
      <c r="J50"/>
      <c r="K50" s="155" t="s">
        <v>114</v>
      </c>
      <c r="L50" s="152"/>
      <c r="M50" s="153">
        <v>3</v>
      </c>
      <c r="N50" s="149">
        <f t="shared" si="3"/>
        <v>36986.4375</v>
      </c>
      <c r="O50" s="92"/>
      <c r="P50" s="91"/>
      <c r="Q50" s="147"/>
      <c r="R50" s="92"/>
      <c r="S50" s="90"/>
      <c r="T50" s="147"/>
      <c r="U50" s="92"/>
      <c r="W50" s="212">
        <f>GETPIVOTDATA("Брой от име",$A$3,"група",23,"№ Вид машини",1,"Вид машини","Стандартни машини","наименование на групата","Банциг","описание",,"характеристики",)-M50</f>
        <v>1</v>
      </c>
      <c r="X50" s="217">
        <f>W50*I50</f>
        <v>12328.8125</v>
      </c>
    </row>
    <row r="51" spans="1:25" x14ac:dyDescent="0.3">
      <c r="A51" s="308"/>
      <c r="B51" s="308"/>
      <c r="C51" s="308"/>
      <c r="D51" s="307" t="s">
        <v>2020</v>
      </c>
      <c r="E51" s="308"/>
      <c r="F51" s="308"/>
      <c r="G51" s="63">
        <v>4</v>
      </c>
      <c r="H51" s="102">
        <v>49315.25</v>
      </c>
      <c r="I51" s="145"/>
      <c r="J51"/>
      <c r="K51" s="97" t="s">
        <v>114</v>
      </c>
      <c r="L51" s="101" t="e">
        <f>COUNTIF('Machine park -  BTB 24.04.26'!#REF!,$K51)</f>
        <v>#REF!</v>
      </c>
      <c r="M51" s="94">
        <f>M50</f>
        <v>3</v>
      </c>
      <c r="N51" s="160">
        <f>N50</f>
        <v>36986.4375</v>
      </c>
      <c r="O51" s="95"/>
      <c r="P51" s="94">
        <f>P50</f>
        <v>0</v>
      </c>
      <c r="Q51" s="148"/>
      <c r="R51" s="95"/>
      <c r="S51" s="93">
        <f>S50</f>
        <v>0</v>
      </c>
      <c r="T51" s="148"/>
      <c r="U51" s="95"/>
      <c r="W51" s="213">
        <f>GETPIVOTDATA("Брой от име",$A$3,"група",23,"№ Вид машини",1,"Вид машини","Стандартни машини","наименование на групата","Банциг")-M51-P51-S51</f>
        <v>1</v>
      </c>
      <c r="X51" s="219">
        <f>X50</f>
        <v>12328.8125</v>
      </c>
    </row>
    <row r="52" spans="1:25" x14ac:dyDescent="0.3">
      <c r="A52" s="308"/>
      <c r="B52" s="308"/>
      <c r="C52" s="307">
        <v>24</v>
      </c>
      <c r="D52" s="307" t="s">
        <v>225</v>
      </c>
      <c r="E52" s="78" t="s">
        <v>1075</v>
      </c>
      <c r="F52" s="78" t="s">
        <v>1639</v>
      </c>
      <c r="G52" s="63">
        <v>1</v>
      </c>
      <c r="H52" s="102">
        <v>33054.660000000003</v>
      </c>
      <c r="I52" s="145">
        <f>GETPIVOTDATA("Сума от Първоначална стойност",$A$3,"група",24,"№ Вид машини",1,"Вид машини","Стандартни машини","наименование на групата","Кроялни маси и транспортьори","описание","иглена маса","характеристики",)/GETPIVOTDATA("Брой от име",$A$3,"група",24,"№ Вид машини",1,"Вид машини","Стандартни машини","наименование на групата","Кроялни маси и транспортьори","описание","иглена маса","характеристики",)</f>
        <v>33054.660000000003</v>
      </c>
      <c r="J52"/>
      <c r="K52" s="321" t="s">
        <v>225</v>
      </c>
      <c r="L52" s="152" t="s">
        <v>1075</v>
      </c>
      <c r="M52" s="153">
        <v>1</v>
      </c>
      <c r="N52" s="154">
        <f t="shared" si="3"/>
        <v>33054.660000000003</v>
      </c>
      <c r="O52" s="92"/>
      <c r="P52" s="91"/>
      <c r="Q52" s="147"/>
      <c r="R52" s="92"/>
      <c r="S52" s="90"/>
      <c r="T52" s="147"/>
      <c r="U52" s="92"/>
      <c r="W52" s="212">
        <f>GETPIVOTDATA("Брой от име",$A$3,"група",24,"№ Вид машини",1,"Вид машини","Стандартни машини","наименование на групата","Кроялни маси и транспортьори","описание","иглена маса","характеристики",)-M52-P52-S52</f>
        <v>0</v>
      </c>
      <c r="X52" s="217">
        <f t="shared" ref="X52:X57" si="4">W52*I52</f>
        <v>0</v>
      </c>
    </row>
    <row r="53" spans="1:25" x14ac:dyDescent="0.3">
      <c r="A53" s="308"/>
      <c r="B53" s="308"/>
      <c r="C53" s="308"/>
      <c r="D53" s="308"/>
      <c r="E53" s="78" t="s">
        <v>1295</v>
      </c>
      <c r="F53" s="78" t="s">
        <v>1290</v>
      </c>
      <c r="G53" s="63">
        <v>4</v>
      </c>
      <c r="H53" s="102">
        <v>133418.79999999999</v>
      </c>
      <c r="I53" s="145">
        <f>GETPIVOTDATA("Сума от Първоначална стойност",$A$3,"група",24,"№ Вид машини",1,"Вид машини","Стандартни машини","наименование на групата","Кроялни маси и транспортьори","описание","настилъчна маса","характеристики","28 м")/GETPIVOTDATA("Брой от име",$A$3,"група",24,"№ Вид машини",1,"Вид машини","Стандартни машини","наименование на групата","Кроялни маси и транспортьори","описание","настилъчна маса","характеристики","28 м")</f>
        <v>33354.699999999997</v>
      </c>
      <c r="J53"/>
      <c r="K53" s="321"/>
      <c r="L53" s="152" t="s">
        <v>1403</v>
      </c>
      <c r="M53" s="153">
        <v>3</v>
      </c>
      <c r="N53" s="154">
        <f t="shared" si="3"/>
        <v>100064.09999999999</v>
      </c>
      <c r="O53" s="92"/>
      <c r="P53" s="91"/>
      <c r="Q53" s="147"/>
      <c r="R53" s="92"/>
      <c r="S53" s="90"/>
      <c r="T53" s="147"/>
      <c r="U53" s="92"/>
      <c r="W53" s="212">
        <f>GETPIVOTDATA("Брой от име",$A$3,"група",24,"№ Вид машини",1,"Вид машини","Стандартни машини","наименование на групата","Кроялни маси и транспортьори","описание","настилъчна маса","характеристики","28 м")-M53-P53-S53</f>
        <v>1</v>
      </c>
      <c r="X53" s="217">
        <f t="shared" si="4"/>
        <v>33354.699999999997</v>
      </c>
    </row>
    <row r="54" spans="1:25" x14ac:dyDescent="0.3">
      <c r="A54" s="308"/>
      <c r="B54" s="308"/>
      <c r="C54" s="308"/>
      <c r="D54" s="308"/>
      <c r="E54" s="307" t="s">
        <v>1345</v>
      </c>
      <c r="F54" s="78" t="s">
        <v>1291</v>
      </c>
      <c r="G54" s="63">
        <v>1</v>
      </c>
      <c r="H54" s="102">
        <v>2764.93</v>
      </c>
      <c r="I54" s="145">
        <f>GETPIVOTDATA("Сума от Първоначална стойност",$A$3,"група",24,"№ Вид машини",1,"Вид машини","Стандартни машини","наименование на групата","Кроялни маси и транспортьори","описание","транспортна лента","характеристики","3,8 м")/GETPIVOTDATA("Брой от име",$A$3,"група",24,"№ Вид машини",1,"Вид машини","Стандартни машини","наименование на групата","Кроялни маси и транспортьори","описание","транспортна лента","характеристики","3,8 м")</f>
        <v>2764.93</v>
      </c>
      <c r="J54"/>
      <c r="K54" s="321"/>
      <c r="L54" s="152" t="s">
        <v>1404</v>
      </c>
      <c r="M54" s="153">
        <v>1</v>
      </c>
      <c r="N54" s="154">
        <f t="shared" si="3"/>
        <v>2764.93</v>
      </c>
      <c r="O54" s="92"/>
      <c r="P54" s="91"/>
      <c r="Q54" s="147"/>
      <c r="R54" s="92"/>
      <c r="S54" s="90"/>
      <c r="T54" s="147"/>
      <c r="U54" s="92"/>
      <c r="W54" s="212">
        <f>GETPIVOTDATA("Брой от име",$A$3,"група",24,"№ Вид машини",1,"Вид машини","Стандартни машини","наименование на групата","Кроялни маси и транспортьори","описание","транспортна лента","характеристики","3,8 м")-M54-P54-S54</f>
        <v>0</v>
      </c>
      <c r="X54" s="217">
        <f t="shared" si="4"/>
        <v>0</v>
      </c>
    </row>
    <row r="55" spans="1:25" x14ac:dyDescent="0.3">
      <c r="A55" s="308"/>
      <c r="B55" s="308"/>
      <c r="C55" s="308"/>
      <c r="D55" s="308"/>
      <c r="E55" s="308"/>
      <c r="F55" s="78" t="s">
        <v>1292</v>
      </c>
      <c r="G55" s="63">
        <v>1</v>
      </c>
      <c r="H55" s="102">
        <v>6800</v>
      </c>
      <c r="I55" s="145">
        <f>GETPIVOTDATA("Сума от Първоначална стойност",$A$3,"група",24,"№ Вид машини",1,"Вид машини","Стандартни машини","наименование на групата","Кроялни маси и транспортьори","описание","транспортна лента","характеристики","4,5 м")/GETPIVOTDATA("Брой от име",$A$3,"група",24,"№ Вид машини",1,"Вид машини","Стандартни машини","наименование на групата","Кроялни маси и транспортьори","описание","транспортна лента","характеристики","4,5 м")</f>
        <v>6800</v>
      </c>
      <c r="J55"/>
      <c r="K55" s="321"/>
      <c r="L55" s="152" t="s">
        <v>1405</v>
      </c>
      <c r="M55" s="153">
        <v>1</v>
      </c>
      <c r="N55" s="154">
        <f t="shared" si="3"/>
        <v>6800</v>
      </c>
      <c r="O55" s="92"/>
      <c r="P55" s="91"/>
      <c r="Q55" s="147"/>
      <c r="R55" s="92"/>
      <c r="S55" s="90"/>
      <c r="T55" s="147"/>
      <c r="U55" s="92"/>
      <c r="W55" s="212">
        <f>GETPIVOTDATA("Брой от име",$A$3,"група",24,"№ Вид машини",1,"Вид машини","Стандартни машини","наименование на групата","Кроялни маси и транспортьори","описание","транспортна лента","характеристики","1,2 м")-M55-P55-S55</f>
        <v>0</v>
      </c>
      <c r="X55" s="217">
        <f t="shared" si="4"/>
        <v>0</v>
      </c>
    </row>
    <row r="56" spans="1:25" x14ac:dyDescent="0.3">
      <c r="A56" s="308"/>
      <c r="B56" s="308"/>
      <c r="C56" s="308"/>
      <c r="D56" s="308"/>
      <c r="E56" s="308"/>
      <c r="F56" s="78" t="s">
        <v>1289</v>
      </c>
      <c r="G56" s="63">
        <v>1</v>
      </c>
      <c r="H56" s="102">
        <v>1348</v>
      </c>
      <c r="I56" s="145">
        <f>GETPIVOTDATA("Сума от Първоначална стойност",$A$3,"група",24,"№ Вид машини",1,"Вид машини","Стандартни машини","наименование на групата","Кроялни маси и транспортьори","описание","транспортна лента","характеристики","1,2 м")/GETPIVOTDATA("Брой от име",$A$3,"група",24,"№ Вид машини",1,"Вид машини","Стандартни машини","наименование на групата","Кроялни маси и транспортьори","описание","транспортна лента","характеристики","1,2 м")</f>
        <v>1348</v>
      </c>
      <c r="J56"/>
      <c r="K56" s="321"/>
      <c r="L56" s="152" t="s">
        <v>1406</v>
      </c>
      <c r="M56" s="153"/>
      <c r="N56" s="154"/>
      <c r="O56" s="92"/>
      <c r="P56" s="91"/>
      <c r="Q56" s="147"/>
      <c r="R56" s="92"/>
      <c r="S56" s="90"/>
      <c r="T56" s="147"/>
      <c r="U56" s="92"/>
      <c r="W56" s="212">
        <f>GETPIVOTDATA("Брой от име",$A$3,"група",24,"№ Вид машини",1,"Вид машини","Стандартни машини","наименование на групата","Кроялни маси и транспортьори","описание","транспортна лента","характеристики","1,2 м")-M56-P56-S56</f>
        <v>1</v>
      </c>
      <c r="X56" s="217">
        <f t="shared" si="4"/>
        <v>1348</v>
      </c>
    </row>
    <row r="57" spans="1:25" ht="28.8" x14ac:dyDescent="0.3">
      <c r="A57" s="308"/>
      <c r="B57" s="308"/>
      <c r="C57" s="308"/>
      <c r="D57" s="308"/>
      <c r="E57" s="78" t="s">
        <v>1344</v>
      </c>
      <c r="F57" s="78" t="s">
        <v>1293</v>
      </c>
      <c r="G57" s="63">
        <v>1</v>
      </c>
      <c r="H57" s="102">
        <v>12908.48</v>
      </c>
      <c r="I57" s="145">
        <f>GETPIVOTDATA("Сума от Първоначална стойност",$A$3,"група",24,"№ Вид машини",1,"Вид машини","Стандартни машини","наименование на групата","Кроялни маси и транспортьори","описание","настилъчна маса с конвейрна лента","характеристики","4 м")/GETPIVOTDATA("Брой от име",$A$3,"група",24,"№ Вид машини",1,"Вид машини","Стандартни машини","наименование на групата","Кроялни маси и транспортьори","описание","настилъчна маса с конвейрна лента","характеристики","4 м")</f>
        <v>12908.48</v>
      </c>
      <c r="J57"/>
      <c r="K57" s="321"/>
      <c r="L57" s="152" t="s">
        <v>1407</v>
      </c>
      <c r="M57" s="153">
        <v>1</v>
      </c>
      <c r="N57" s="154">
        <f t="shared" si="3"/>
        <v>12908.48</v>
      </c>
      <c r="O57" s="92"/>
      <c r="P57" s="91"/>
      <c r="Q57" s="147"/>
      <c r="R57" s="92"/>
      <c r="S57" s="90"/>
      <c r="T57" s="147"/>
      <c r="U57" s="92"/>
      <c r="W57" s="212">
        <f>GETPIVOTDATA("Брой от име",$A$3,"група",24,"№ Вид машини",1,"Вид машини","Стандартни машини","наименование на групата","Кроялни маси и транспортьори","описание","настилъчна маса с конвейрна лента","характеристики","4 м")-M57-P57-S57</f>
        <v>0</v>
      </c>
      <c r="X57" s="217">
        <f t="shared" si="4"/>
        <v>0</v>
      </c>
    </row>
    <row r="58" spans="1:25" ht="28.8" x14ac:dyDescent="0.3">
      <c r="A58" s="308"/>
      <c r="B58" s="308"/>
      <c r="C58" s="308"/>
      <c r="D58" s="307" t="s">
        <v>2021</v>
      </c>
      <c r="E58" s="308"/>
      <c r="F58" s="308"/>
      <c r="G58" s="63">
        <v>9</v>
      </c>
      <c r="H58" s="102">
        <v>190294.87000000002</v>
      </c>
      <c r="I58" s="145"/>
      <c r="J58"/>
      <c r="K58" s="97" t="s">
        <v>225</v>
      </c>
      <c r="L58" s="101" t="e">
        <f>COUNTIF('Machine park -  BTB 24.04.26'!#REF!,$K58)</f>
        <v>#REF!</v>
      </c>
      <c r="M58" s="200">
        <f>SUM(M52:M57)</f>
        <v>7</v>
      </c>
      <c r="N58" s="160">
        <f>SUM(N52:N57)</f>
        <v>155592.17000000001</v>
      </c>
      <c r="O58" s="202"/>
      <c r="P58" s="200">
        <f>SUM(P52:P57)</f>
        <v>0</v>
      </c>
      <c r="Q58" s="201"/>
      <c r="R58" s="202"/>
      <c r="S58" s="203">
        <f>SUM(S52:S57)</f>
        <v>0</v>
      </c>
      <c r="T58" s="201"/>
      <c r="U58" s="202"/>
      <c r="W58" s="213">
        <f>GETPIVOTDATA("Брой от име",$A$3,"група",24,"№ Вид машини",1,"Вид машини","Стандартни машини","наименование на групата","Кроялни маси и транспортьори")-M58-P58-S58</f>
        <v>2</v>
      </c>
      <c r="X58" s="219">
        <f>SUM(X52:X57)</f>
        <v>34702.699999999997</v>
      </c>
      <c r="Y58" s="145">
        <f>X58+T58+Q58+N58</f>
        <v>190294.87</v>
      </c>
    </row>
    <row r="59" spans="1:25" x14ac:dyDescent="0.3">
      <c r="A59" s="308"/>
      <c r="B59" s="308"/>
      <c r="C59" s="307">
        <v>37</v>
      </c>
      <c r="D59" s="307" t="s">
        <v>221</v>
      </c>
      <c r="E59" s="78" t="s">
        <v>1144</v>
      </c>
      <c r="F59" s="78" t="s">
        <v>1639</v>
      </c>
      <c r="G59" s="63">
        <v>2</v>
      </c>
      <c r="H59" s="102">
        <v>360</v>
      </c>
      <c r="I59" s="145">
        <f>GETPIVOTDATA("Сума от Първоначална стойност",$A$3,"група",37,"№ Вид машини",1,"Вид машини","Стандартни машини","наименование на групата","Дискова ножица","описание","за гайки и ласета","характеристики",)/GETPIVOTDATA("Брой от име",$A$3,"група",37,"№ Вид машини",1,"Вид машини","Стандартни машини","наименование на групата","Дискова ножица","описание","за гайки и ласета","характеристики",)</f>
        <v>180</v>
      </c>
      <c r="J59"/>
      <c r="K59" s="321" t="s">
        <v>221</v>
      </c>
      <c r="L59" s="152" t="s">
        <v>1144</v>
      </c>
      <c r="M59" s="153">
        <v>2</v>
      </c>
      <c r="N59" s="149">
        <f t="shared" si="3"/>
        <v>360</v>
      </c>
      <c r="O59" s="92"/>
      <c r="P59" s="91"/>
      <c r="Q59" s="147"/>
      <c r="R59" s="92"/>
      <c r="S59" s="90"/>
      <c r="T59" s="147"/>
      <c r="U59" s="92"/>
      <c r="W59" s="212">
        <f>GETPIVOTDATA("Брой от име",$A$3,"група",37,"№ Вид машини",1,"Вид машини","Стандартни машини","наименование на групата","Дискова ножица","описание","за гайки и ласета","характеристики",)-M59-P59-S59</f>
        <v>0</v>
      </c>
      <c r="X59" s="217">
        <f>W59*I59</f>
        <v>0</v>
      </c>
    </row>
    <row r="60" spans="1:25" x14ac:dyDescent="0.3">
      <c r="A60" s="308"/>
      <c r="B60" s="308"/>
      <c r="C60" s="308"/>
      <c r="D60" s="308"/>
      <c r="E60" s="78" t="s">
        <v>1320</v>
      </c>
      <c r="F60" s="78" t="s">
        <v>1639</v>
      </c>
      <c r="G60" s="63">
        <v>5</v>
      </c>
      <c r="H60" s="102">
        <v>4221.46</v>
      </c>
      <c r="I60" s="145">
        <f>GETPIVOTDATA("Сума от Първоначална стойност",$A$3,"група",37,"№ Вид машини",1,"Вид машини","Стандартни машини","наименование на групата","Дискова ножица","описание","за настил","характеристики",)/GETPIVOTDATA("Брой от име",$A$3,"група",37,"№ Вид машини",1,"Вид машини","Стандартни машини","наименование на групата","Дискова ножица","описание","за настил","характеристики",)</f>
        <v>844.29200000000003</v>
      </c>
      <c r="J60"/>
      <c r="K60" s="321"/>
      <c r="L60" s="152" t="s">
        <v>1320</v>
      </c>
      <c r="M60" s="153">
        <v>5</v>
      </c>
      <c r="N60" s="149">
        <f t="shared" si="3"/>
        <v>4221.46</v>
      </c>
      <c r="O60" s="92"/>
      <c r="P60" s="91"/>
      <c r="Q60" s="147"/>
      <c r="R60" s="92"/>
      <c r="S60" s="90"/>
      <c r="T60" s="147"/>
      <c r="U60" s="92"/>
      <c r="W60" s="212">
        <f>GETPIVOTDATA("Брой от име",$A$3,"група",37,"№ Вид машини",1,"Вид машини","Стандартни машини","наименование на групата","Дискова ножица","описание","за настил","характеристики",)-M60-P60-S60</f>
        <v>0</v>
      </c>
      <c r="X60" s="217">
        <f>W60*I60</f>
        <v>0</v>
      </c>
    </row>
    <row r="61" spans="1:25" ht="28.8" x14ac:dyDescent="0.3">
      <c r="A61" s="308"/>
      <c r="B61" s="308"/>
      <c r="C61" s="308"/>
      <c r="D61" s="307" t="s">
        <v>2022</v>
      </c>
      <c r="E61" s="308"/>
      <c r="F61" s="308"/>
      <c r="G61" s="63">
        <v>7</v>
      </c>
      <c r="H61" s="102">
        <v>4581.46</v>
      </c>
      <c r="I61" s="145"/>
      <c r="J61"/>
      <c r="K61" s="97" t="s">
        <v>221</v>
      </c>
      <c r="L61" s="101" t="e">
        <f>COUNTIF('Machine park -  BTB 24.04.26'!#REF!,$K61)</f>
        <v>#REF!</v>
      </c>
      <c r="M61" s="200">
        <f>SUM(M59:M60)</f>
        <v>7</v>
      </c>
      <c r="N61" s="160">
        <f>SUM(N59:N60)</f>
        <v>4581.46</v>
      </c>
      <c r="O61" s="95"/>
      <c r="P61" s="200">
        <f>SUM(P59:P60)</f>
        <v>0</v>
      </c>
      <c r="Q61" s="201"/>
      <c r="R61" s="202"/>
      <c r="S61" s="203">
        <f>SUM(S59:S60)</f>
        <v>0</v>
      </c>
      <c r="T61" s="148"/>
      <c r="U61" s="95"/>
      <c r="W61" s="213">
        <f>GETPIVOTDATA("Брой от име",$A$3,"група",37,"№ Вид машини",1,"Вид машини","Стандартни машини","наименование на групата","Дискова ножица")-M61-P61-S61</f>
        <v>0</v>
      </c>
      <c r="X61" s="219">
        <f>SUM(X59:X60)</f>
        <v>0</v>
      </c>
    </row>
    <row r="62" spans="1:25" x14ac:dyDescent="0.3">
      <c r="A62" s="308"/>
      <c r="B62" s="308"/>
      <c r="C62" s="307">
        <v>38</v>
      </c>
      <c r="D62" s="307" t="s">
        <v>264</v>
      </c>
      <c r="E62" s="78" t="s">
        <v>1284</v>
      </c>
      <c r="F62" s="78" t="s">
        <v>1101</v>
      </c>
      <c r="G62" s="63">
        <v>1</v>
      </c>
      <c r="H62" s="102">
        <v>1476.69</v>
      </c>
      <c r="I62" s="145">
        <f>GETPIVOTDATA("Сума от Първоначална стойност",$A$3,"група",38,"№ Вид машини",1,"Вид машини","Стандартни машини","наименование на групата","Шила за обръщане на колани и яки","описание","яки","характеристики","пневматична")/GETPIVOTDATA("Брой от име",$A$3,"група",38,"№ Вид машини",1,"Вид машини","Стандартни машини","наименование на групата","Шила за обръщане на колани и яки","описание","яки","характеристики","пневматична")</f>
        <v>1476.69</v>
      </c>
      <c r="J62"/>
      <c r="K62" s="309" t="s">
        <v>264</v>
      </c>
      <c r="L62" s="100" t="s">
        <v>1408</v>
      </c>
      <c r="M62" s="91"/>
      <c r="N62" s="147"/>
      <c r="O62" s="92"/>
      <c r="P62" s="91"/>
      <c r="Q62" s="147"/>
      <c r="R62" s="92"/>
      <c r="S62" s="90">
        <v>1</v>
      </c>
      <c r="T62" s="149">
        <f>S62*I62</f>
        <v>1476.69</v>
      </c>
      <c r="U62" s="92" t="s">
        <v>1371</v>
      </c>
      <c r="W62" s="212">
        <f>GETPIVOTDATA("Брой от име",$A$3,"група",38,"№ Вид машини",1,"Вид машини","Стандартни машини","наименование на групата","Шила за обръщане на колани и яки","описание","яки","характеристики","пневматична")-M62-P62-S62</f>
        <v>0</v>
      </c>
      <c r="X62" s="217">
        <f>W62*I62</f>
        <v>0</v>
      </c>
    </row>
    <row r="63" spans="1:25" x14ac:dyDescent="0.3">
      <c r="A63" s="308"/>
      <c r="B63" s="308"/>
      <c r="C63" s="308"/>
      <c r="D63" s="308"/>
      <c r="E63" s="78" t="s">
        <v>1321</v>
      </c>
      <c r="F63" s="78" t="s">
        <v>1322</v>
      </c>
      <c r="G63" s="63">
        <v>1</v>
      </c>
      <c r="H63" s="102">
        <v>528.07410000000004</v>
      </c>
      <c r="I63" s="145">
        <f>GETPIVOTDATA("Сума от Първоначална стойност",$A$3,"група",38,"№ Вид машини",1,"Вид машини","Стандартни машини","наименование на групата","Шила за обръщане на колани и яки","описание","колани","характеристики","ръчно")/GETPIVOTDATA("Брой от име",$A$3,"група",38,"№ Вид машини",1,"Вид машини","Стандартни машини","наименование на групата","Шила за обръщане на колани и яки","описание","колани","характеристики","ръчно")</f>
        <v>528.07410000000004</v>
      </c>
      <c r="J63"/>
      <c r="K63" s="309"/>
      <c r="L63" s="100" t="s">
        <v>1409</v>
      </c>
      <c r="M63" s="91"/>
      <c r="N63" s="147"/>
      <c r="O63" s="92"/>
      <c r="P63" s="91"/>
      <c r="Q63" s="147"/>
      <c r="R63" s="92"/>
      <c r="S63" s="90">
        <v>1</v>
      </c>
      <c r="T63" s="149">
        <f>S63*I63</f>
        <v>528.07410000000004</v>
      </c>
      <c r="U63" s="92" t="s">
        <v>1371</v>
      </c>
      <c r="W63" s="212">
        <f>GETPIVOTDATA("Брой от име",$A$3,"група",38,"№ Вид машини",1,"Вид машини","Стандартни машини","наименование на групата","Шила за обръщане на колани и яки","описание","колани","характеристики","ръчно")-M63-P63-S63</f>
        <v>0</v>
      </c>
      <c r="X63" s="217">
        <f>W63*I63</f>
        <v>0</v>
      </c>
    </row>
    <row r="64" spans="1:25" ht="43.2" x14ac:dyDescent="0.3">
      <c r="A64" s="308"/>
      <c r="B64" s="308"/>
      <c r="C64" s="308"/>
      <c r="D64" s="307" t="s">
        <v>2023</v>
      </c>
      <c r="E64" s="308"/>
      <c r="F64" s="308"/>
      <c r="G64" s="63">
        <v>2</v>
      </c>
      <c r="H64" s="102">
        <v>2004.7641000000001</v>
      </c>
      <c r="I64" s="145"/>
      <c r="J64"/>
      <c r="K64" s="97" t="s">
        <v>264</v>
      </c>
      <c r="L64" s="101" t="e">
        <f>COUNTIF('Machine park -  BTB 24.04.26'!#REF!,$K64)</f>
        <v>#REF!</v>
      </c>
      <c r="M64" s="94">
        <f>SUM(M62:M63)</f>
        <v>0</v>
      </c>
      <c r="N64" s="148"/>
      <c r="O64" s="95"/>
      <c r="P64" s="94">
        <f>SUM(P62:P63)</f>
        <v>0</v>
      </c>
      <c r="Q64" s="148"/>
      <c r="R64" s="95"/>
      <c r="S64" s="93">
        <f>SUM(S62:S63)</f>
        <v>2</v>
      </c>
      <c r="T64" s="159">
        <f>SUM(T62:T63)</f>
        <v>2004.7641000000001</v>
      </c>
      <c r="U64" s="95"/>
      <c r="W64" s="213">
        <f>GETPIVOTDATA("Брой от име",$A$3,"група",38,"№ Вид машини",1,"Вид машини","Стандартни машини","наименование на групата","Шила за обръщане на колани и яки")-M64-P64-S64</f>
        <v>0</v>
      </c>
      <c r="X64" s="219">
        <f>SUM(X62:X63)</f>
        <v>0</v>
      </c>
    </row>
    <row r="65" spans="1:25" ht="28.8" x14ac:dyDescent="0.3">
      <c r="A65" s="308"/>
      <c r="B65" s="308"/>
      <c r="C65" s="307">
        <v>51</v>
      </c>
      <c r="D65" s="78" t="s">
        <v>595</v>
      </c>
      <c r="E65" s="78" t="s">
        <v>1639</v>
      </c>
      <c r="F65" s="78" t="s">
        <v>1639</v>
      </c>
      <c r="G65" s="63">
        <v>2</v>
      </c>
      <c r="H65" s="102">
        <v>1374</v>
      </c>
      <c r="I65" s="145">
        <f>GETPIVOTDATA("Сума от Първоначална стойност",$A$3,"група",51,"№ Вид машини",1,"Вид машини","Стандартни машини","наименование на групата","Шила с нагряване","описание",,"характеристики",)/GETPIVOTDATA("Брой от име",$A$3,"група",51,"№ Вид машини",1,"Вид машини","Стандартни машини","наименование на групата","Шила с нагряване","описание",,"характеристики",)</f>
        <v>687</v>
      </c>
      <c r="J65"/>
      <c r="K65" s="155" t="s">
        <v>595</v>
      </c>
      <c r="L65" s="152"/>
      <c r="M65" s="153">
        <v>2</v>
      </c>
      <c r="N65" s="154">
        <f>M65*I65</f>
        <v>1374</v>
      </c>
      <c r="O65" s="92"/>
      <c r="P65" s="91"/>
      <c r="Q65" s="147"/>
      <c r="R65" s="92"/>
      <c r="S65" s="90"/>
      <c r="T65" s="147"/>
      <c r="U65" s="92"/>
      <c r="W65" s="212">
        <f>GETPIVOTDATA("Брой от име",$A$3,"група",51,"№ Вид машини",1,"Вид машини","Стандартни машини","наименование на групата","Шила с нагряване","описание",,"характеристики",)-M65-P65-S65</f>
        <v>0</v>
      </c>
      <c r="X65" s="217">
        <f>W65*I65</f>
        <v>0</v>
      </c>
    </row>
    <row r="66" spans="1:25" ht="28.8" x14ac:dyDescent="0.3">
      <c r="A66" s="308"/>
      <c r="B66" s="308"/>
      <c r="C66" s="308"/>
      <c r="D66" s="307" t="s">
        <v>2024</v>
      </c>
      <c r="E66" s="308"/>
      <c r="F66" s="308"/>
      <c r="G66" s="63">
        <v>2</v>
      </c>
      <c r="H66" s="102">
        <v>1374</v>
      </c>
      <c r="I66" s="145"/>
      <c r="J66"/>
      <c r="K66" s="97" t="s">
        <v>595</v>
      </c>
      <c r="L66" s="101" t="e">
        <f>COUNTIF('Machine park -  BTB 24.04.26'!#REF!,$K66)</f>
        <v>#REF!</v>
      </c>
      <c r="M66" s="200">
        <f>M65</f>
        <v>2</v>
      </c>
      <c r="N66" s="160">
        <f>N65</f>
        <v>1374</v>
      </c>
      <c r="O66" s="202"/>
      <c r="P66" s="200">
        <f>P65</f>
        <v>0</v>
      </c>
      <c r="Q66" s="201"/>
      <c r="R66" s="202"/>
      <c r="S66" s="203">
        <f>S65</f>
        <v>0</v>
      </c>
      <c r="T66" s="148"/>
      <c r="U66" s="95"/>
      <c r="W66" s="213">
        <f>GETPIVOTDATA("Брой от име",$A$3,"група",51,"№ Вид машини",1,"Вид машини","Стандартни машини","наименование на групата","Шила с нагряване")-M66-P66-S66</f>
        <v>0</v>
      </c>
      <c r="X66" s="218">
        <f>X65</f>
        <v>0</v>
      </c>
    </row>
    <row r="67" spans="1:25" x14ac:dyDescent="0.3">
      <c r="A67" s="307">
        <v>2</v>
      </c>
      <c r="B67" s="307" t="s">
        <v>1151</v>
      </c>
      <c r="C67" s="307">
        <v>5</v>
      </c>
      <c r="D67" s="307" t="s">
        <v>212</v>
      </c>
      <c r="E67" s="307" t="s">
        <v>1217</v>
      </c>
      <c r="F67" s="78" t="s">
        <v>1639</v>
      </c>
      <c r="G67" s="63">
        <v>8</v>
      </c>
      <c r="H67" s="102">
        <v>26466.78</v>
      </c>
      <c r="I67" s="145">
        <f>GETPIVOTDATA("Сума от Първоначална стойност",$A$3,"група",5,"№ Вид машини",2,"Вид машини","Специални машини","наименование на групата","Копчешиещa машинa ","описание","1 конечна","характеристики",)/GETPIVOTDATA("Брой от име",$A$3,"група",5,"№ Вид машини",2,"Вид машини","Специални машини","наименование на групата","Копчешиещa машинa ","описание","1 конечна","характеристики",)</f>
        <v>3308.3474999999999</v>
      </c>
      <c r="J67"/>
      <c r="K67" s="309" t="s">
        <v>212</v>
      </c>
      <c r="L67" s="100" t="s">
        <v>1217</v>
      </c>
      <c r="M67" s="91"/>
      <c r="N67" s="147"/>
      <c r="O67" s="92"/>
      <c r="P67" s="91"/>
      <c r="Q67" s="147"/>
      <c r="R67" s="92"/>
      <c r="S67" s="90"/>
      <c r="T67" s="147"/>
      <c r="U67" s="92"/>
      <c r="W67" s="212">
        <f>GETPIVOTDATA("Брой от име",$A$3,"група",5,"№ Вид машини",2,"Вид машини","Специални машини","наименование на групата","Копчешиещa машинa ","описание","1 конечна","характеристики",)-M67-P67-S67</f>
        <v>8</v>
      </c>
      <c r="X67" s="217">
        <f>W67*I67</f>
        <v>26466.78</v>
      </c>
    </row>
    <row r="68" spans="1:25" x14ac:dyDescent="0.3">
      <c r="A68" s="308"/>
      <c r="B68" s="308"/>
      <c r="C68" s="308"/>
      <c r="D68" s="308"/>
      <c r="E68" s="308"/>
      <c r="F68" s="78" t="s">
        <v>1068</v>
      </c>
      <c r="G68" s="63">
        <v>1</v>
      </c>
      <c r="H68" s="102">
        <v>3644</v>
      </c>
      <c r="I68" s="145">
        <f>GETPIVOTDATA("Сума от Първоначална стойност",$A$3,"група",5,"№ Вид машини",2,"Вид машини","Специални машини","наименование на групата","Копчешиещa машинa ","описание","1 конечна","характеристики","електронна")/GETPIVOTDATA("Брой от име",$A$3,"група",5,"№ Вид машини",2,"Вид машини","Специални машини","наименование на групата","Копчешиещa машинa ","описание","1 конечна","характеристики","електронна")</f>
        <v>3644</v>
      </c>
      <c r="J68"/>
      <c r="K68" s="309"/>
      <c r="L68" s="100" t="s">
        <v>1410</v>
      </c>
      <c r="M68" s="91">
        <v>1</v>
      </c>
      <c r="N68" s="149">
        <f>M68*I68</f>
        <v>3644</v>
      </c>
      <c r="O68" s="92" t="s">
        <v>1371</v>
      </c>
      <c r="P68" s="91"/>
      <c r="Q68" s="147"/>
      <c r="R68" s="92"/>
      <c r="S68" s="90"/>
      <c r="T68" s="147"/>
      <c r="U68" s="92"/>
      <c r="W68" s="212">
        <f>GETPIVOTDATA("Брой от име",$A$3,"група",5,"№ Вид машини",2,"Вид машини","Специални машини","наименование на групата","Копчешиещa машинa ","описание","1 конечна","характеристики","електронна")-M68-P68-S68</f>
        <v>0</v>
      </c>
      <c r="X68" s="217">
        <f>W68*I68</f>
        <v>0</v>
      </c>
    </row>
    <row r="69" spans="1:25" x14ac:dyDescent="0.3">
      <c r="A69" s="308"/>
      <c r="B69" s="308"/>
      <c r="C69" s="308"/>
      <c r="D69" s="308"/>
      <c r="E69" s="307" t="s">
        <v>1218</v>
      </c>
      <c r="F69" s="78" t="s">
        <v>1639</v>
      </c>
      <c r="G69" s="63">
        <v>1</v>
      </c>
      <c r="H69" s="102">
        <v>3065.76</v>
      </c>
      <c r="I69" s="145">
        <f>GETPIVOTDATA("Сума от Първоначална стойност",$A$3,"група",5,"№ Вид машини",2,"Вид машини","Специални машини","наименование на групата","Копчешиещa машинa ","описание","2 конечна","характеристики",)/GETPIVOTDATA("Брой от име",$A$3,"група",5,"№ Вид машини",2,"Вид машини","Специални машини","наименование на групата","Копчешиещa машинa ","описание","2 конечна","характеристики",)</f>
        <v>3065.76</v>
      </c>
      <c r="J69"/>
      <c r="K69" s="309"/>
      <c r="L69" s="100" t="s">
        <v>1218</v>
      </c>
      <c r="M69" s="91"/>
      <c r="N69" s="149"/>
      <c r="O69" s="92"/>
      <c r="P69" s="91"/>
      <c r="Q69" s="147"/>
      <c r="R69" s="92"/>
      <c r="S69" s="90">
        <v>1</v>
      </c>
      <c r="T69" s="149">
        <f>S69*I69</f>
        <v>3065.76</v>
      </c>
      <c r="U69" s="92"/>
      <c r="W69" s="212">
        <f>GETPIVOTDATA("Брой от име",$A$3,"група",5,"№ Вид машини",2,"Вид машини","Специални машини","наименование на групата","Копчешиещa машинa ","описание","2 конечна","характеристики",)-M69-P69-S69</f>
        <v>0</v>
      </c>
      <c r="X69" s="217">
        <f>W69*I69</f>
        <v>0</v>
      </c>
    </row>
    <row r="70" spans="1:25" x14ac:dyDescent="0.3">
      <c r="A70" s="308"/>
      <c r="B70" s="308"/>
      <c r="C70" s="308"/>
      <c r="D70" s="308"/>
      <c r="E70" s="308"/>
      <c r="F70" s="78" t="s">
        <v>1068</v>
      </c>
      <c r="G70" s="63">
        <v>7</v>
      </c>
      <c r="H70" s="102">
        <v>59430</v>
      </c>
      <c r="I70" s="145">
        <f>GETPIVOTDATA("Сума от Първоначална стойност",$A$3,"група",5,"№ Вид машини",2,"Вид машини","Специални машини","наименование на групата","Копчешиещa машинa ","описание","2 конечна","характеристики","електронна")/GETPIVOTDATA("Брой от име",$A$3,"група",5,"№ Вид машини",2,"Вид машини","Специални машини","наименование на групата","Копчешиещa машинa ","описание","2 конечна","характеристики","електронна")</f>
        <v>8490</v>
      </c>
      <c r="J70"/>
      <c r="K70" s="309"/>
      <c r="L70" s="100" t="s">
        <v>1411</v>
      </c>
      <c r="M70" s="91">
        <v>3</v>
      </c>
      <c r="N70" s="149">
        <f>M70*I70</f>
        <v>25470</v>
      </c>
      <c r="O70" s="92"/>
      <c r="P70" s="91">
        <v>1</v>
      </c>
      <c r="Q70" s="149">
        <f>P70*I70</f>
        <v>8490</v>
      </c>
      <c r="R70" s="92" t="s">
        <v>1371</v>
      </c>
      <c r="S70" s="90">
        <v>3</v>
      </c>
      <c r="T70" s="149">
        <f>S70*I70</f>
        <v>25470</v>
      </c>
      <c r="U70" s="92"/>
      <c r="W70" s="212">
        <f>GETPIVOTDATA("Брой от име",$A$3,"група",5,"№ Вид машини",2,"Вид машини","Специални машини","наименование на групата","Копчешиещa машинa ","описание","2 конечна","характеристики","електронна")-M70-P70-S70</f>
        <v>0</v>
      </c>
      <c r="X70" s="217">
        <f>W70*I70</f>
        <v>0</v>
      </c>
    </row>
    <row r="71" spans="1:25" x14ac:dyDescent="0.3">
      <c r="A71" s="308"/>
      <c r="B71" s="308"/>
      <c r="C71" s="308"/>
      <c r="D71" s="308"/>
      <c r="E71" s="78" t="s">
        <v>1216</v>
      </c>
      <c r="F71" s="78" t="s">
        <v>1639</v>
      </c>
      <c r="G71" s="63">
        <v>2</v>
      </c>
      <c r="H71" s="102">
        <v>13957</v>
      </c>
      <c r="I71" s="145">
        <f>GETPIVOTDATA("Сума от Първоначална стойност",$A$3,"група",5,"№ Вид машини",2,"Вид машини","Специални машини","наименование на групата","Копчешиещa машинa ","описание","за навиване на копчета","характеристики",)/GETPIVOTDATA("Брой от име",$A$3,"група",5,"№ Вид машини",2,"Вид машини","Специални машини","наименование на групата","Копчешиещa машинa ","описание","за навиване на копчета","характеристики",)</f>
        <v>6978.5</v>
      </c>
      <c r="J71"/>
      <c r="K71" s="309"/>
      <c r="L71" s="100" t="s">
        <v>1216</v>
      </c>
      <c r="M71" s="91">
        <v>1</v>
      </c>
      <c r="N71" s="149">
        <f>M71*I71</f>
        <v>6978.5</v>
      </c>
      <c r="O71" s="92" t="s">
        <v>1371</v>
      </c>
      <c r="P71" s="91"/>
      <c r="Q71" s="147"/>
      <c r="R71" s="92"/>
      <c r="S71" s="90">
        <v>1</v>
      </c>
      <c r="T71" s="149">
        <f>S71*I71</f>
        <v>6978.5</v>
      </c>
      <c r="U71" s="92" t="s">
        <v>1371</v>
      </c>
      <c r="W71" s="212">
        <f>GETPIVOTDATA("Брой от име",$A$3,"група",5,"№ Вид машини",2,"Вид машини","Специални машини","наименование на групата","Копчешиещa машинa ","описание","за навиване на копчета","характеристики",)-M71-P71-S71</f>
        <v>0</v>
      </c>
      <c r="X71" s="217">
        <f>W71*I71</f>
        <v>0</v>
      </c>
    </row>
    <row r="72" spans="1:25" ht="28.8" x14ac:dyDescent="0.3">
      <c r="A72" s="308"/>
      <c r="B72" s="308"/>
      <c r="C72" s="308"/>
      <c r="D72" s="307" t="s">
        <v>2025</v>
      </c>
      <c r="E72" s="308"/>
      <c r="F72" s="308"/>
      <c r="G72" s="63">
        <v>19</v>
      </c>
      <c r="H72" s="102">
        <v>106563.54000000001</v>
      </c>
      <c r="I72" s="145"/>
      <c r="J72"/>
      <c r="K72" s="97" t="s">
        <v>212</v>
      </c>
      <c r="L72" s="101" t="e">
        <f>COUNTIF('Machine park -  BTB 24.04.26'!#REF!,$K72)</f>
        <v>#REF!</v>
      </c>
      <c r="M72" s="200">
        <f>SUM(M67:M71)</f>
        <v>5</v>
      </c>
      <c r="N72" s="159">
        <f>SUM(N67:N71)</f>
        <v>36092.5</v>
      </c>
      <c r="O72" s="202"/>
      <c r="P72" s="200">
        <f>SUM(P67:P71)</f>
        <v>1</v>
      </c>
      <c r="Q72" s="159">
        <f>SUM(Q67:Q71)</f>
        <v>8490</v>
      </c>
      <c r="R72" s="202"/>
      <c r="S72" s="203">
        <f>SUM(S67:S71)</f>
        <v>5</v>
      </c>
      <c r="T72" s="159">
        <f>SUM(T67:T71)</f>
        <v>35514.26</v>
      </c>
      <c r="U72" s="95"/>
      <c r="W72" s="213">
        <f>GETPIVOTDATA("Брой от име",$A$3,"група",5,"№ Вид машини",2,"Вид машини","Специални машини","наименование на групата","Копчешиещa машинa ")-M72-P72-S72</f>
        <v>8</v>
      </c>
      <c r="X72" s="219">
        <f>SUM(X67:X71)</f>
        <v>26466.78</v>
      </c>
      <c r="Y72" s="145">
        <f>X72+T72+Q72+N72</f>
        <v>106563.54000000001</v>
      </c>
    </row>
    <row r="73" spans="1:25" x14ac:dyDescent="0.3">
      <c r="A73" s="308"/>
      <c r="B73" s="308"/>
      <c r="C73" s="307">
        <v>6</v>
      </c>
      <c r="D73" s="307" t="s">
        <v>115</v>
      </c>
      <c r="E73" s="78" t="s">
        <v>565</v>
      </c>
      <c r="F73" s="78" t="s">
        <v>1639</v>
      </c>
      <c r="G73" s="63">
        <v>1</v>
      </c>
      <c r="H73" s="102">
        <v>9918</v>
      </c>
      <c r="I73" s="145">
        <f>GETPIVOTDATA("Сума от Първоначална стойност",$A$3,"група",6,"№ Вид машини",2,"Вид машини","Специални машини","наименование на групата","Понт машина","описание"," лек клас","характеристики",)/GETPIVOTDATA("Брой от име",$A$3,"група",6,"№ Вид машини",2,"Вид машини","Специални машини","наименование на групата","Понт машина","описание"," лек клас","характеристики",)</f>
        <v>9918</v>
      </c>
      <c r="J73"/>
      <c r="K73" s="309" t="s">
        <v>115</v>
      </c>
      <c r="L73" s="100" t="s">
        <v>565</v>
      </c>
      <c r="M73" s="91"/>
      <c r="N73" s="147"/>
      <c r="O73" s="92"/>
      <c r="P73" s="91"/>
      <c r="Q73" s="147"/>
      <c r="R73" s="92"/>
      <c r="S73" s="90">
        <v>1</v>
      </c>
      <c r="T73" s="149">
        <f>S73*I73</f>
        <v>9918</v>
      </c>
      <c r="U73" s="92"/>
      <c r="W73" s="212">
        <f>GETPIVOTDATA("Брой от име",$A$3,"група",6,"№ Вид машини",2,"Вид машини","Специални машини","наименование на групата","Понт машина","описание"," лек клас","характеристики",)-M73-P73-S73</f>
        <v>0</v>
      </c>
      <c r="X73" s="217">
        <f>W73*I73</f>
        <v>0</v>
      </c>
    </row>
    <row r="74" spans="1:25" x14ac:dyDescent="0.3">
      <c r="A74" s="308"/>
      <c r="B74" s="308"/>
      <c r="C74" s="308"/>
      <c r="D74" s="308"/>
      <c r="E74" s="78" t="s">
        <v>1070</v>
      </c>
      <c r="F74" s="78" t="s">
        <v>1639</v>
      </c>
      <c r="G74" s="63">
        <v>1</v>
      </c>
      <c r="H74" s="102">
        <v>7211</v>
      </c>
      <c r="I74" s="145">
        <f>GETPIVOTDATA("Сума от Първоначална стойност",$A$3,"група",6,"№ Вид машини",2,"Вид машини","Специални машини","наименование на групата","Понт машина","описание","за етикети","характеристики",)/GETPIVOTDATA("Брой от име",$A$3,"група",6,"№ Вид машини",2,"Вид машини","Специални машини","наименование на групата","Понт машина","описание","за етикети","характеристики",)</f>
        <v>7211</v>
      </c>
      <c r="J74"/>
      <c r="K74" s="309"/>
      <c r="L74" s="100" t="s">
        <v>1070</v>
      </c>
      <c r="M74" s="91">
        <v>1</v>
      </c>
      <c r="N74" s="149">
        <f>M74*I74</f>
        <v>7211</v>
      </c>
      <c r="O74" s="92" t="s">
        <v>1371</v>
      </c>
      <c r="P74" s="91"/>
      <c r="Q74" s="147"/>
      <c r="R74" s="92"/>
      <c r="S74" s="90"/>
      <c r="T74" s="149"/>
      <c r="U74" s="92"/>
      <c r="W74" s="212">
        <f>GETPIVOTDATA("Брой от име",$A$3,"група",6,"№ Вид машини",2,"Вид машини","Специални машини","наименование на групата","Понт машина","описание","за етикети","характеристики",)-M74-P74-S74</f>
        <v>0</v>
      </c>
      <c r="X74" s="217">
        <f>W74*I74</f>
        <v>0</v>
      </c>
    </row>
    <row r="75" spans="1:25" x14ac:dyDescent="0.3">
      <c r="A75" s="308"/>
      <c r="B75" s="308"/>
      <c r="C75" s="308"/>
      <c r="D75" s="308"/>
      <c r="E75" s="78" t="s">
        <v>1639</v>
      </c>
      <c r="F75" s="78" t="s">
        <v>1639</v>
      </c>
      <c r="G75" s="63">
        <v>11</v>
      </c>
      <c r="H75" s="102">
        <v>72545.56</v>
      </c>
      <c r="I75" s="145">
        <f>GETPIVOTDATA("Сума от Първоначална стойност",$A$3,"група",6,"№ Вид машини",2,"Вид машини","Специални машини","наименование на групата","Понт машина","описание",,"характеристики",)/GETPIVOTDATA("Брой от име",$A$3,"група",6,"№ Вид машини",2,"Вид машини","Специални машини","наименование на групата","Понт машина","описание",,"характеристики",)</f>
        <v>6595.050909090909</v>
      </c>
      <c r="J75"/>
      <c r="K75" s="309"/>
      <c r="L75" s="100"/>
      <c r="M75" s="91">
        <v>1</v>
      </c>
      <c r="N75" s="149">
        <f>M75*I75</f>
        <v>6595.050909090909</v>
      </c>
      <c r="O75" s="92"/>
      <c r="P75" s="91">
        <v>2</v>
      </c>
      <c r="Q75" s="149">
        <f>P75*I75</f>
        <v>13190.101818181818</v>
      </c>
      <c r="R75" s="92"/>
      <c r="S75" s="90">
        <v>1</v>
      </c>
      <c r="T75" s="149">
        <f>S75*I75</f>
        <v>6595.050909090909</v>
      </c>
      <c r="U75" s="92"/>
      <c r="W75" s="212">
        <f>GETPIVOTDATA("Брой от име",$A$3,"група",6,"№ Вид машини",2,"Вид машини","Специални машини","наименование на групата","Понт машина","описание",,"характеристики",)-M75-P75-S75</f>
        <v>7</v>
      </c>
      <c r="X75" s="217">
        <f>W75*I75</f>
        <v>46165.356363636361</v>
      </c>
    </row>
    <row r="76" spans="1:25" x14ac:dyDescent="0.3">
      <c r="A76" s="308"/>
      <c r="B76" s="308"/>
      <c r="C76" s="308"/>
      <c r="D76" s="307" t="s">
        <v>2026</v>
      </c>
      <c r="E76" s="308"/>
      <c r="F76" s="308"/>
      <c r="G76" s="63">
        <v>13</v>
      </c>
      <c r="H76" s="102">
        <v>89674.559999999998</v>
      </c>
      <c r="I76" s="145"/>
      <c r="J76"/>
      <c r="K76" s="97" t="s">
        <v>115</v>
      </c>
      <c r="L76" s="101" t="e">
        <f>COUNTIF('Machine park -  BTB 24.04.26'!#REF!,$K76)</f>
        <v>#REF!</v>
      </c>
      <c r="M76" s="200">
        <f>SUM(M73:M75)</f>
        <v>2</v>
      </c>
      <c r="N76" s="159">
        <f>SUM(N74:N75)</f>
        <v>13806.050909090909</v>
      </c>
      <c r="O76" s="202"/>
      <c r="P76" s="200">
        <f>SUM(P73:P75)</f>
        <v>2</v>
      </c>
      <c r="Q76" s="159">
        <f>SUM(Q73:Q75)</f>
        <v>13190.101818181818</v>
      </c>
      <c r="R76" s="202"/>
      <c r="S76" s="203">
        <f>SUM(S73:S75)</f>
        <v>2</v>
      </c>
      <c r="T76" s="159">
        <f>SUM(T73:T75)</f>
        <v>16513.050909090911</v>
      </c>
      <c r="U76" s="202"/>
      <c r="W76" s="213">
        <f>GETPIVOTDATA("Брой от име",$A$3,"група",6,"№ Вид машини",2,"Вид машини","Специални машини","наименование на групата","Понт машина")-M76-P76-S76</f>
        <v>7</v>
      </c>
      <c r="X76" s="219">
        <f>SUM(X73:X75)</f>
        <v>46165.356363636361</v>
      </c>
      <c r="Y76" s="145">
        <f>X76+T76+Q76+N76</f>
        <v>89674.559999999998</v>
      </c>
    </row>
    <row r="77" spans="1:25" ht="28.8" x14ac:dyDescent="0.3">
      <c r="A77" s="308"/>
      <c r="B77" s="308"/>
      <c r="C77" s="307">
        <v>8</v>
      </c>
      <c r="D77" s="307" t="s">
        <v>194</v>
      </c>
      <c r="E77" s="78" t="s">
        <v>1130</v>
      </c>
      <c r="F77" s="78" t="s">
        <v>1639</v>
      </c>
      <c r="G77" s="63">
        <v>1</v>
      </c>
      <c r="H77" s="102">
        <v>3200</v>
      </c>
      <c r="I77" s="145">
        <f>GETPIVOTDATA("Сума от Първоначална стойност",$A$3,"група",8,"№ Вид машини",2,"Вид машини","Специални машини","наименование на групата","Верижна машина","описание","двуиглова-двойноверижен зиг-заг","характеристики",)/GETPIVOTDATA("Брой от име",$A$3,"група",8,"№ Вид машини",2,"Вид машини","Специални машини","наименование на групата","Верижна машина","описание","двуиглова-двойноверижен зиг-заг","характеристики",)</f>
        <v>3200</v>
      </c>
      <c r="J77"/>
      <c r="K77" s="309" t="s">
        <v>194</v>
      </c>
      <c r="L77" s="100" t="s">
        <v>1130</v>
      </c>
      <c r="M77" s="91"/>
      <c r="N77" s="147"/>
      <c r="O77" s="92"/>
      <c r="P77" s="91"/>
      <c r="Q77" s="147"/>
      <c r="R77" s="92"/>
      <c r="S77" s="90"/>
      <c r="T77" s="147"/>
      <c r="U77" s="92"/>
      <c r="W77" s="212">
        <f>GETPIVOTDATA("Брой от име",$A$3,"група",8,"№ Вид машини",2,"Вид машини","Специални машини","наименование на групата","Верижна машина","описание","двуиглова-двойноверижен зиг-заг","характеристики",)-M77-P77-S77</f>
        <v>1</v>
      </c>
      <c r="X77" s="217">
        <f>W77*I77</f>
        <v>3200</v>
      </c>
    </row>
    <row r="78" spans="1:25" x14ac:dyDescent="0.3">
      <c r="A78" s="308"/>
      <c r="B78" s="308"/>
      <c r="C78" s="308"/>
      <c r="D78" s="308"/>
      <c r="E78" s="307" t="s">
        <v>1087</v>
      </c>
      <c r="F78" s="78" t="s">
        <v>1115</v>
      </c>
      <c r="G78" s="63">
        <v>2</v>
      </c>
      <c r="H78" s="102">
        <v>17867.599999999999</v>
      </c>
      <c r="I78" s="145">
        <f>GETPIVOTDATA("Сума от Първоначална стойност",$A$3,"група",8,"№ Вид машини",2,"Вид машини","Специални машини","наименование на групата","Верижна машина","описание","едноиглова","характеристики","рязане, заячка")/GETPIVOTDATA("Брой от име",$A$3,"група",8,"№ Вид машини",2,"Вид машини","Специални машини","наименование на групата","Верижна машина","описание","едноиглова","характеристики","рязане, заячка")</f>
        <v>8933.7999999999993</v>
      </c>
      <c r="J78"/>
      <c r="K78" s="309"/>
      <c r="L78" s="100" t="s">
        <v>1412</v>
      </c>
      <c r="M78" s="91">
        <v>1</v>
      </c>
      <c r="N78" s="149">
        <f>M78*I78</f>
        <v>8933.7999999999993</v>
      </c>
      <c r="O78" s="92"/>
      <c r="P78" s="91"/>
      <c r="Q78" s="147"/>
      <c r="R78" s="92"/>
      <c r="S78" s="90"/>
      <c r="T78" s="147"/>
      <c r="U78" s="92"/>
      <c r="W78" s="212">
        <f>GETPIVOTDATA("Брой от име",$A$3,"група",8,"№ Вид машини",2,"Вид машини","Специални машини","наименование на групата","Верижна машина","описание","едноиглова","характеристики","рязане, заячка")-M78-P78-S78</f>
        <v>1</v>
      </c>
      <c r="X78" s="217">
        <f t="shared" ref="X78:X86" si="5">W78*I78</f>
        <v>8933.7999999999993</v>
      </c>
    </row>
    <row r="79" spans="1:25" x14ac:dyDescent="0.3">
      <c r="A79" s="308"/>
      <c r="B79" s="308"/>
      <c r="C79" s="308"/>
      <c r="D79" s="308"/>
      <c r="E79" s="308"/>
      <c r="F79" s="78" t="s">
        <v>1229</v>
      </c>
      <c r="G79" s="63">
        <v>9</v>
      </c>
      <c r="H79" s="102">
        <v>80804.479999999996</v>
      </c>
      <c r="I79" s="145">
        <f>GETPIVOTDATA("Сума от Първоначална стойност",$A$3,"група",8,"№ Вид машини",2,"Вид машини","Специални машини","наименование на групата","Верижна машина","описание","едноиглова","характеристики","пулер, рязане")/GETPIVOTDATA("Брой от име",$A$3,"група",8,"№ Вид машини",2,"Вид машини","Специални машини","наименование на групата","Верижна машина","описание","едноиглова","характеристики","пулер, рязане")</f>
        <v>8978.2755555555559</v>
      </c>
      <c r="J79"/>
      <c r="K79" s="309"/>
      <c r="L79" s="100" t="s">
        <v>1413</v>
      </c>
      <c r="M79" s="91">
        <v>2</v>
      </c>
      <c r="N79" s="149">
        <f>M79*I79</f>
        <v>17956.551111111112</v>
      </c>
      <c r="O79" s="92"/>
      <c r="P79" s="91"/>
      <c r="Q79" s="147"/>
      <c r="R79" s="92"/>
      <c r="S79" s="90"/>
      <c r="T79" s="147"/>
      <c r="U79" s="92"/>
      <c r="W79" s="212">
        <f>GETPIVOTDATA("Брой от име",$A$3,"група",8,"№ Вид машини",2,"Вид машини","Специални машини","наименование на групата","Верижна машина","описание","едноиглова","характеристики","пулер, рязане")-M79-P79-S79</f>
        <v>7</v>
      </c>
      <c r="X79" s="217">
        <f t="shared" si="5"/>
        <v>62847.928888888891</v>
      </c>
    </row>
    <row r="80" spans="1:25" x14ac:dyDescent="0.3">
      <c r="A80" s="308"/>
      <c r="B80" s="308"/>
      <c r="C80" s="308"/>
      <c r="D80" s="308"/>
      <c r="E80" s="308"/>
      <c r="F80" s="78" t="s">
        <v>1233</v>
      </c>
      <c r="G80" s="63">
        <v>10</v>
      </c>
      <c r="H80" s="102">
        <v>124320.02</v>
      </c>
      <c r="I80" s="145">
        <f>GETPIVOTDATA("Сума от Първоначална стойност",$A$3,"група",8,"№ Вид машини",2,"Вид машини","Специални машини","наименование на групата","Верижна машина","описание","едноиглова","характеристики","рязане")/GETPIVOTDATA("Брой от име",$A$3,"група",8,"№ Вид машини",2,"Вид машини","Специални машини","наименование на групата","Верижна машина","описание","едноиглова","характеристики","рязане")</f>
        <v>12432.002</v>
      </c>
      <c r="J80"/>
      <c r="K80" s="309"/>
      <c r="L80" s="100" t="s">
        <v>1414</v>
      </c>
      <c r="M80" s="91">
        <v>1</v>
      </c>
      <c r="N80" s="149">
        <f>M80*I80</f>
        <v>12432.002</v>
      </c>
      <c r="O80" s="92"/>
      <c r="P80" s="91"/>
      <c r="Q80" s="147"/>
      <c r="R80" s="92"/>
      <c r="S80" s="90"/>
      <c r="T80" s="147"/>
      <c r="U80" s="92"/>
      <c r="W80" s="212">
        <f>GETPIVOTDATA("Брой от име",$A$3,"група",8,"№ Вид машини",2,"Вид машини","Специални машини","наименование на групата","Верижна машина","описание","едноиглова","характеристики","рязане")-M80-P80-S80</f>
        <v>9</v>
      </c>
      <c r="X80" s="217">
        <f t="shared" si="5"/>
        <v>111888.01800000001</v>
      </c>
    </row>
    <row r="81" spans="1:25" ht="57.6" x14ac:dyDescent="0.3">
      <c r="A81" s="308"/>
      <c r="B81" s="308"/>
      <c r="C81" s="308"/>
      <c r="D81" s="308"/>
      <c r="E81" s="78" t="s">
        <v>1121</v>
      </c>
      <c r="F81" s="78" t="s">
        <v>1115</v>
      </c>
      <c r="G81" s="63">
        <v>3</v>
      </c>
      <c r="H81" s="102">
        <v>86447.69</v>
      </c>
      <c r="I81" s="145">
        <f>GETPIVOTDATA("Сума от Първоначална стойност",$A$3,"група",8,"№ Вид машини",2,"Вид машини","Специални машини","наименование на групата","Верижна машина","описание","програмируема за набор и устройство за подаване на лизираща лента","характеристики","рязане, заячка")/GETPIVOTDATA("Брой от име",$A$3,"група",8,"№ Вид машини",2,"Вид машини","Специални машини","наименование на групата","Верижна машина","описание","програмируема за набор и устройство за подаване на лизираща лента","характеристики","рязане, заячка")</f>
        <v>28815.896666666667</v>
      </c>
      <c r="J81"/>
      <c r="K81" s="309"/>
      <c r="L81" s="100" t="s">
        <v>1415</v>
      </c>
      <c r="M81" s="91">
        <v>2</v>
      </c>
      <c r="N81" s="149">
        <f>M81*I81</f>
        <v>57631.793333333335</v>
      </c>
      <c r="O81" s="92"/>
      <c r="P81" s="91"/>
      <c r="Q81" s="147"/>
      <c r="R81" s="92"/>
      <c r="S81" s="90">
        <v>1</v>
      </c>
      <c r="T81" s="149">
        <f>S81*I81</f>
        <v>28815.896666666667</v>
      </c>
      <c r="U81" s="92"/>
      <c r="W81" s="212">
        <f>GETPIVOTDATA("Брой от име",$A$3,"група",8,"№ Вид машини",2,"Вид машини","Специални машини","наименование на групата","Верижна машина","описание","програмируема за набор и устройство за подаване на лизираща лента","характеристики","рязане, заячка")-M81-P81-S81</f>
        <v>0</v>
      </c>
      <c r="X81" s="217">
        <f t="shared" si="5"/>
        <v>0</v>
      </c>
    </row>
    <row r="82" spans="1:25" x14ac:dyDescent="0.3">
      <c r="A82" s="308"/>
      <c r="B82" s="308"/>
      <c r="C82" s="308"/>
      <c r="D82" s="308"/>
      <c r="E82" s="78" t="s">
        <v>1133</v>
      </c>
      <c r="F82" s="78" t="s">
        <v>1088</v>
      </c>
      <c r="G82" s="63">
        <v>6</v>
      </c>
      <c r="H82" s="102">
        <v>43290</v>
      </c>
      <c r="I82" s="145">
        <f>GETPIVOTDATA("Сума от Първоначална стойност",$A$3,"група",8,"№ Вид машини",2,"Вид машини","Специални машини","наименование на групата","Верижна машина","описание","трииглова  ","характеристики"," пулер")/GETPIVOTDATA("Брой от име",$A$3,"група",8,"№ Вид машини",2,"Вид машини","Специални машини","наименование на групата","Верижна машина","описание","трииглова  ","характеристики"," пулер")</f>
        <v>7215</v>
      </c>
      <c r="J82"/>
      <c r="K82" s="309"/>
      <c r="L82" s="100" t="s">
        <v>1416</v>
      </c>
      <c r="M82" s="91"/>
      <c r="N82" s="149"/>
      <c r="O82" s="92"/>
      <c r="P82" s="91">
        <v>2</v>
      </c>
      <c r="Q82" s="149">
        <f>P82*I82</f>
        <v>14430</v>
      </c>
      <c r="R82" s="92"/>
      <c r="S82" s="90"/>
      <c r="T82" s="147"/>
      <c r="U82" s="92"/>
      <c r="W82" s="212">
        <f>GETPIVOTDATA("Брой от име",$A$3,"група",8,"№ Вид машини",2,"Вид машини","Специални машини","наименование на групата","Верижна машина","описание","трииглова  ","характеристики"," пулер")-M82-P82-S82</f>
        <v>4</v>
      </c>
      <c r="X82" s="217">
        <f t="shared" si="5"/>
        <v>28860</v>
      </c>
    </row>
    <row r="83" spans="1:25" x14ac:dyDescent="0.3">
      <c r="A83" s="308"/>
      <c r="B83" s="308"/>
      <c r="C83" s="308"/>
      <c r="D83" s="308"/>
      <c r="E83" s="78" t="s">
        <v>1109</v>
      </c>
      <c r="F83" s="78" t="s">
        <v>1639</v>
      </c>
      <c r="G83" s="63">
        <v>3</v>
      </c>
      <c r="H83" s="102">
        <v>24636</v>
      </c>
      <c r="I83" s="145">
        <f>GETPIVOTDATA("Сума от Първоначална стойност",$A$3,"група",8,"№ Вид машини",2,"Вид машини","Специални машини","наименование на групата","Верижна машина","описание","трииглова П образна","характеристики",)/GETPIVOTDATA("Брой от име",$A$3,"група",8,"№ Вид машини",2,"Вид машини","Специални машини","наименование на групата","Верижна машина","описание","трииглова П образна","характеристики",)</f>
        <v>8212</v>
      </c>
      <c r="J83"/>
      <c r="K83" s="309"/>
      <c r="L83" s="100" t="s">
        <v>1109</v>
      </c>
      <c r="M83" s="91"/>
      <c r="N83" s="149"/>
      <c r="O83" s="92"/>
      <c r="P83" s="91"/>
      <c r="Q83" s="149"/>
      <c r="R83" s="92"/>
      <c r="S83" s="90"/>
      <c r="T83" s="147"/>
      <c r="U83" s="92"/>
      <c r="W83" s="212">
        <f>GETPIVOTDATA("Брой от име",$A$3,"група",8,"№ Вид машини",2,"Вид машини","Специални машини","наименование на групата","Верижна машина","описание","трииглова П образна","характеристики",)-M83-P83-S83</f>
        <v>3</v>
      </c>
      <c r="X83" s="217">
        <f t="shared" si="5"/>
        <v>24636</v>
      </c>
    </row>
    <row r="84" spans="1:25" x14ac:dyDescent="0.3">
      <c r="A84" s="308"/>
      <c r="B84" s="308"/>
      <c r="C84" s="308"/>
      <c r="D84" s="308"/>
      <c r="E84" s="78" t="s">
        <v>1128</v>
      </c>
      <c r="F84" s="78" t="s">
        <v>1639</v>
      </c>
      <c r="G84" s="63">
        <v>1</v>
      </c>
      <c r="H84" s="102">
        <v>5720</v>
      </c>
      <c r="I84" s="145">
        <f>GETPIVOTDATA("Сума от Първоначална стойност",$A$3,"група",8,"№ Вид машини",2,"Вид машини","Специални машини","наименование на групата","Верижна машина","описание","трииглова-седемконечна","характеристики",)/GETPIVOTDATA("Брой от име",$A$3,"група",8,"№ Вид машини",2,"Вид машини","Специални машини","наименование на групата","Верижна машина","описание","трииглова-седемконечна","характеристики",)</f>
        <v>5720</v>
      </c>
      <c r="J84"/>
      <c r="K84" s="309"/>
      <c r="L84" s="100" t="s">
        <v>1128</v>
      </c>
      <c r="M84" s="91"/>
      <c r="N84" s="149"/>
      <c r="O84" s="92"/>
      <c r="P84" s="91"/>
      <c r="Q84" s="149"/>
      <c r="R84" s="92"/>
      <c r="S84" s="90"/>
      <c r="T84" s="147"/>
      <c r="U84" s="92"/>
      <c r="W84" s="212">
        <f>GETPIVOTDATA("Брой от име",$A$3,"група",8,"№ Вид машини",2,"Вид машини","Специални машини","наименование на групата","Верижна машина","описание","трииглова-седемконечна","характеристики",)-M84-P84-R84</f>
        <v>1</v>
      </c>
      <c r="X84" s="217">
        <f t="shared" si="5"/>
        <v>5720</v>
      </c>
    </row>
    <row r="85" spans="1:25" ht="28.8" x14ac:dyDescent="0.3">
      <c r="A85" s="308"/>
      <c r="B85" s="308"/>
      <c r="C85" s="308"/>
      <c r="D85" s="308"/>
      <c r="E85" s="78" t="s">
        <v>1094</v>
      </c>
      <c r="F85" s="78" t="s">
        <v>1230</v>
      </c>
      <c r="G85" s="63">
        <v>1</v>
      </c>
      <c r="H85" s="102">
        <v>10464</v>
      </c>
      <c r="I85" s="145">
        <f>GETPIVOTDATA("Сума от Първоначална стойност",$A$3,"група",8,"№ Вид машини",2,"Вид машини","Специални машини","наименование на групата","Верижна машина","описание","четрииглова","характеристики","за колани тип дънки")/GETPIVOTDATA("Брой от име",$A$3,"група",8,"№ Вид машини",2,"Вид машини","Специални машини","наименование на групата","Верижна машина","описание","четрииглова","характеристики","за колани тип дънки")</f>
        <v>10464</v>
      </c>
      <c r="J85"/>
      <c r="K85" s="309"/>
      <c r="L85" s="100" t="s">
        <v>1417</v>
      </c>
      <c r="M85" s="91"/>
      <c r="N85" s="149"/>
      <c r="O85" s="92"/>
      <c r="P85" s="91"/>
      <c r="Q85" s="149"/>
      <c r="R85" s="92"/>
      <c r="S85" s="90"/>
      <c r="T85" s="147"/>
      <c r="U85" s="92"/>
      <c r="W85" s="212">
        <f>GETPIVOTDATA("Брой от име",$A$3,"група",8,"№ Вид машини",2,"Вид машини","Специални машини","наименование на групата","Верижна машина","описание","четрииглова","характеристики","за колани тип дънки")-M85-P85-S85</f>
        <v>1</v>
      </c>
      <c r="X85" s="217">
        <f t="shared" si="5"/>
        <v>10464</v>
      </c>
    </row>
    <row r="86" spans="1:25" ht="28.8" x14ac:dyDescent="0.3">
      <c r="A86" s="308"/>
      <c r="B86" s="308"/>
      <c r="C86" s="308"/>
      <c r="D86" s="308"/>
      <c r="E86" s="78" t="s">
        <v>1232</v>
      </c>
      <c r="F86" s="78" t="s">
        <v>1231</v>
      </c>
      <c r="G86" s="63">
        <v>1</v>
      </c>
      <c r="H86" s="102">
        <v>7041</v>
      </c>
      <c r="I86" s="145">
        <f>GETPIVOTDATA("Сума от Първоначална стойност",$A$3,"група",8,"№ Вид машини",2,"Вид машини","Специални машини","наименование на групата","Верижна машина","описание","двуиглова","характеристики","за седалищен шев")/GETPIVOTDATA("Брой от име",$A$3,"група",8,"№ Вид машини",2,"Вид машини","Специални машини","наименование на групата","Верижна машина","описание","двуиглова","характеристики","за седалищен шев")</f>
        <v>7041</v>
      </c>
      <c r="J86"/>
      <c r="K86" s="309"/>
      <c r="L86" s="100" t="s">
        <v>1418</v>
      </c>
      <c r="M86" s="91"/>
      <c r="N86" s="149"/>
      <c r="O86" s="92"/>
      <c r="P86" s="91">
        <v>1</v>
      </c>
      <c r="Q86" s="149">
        <f>P86*I86</f>
        <v>7041</v>
      </c>
      <c r="R86" s="92"/>
      <c r="S86" s="90"/>
      <c r="T86" s="147"/>
      <c r="U86" s="92"/>
      <c r="W86" s="212">
        <f>GETPIVOTDATA("Брой от име",$A$3,"група",8,"№ Вид машини",2,"Вид машини","Специални машини","наименование на групата","Верижна машина","описание","двуиглова","характеристики","за седалищен шев")-M86-P86-S86</f>
        <v>0</v>
      </c>
      <c r="X86" s="217">
        <f t="shared" si="5"/>
        <v>0</v>
      </c>
    </row>
    <row r="87" spans="1:25" ht="28.8" x14ac:dyDescent="0.3">
      <c r="A87" s="308"/>
      <c r="B87" s="308"/>
      <c r="C87" s="308"/>
      <c r="D87" s="307" t="s">
        <v>2027</v>
      </c>
      <c r="E87" s="308"/>
      <c r="F87" s="308"/>
      <c r="G87" s="63">
        <v>37</v>
      </c>
      <c r="H87" s="102">
        <v>403790.79</v>
      </c>
      <c r="I87" s="145"/>
      <c r="J87"/>
      <c r="K87" s="97" t="s">
        <v>194</v>
      </c>
      <c r="L87" s="101" t="e">
        <f>COUNTIF('Machine park -  BTB 24.04.26'!#REF!,$K87)</f>
        <v>#REF!</v>
      </c>
      <c r="M87" s="200">
        <f>SUM(M77:M86)</f>
        <v>6</v>
      </c>
      <c r="N87" s="159">
        <f>SUM(N77:N86)</f>
        <v>96954.146444444443</v>
      </c>
      <c r="O87" s="202"/>
      <c r="P87" s="200">
        <f>SUM(P77:P86)</f>
        <v>3</v>
      </c>
      <c r="Q87" s="159">
        <f>SUM(Q77:Q86)</f>
        <v>21471</v>
      </c>
      <c r="R87" s="202"/>
      <c r="S87" s="203">
        <f>SUM(S77:S86)</f>
        <v>1</v>
      </c>
      <c r="T87" s="159">
        <f>SUM(T77:T86)</f>
        <v>28815.896666666667</v>
      </c>
      <c r="U87" s="202"/>
      <c r="W87" s="213">
        <f>GETPIVOTDATA("Брой от име",$A$3,"група",8,"№ Вид машини",2,"Вид машини","Специални машини","наименование на групата","Верижна машина")-M87-P87-S87</f>
        <v>27</v>
      </c>
      <c r="X87" s="219">
        <f>SUM(X77:X86)</f>
        <v>256549.74688888888</v>
      </c>
      <c r="Y87" s="145">
        <f>X87+T87+Q87+N87</f>
        <v>403790.79</v>
      </c>
    </row>
    <row r="88" spans="1:25" x14ac:dyDescent="0.3">
      <c r="A88" s="308"/>
      <c r="B88" s="308"/>
      <c r="C88" s="307">
        <v>9</v>
      </c>
      <c r="D88" s="307" t="s">
        <v>195</v>
      </c>
      <c r="E88" s="307" t="s">
        <v>1062</v>
      </c>
      <c r="F88" s="78" t="s">
        <v>1236</v>
      </c>
      <c r="G88" s="63">
        <v>1</v>
      </c>
      <c r="H88" s="102">
        <v>5482</v>
      </c>
      <c r="I88" s="145">
        <f>GETPIVOTDATA("Сума от Първоначална стойност",$A$3,"група",9,"№ Вид машини",2,"Вид машини","Специални машини","наименование на групата","Пикир машина","описание","открит","характеристики","без рязане")/GETPIVOTDATA("Брой от име",$A$3,"група",9,"№ Вид машини",2,"Вид машини","Специални машини","наименование на групата","Пикир машина","описание","открит","характеристики","без рязане")</f>
        <v>5482</v>
      </c>
      <c r="J88"/>
      <c r="K88" s="309" t="s">
        <v>195</v>
      </c>
      <c r="L88" s="100" t="s">
        <v>1419</v>
      </c>
      <c r="M88" s="91"/>
      <c r="N88" s="149"/>
      <c r="O88" s="92"/>
      <c r="P88" s="91">
        <v>1</v>
      </c>
      <c r="Q88" s="149">
        <f>P88*I88</f>
        <v>5482</v>
      </c>
      <c r="R88" s="92"/>
      <c r="S88" s="90"/>
      <c r="T88" s="147"/>
      <c r="U88" s="92"/>
      <c r="W88" s="212">
        <f>GETPIVOTDATA("Брой от име",$A$3,"група",9,"№ Вид машини",2,"Вид машини","Специални машини","наименование на групата","Пикир машина","описание","открит","характеристики","без рязане")-M88-P88-S88</f>
        <v>0</v>
      </c>
      <c r="X88" s="217">
        <f>W88*I88</f>
        <v>0</v>
      </c>
    </row>
    <row r="89" spans="1:25" x14ac:dyDescent="0.3">
      <c r="A89" s="308"/>
      <c r="B89" s="308"/>
      <c r="C89" s="308"/>
      <c r="D89" s="308"/>
      <c r="E89" s="308"/>
      <c r="F89" s="78" t="s">
        <v>1239</v>
      </c>
      <c r="G89" s="63">
        <v>6</v>
      </c>
      <c r="H89" s="102">
        <v>43507.97</v>
      </c>
      <c r="I89" s="145">
        <f>GETPIVOTDATA("Сума от Първоначална стойност",$A$3,"група",9,"№ Вид машини",2,"Вид машини","Специални машини","наименование на групата","Пикир машина","описание","открит","характеристики","с рязане")/GETPIVOTDATA("Брой от име",$A$3,"група",9,"№ Вид машини",2,"Вид машини","Специални машини","наименование на групата","Пикир машина","описание","открит","характеристики","с рязане")</f>
        <v>7251.3283333333338</v>
      </c>
      <c r="J89"/>
      <c r="K89" s="309"/>
      <c r="L89" s="100" t="s">
        <v>1420</v>
      </c>
      <c r="M89" s="91"/>
      <c r="N89" s="149"/>
      <c r="O89" s="92"/>
      <c r="P89" s="91">
        <v>1</v>
      </c>
      <c r="Q89" s="149">
        <f t="shared" ref="Q89:Q98" si="6">P89*I89</f>
        <v>7251.3283333333338</v>
      </c>
      <c r="R89" s="92"/>
      <c r="S89" s="90">
        <v>1</v>
      </c>
      <c r="T89" s="149">
        <f>S89*I89</f>
        <v>7251.3283333333338</v>
      </c>
      <c r="U89" s="92"/>
      <c r="W89" s="212">
        <f>GETPIVOTDATA("Брой от име",$A$3,"група",9,"№ Вид машини",2,"Вид машини","Специални машини","наименование на групата","Пикир машина","описание","открит","характеристики","с рязане")-M89-P89-S89</f>
        <v>4</v>
      </c>
      <c r="X89" s="217">
        <f t="shared" ref="X89:X151" si="7">W89*I89</f>
        <v>29005.313333333335</v>
      </c>
    </row>
    <row r="90" spans="1:25" ht="28.8" x14ac:dyDescent="0.3">
      <c r="A90" s="308"/>
      <c r="B90" s="308"/>
      <c r="C90" s="308"/>
      <c r="D90" s="308"/>
      <c r="E90" s="78" t="s">
        <v>1111</v>
      </c>
      <c r="F90" s="78" t="s">
        <v>1238</v>
      </c>
      <c r="G90" s="63">
        <v>1</v>
      </c>
      <c r="H90" s="102">
        <v>12468.42</v>
      </c>
      <c r="I90" s="145">
        <f>GETPIVOTDATA("Сума от Първоначална стойност",$A$3,"група",9,"№ Вид машини",2,"Вид машини","Специални машини","наименование на групата","Пикир машина","описание","открит пикир за колани и подгъви","характеристики","ролков, с рязане")/GETPIVOTDATA("Брой от име",$A$3,"група",9,"№ Вид машини",2,"Вид машини","Специални машини","наименование на групата","Пикир машина","описание","открит пикир за колани и подгъви","характеристики","ролков, с рязане")</f>
        <v>12468.42</v>
      </c>
      <c r="J90"/>
      <c r="K90" s="309"/>
      <c r="L90" s="100" t="s">
        <v>1421</v>
      </c>
      <c r="M90" s="91">
        <v>1</v>
      </c>
      <c r="N90" s="149">
        <f>M90*I90</f>
        <v>12468.42</v>
      </c>
      <c r="O90" s="92"/>
      <c r="P90" s="91"/>
      <c r="Q90" s="149"/>
      <c r="R90" s="92"/>
      <c r="S90" s="90"/>
      <c r="T90" s="149"/>
      <c r="U90" s="92"/>
      <c r="W90" s="212">
        <f>GETPIVOTDATA("Брой от име",$A$3,"група",9,"№ Вид машини",2,"Вид машини","Специални машини","наименование на групата","Пикир машина","описание","открит пикир за колани и подгъви","характеристики","ролков, с рязане")-M90-P90-S90</f>
        <v>0</v>
      </c>
      <c r="X90" s="217">
        <f t="shared" si="7"/>
        <v>0</v>
      </c>
    </row>
    <row r="91" spans="1:25" ht="28.8" x14ac:dyDescent="0.3">
      <c r="A91" s="308"/>
      <c r="B91" s="308"/>
      <c r="C91" s="308"/>
      <c r="D91" s="308"/>
      <c r="E91" s="78" t="s">
        <v>1114</v>
      </c>
      <c r="F91" s="78" t="s">
        <v>1239</v>
      </c>
      <c r="G91" s="63">
        <v>1</v>
      </c>
      <c r="H91" s="102">
        <v>9564</v>
      </c>
      <c r="I91" s="145">
        <f>GETPIVOTDATA("Сума от Първоначална стойност",$A$3,"група",9,"№ Вид машини",2,"Вид машини","Специални машини","наименование на групата","Пикир машина","описание","открит пикир- лек клас","характеристики","с рязане")/GETPIVOTDATA("Брой от име",$A$3,"група",9,"№ Вид машини",2,"Вид машини","Специални машини","наименование на групата","Пикир машина","описание","открит пикир- лек клас","характеристики","с рязане")</f>
        <v>9564</v>
      </c>
      <c r="J91"/>
      <c r="K91" s="309"/>
      <c r="L91" s="100" t="s">
        <v>1422</v>
      </c>
      <c r="M91" s="91"/>
      <c r="N91" s="149"/>
      <c r="O91" s="92"/>
      <c r="P91" s="91"/>
      <c r="Q91" s="149"/>
      <c r="R91" s="92"/>
      <c r="S91" s="90">
        <v>1</v>
      </c>
      <c r="T91" s="149">
        <f>S91*I91</f>
        <v>9564</v>
      </c>
      <c r="U91" s="92"/>
      <c r="W91" s="212">
        <f>GETPIVOTDATA("Брой от име",$A$3,"група",9,"№ Вид машини",2,"Вид машини","Специални машини","наименование на групата","Пикир машина","описание","открит пикир- лек клас","характеристики","с рязане")-M91-P91-S91</f>
        <v>0</v>
      </c>
      <c r="X91" s="217">
        <f t="shared" si="7"/>
        <v>0</v>
      </c>
    </row>
    <row r="92" spans="1:25" ht="28.8" x14ac:dyDescent="0.3">
      <c r="A92" s="308"/>
      <c r="B92" s="308"/>
      <c r="C92" s="308"/>
      <c r="D92" s="308"/>
      <c r="E92" s="78" t="s">
        <v>1140</v>
      </c>
      <c r="F92" s="78" t="s">
        <v>1239</v>
      </c>
      <c r="G92" s="63">
        <v>1</v>
      </c>
      <c r="H92" s="102">
        <v>1845</v>
      </c>
      <c r="I92" s="145">
        <f>GETPIVOTDATA("Сума от Първоначална стойност",$A$3,"група",9,"№ Вид машини",2,"Вид машини","Специални машини","наименование на групата","Пикир машина","описание","открит пикир, тежък клас","характеристики","с рязане")/GETPIVOTDATA("Брой от име",$A$3,"група",9,"№ Вид машини",2,"Вид машини","Специални машини","наименование на групата","Пикир машина","описание","открит пикир, тежък клас","характеристики","с рязане")</f>
        <v>1845</v>
      </c>
      <c r="J92"/>
      <c r="K92" s="309"/>
      <c r="L92" s="100" t="s">
        <v>1423</v>
      </c>
      <c r="M92" s="91"/>
      <c r="N92" s="149"/>
      <c r="O92" s="92"/>
      <c r="P92" s="91">
        <v>1</v>
      </c>
      <c r="Q92" s="149">
        <f t="shared" si="6"/>
        <v>1845</v>
      </c>
      <c r="R92" s="92"/>
      <c r="S92" s="90"/>
      <c r="T92" s="147"/>
      <c r="U92" s="92"/>
      <c r="W92" s="212">
        <f>GETPIVOTDATA("Брой от име",$A$3,"група",9,"№ Вид машини",2,"Вид машини","Специални машини","наименование на групата","Пикир машина","описание","открит пикир, тежък клас","характеристики","с рязане")-M92-P92-S92</f>
        <v>0</v>
      </c>
      <c r="X92" s="217">
        <f t="shared" si="7"/>
        <v>0</v>
      </c>
    </row>
    <row r="93" spans="1:25" x14ac:dyDescent="0.3">
      <c r="A93" s="308"/>
      <c r="B93" s="308"/>
      <c r="C93" s="308"/>
      <c r="D93" s="308"/>
      <c r="E93" s="307" t="s">
        <v>1078</v>
      </c>
      <c r="F93" s="78" t="s">
        <v>1236</v>
      </c>
      <c r="G93" s="63">
        <v>1</v>
      </c>
      <c r="H93" s="102">
        <v>3126.57</v>
      </c>
      <c r="I93" s="145">
        <f>GETPIVOTDATA("Сума от Първоначална стойност",$A$3,"група",9,"№ Вид машини",2,"Вид машини","Специални машини","наименование на групата","Пикир машина","описание","скрит","характеристики","без рязане")/GETPIVOTDATA("Брой от име",$A$3,"група",9,"№ Вид машини",2,"Вид машини","Специални машини","наименование на групата","Пикир машина","описание","скрит","характеристики","без рязане")</f>
        <v>3126.57</v>
      </c>
      <c r="J93"/>
      <c r="K93" s="309"/>
      <c r="L93" s="100" t="s">
        <v>1424</v>
      </c>
      <c r="M93" s="91"/>
      <c r="N93" s="149"/>
      <c r="O93" s="92"/>
      <c r="P93" s="91"/>
      <c r="Q93" s="149"/>
      <c r="R93" s="92"/>
      <c r="S93" s="90"/>
      <c r="T93" s="147"/>
      <c r="U93" s="92"/>
      <c r="W93" s="212">
        <f>GETPIVOTDATA("Брой от име",$A$3,"група",9,"№ Вид машини",2,"Вид машини","Специални машини","наименование на групата","Пикир машина","описание","скрит","характеристики","без рязане")-M93-P93-S93</f>
        <v>1</v>
      </c>
      <c r="X93" s="217">
        <f t="shared" si="7"/>
        <v>3126.57</v>
      </c>
    </row>
    <row r="94" spans="1:25" x14ac:dyDescent="0.3">
      <c r="A94" s="308"/>
      <c r="B94" s="308"/>
      <c r="C94" s="308"/>
      <c r="D94" s="308"/>
      <c r="E94" s="308"/>
      <c r="F94" s="78" t="s">
        <v>1239</v>
      </c>
      <c r="G94" s="63">
        <v>11</v>
      </c>
      <c r="H94" s="102">
        <v>150742.80374999996</v>
      </c>
      <c r="I94" s="145">
        <f>GETPIVOTDATA("Сума от Първоначална стойност",$A$3,"група",9,"№ Вид машини",2,"Вид машини","Специални машини","наименование на групата","Пикир машина","описание","скрит","характеристики","с рязане")/GETPIVOTDATA("Брой от име",$A$3,"група",9,"№ Вид машини",2,"Вид машини","Специални машини","наименование на групата","Пикир машина","описание","скрит","характеристики","с рязане")</f>
        <v>13703.891249999997</v>
      </c>
      <c r="J94"/>
      <c r="K94" s="309"/>
      <c r="L94" s="100" t="s">
        <v>1425</v>
      </c>
      <c r="M94" s="91">
        <v>2</v>
      </c>
      <c r="N94" s="149">
        <f>M94*I94</f>
        <v>27407.782499999994</v>
      </c>
      <c r="O94" s="92"/>
      <c r="P94" s="91"/>
      <c r="Q94" s="149"/>
      <c r="R94" s="92"/>
      <c r="S94" s="90"/>
      <c r="T94" s="147"/>
      <c r="U94" s="92"/>
      <c r="W94" s="212">
        <f>GETPIVOTDATA("Брой от име",$A$3,"група",9,"№ Вид машини",2,"Вид машини","Специални машини","наименование на групата","Пикир машина","описание","скрит","характеристики","с рязане")-M94-P94-S94</f>
        <v>9</v>
      </c>
      <c r="X94" s="217">
        <f t="shared" si="7"/>
        <v>123335.02124999998</v>
      </c>
    </row>
    <row r="95" spans="1:25" x14ac:dyDescent="0.3">
      <c r="A95" s="308"/>
      <c r="B95" s="308"/>
      <c r="C95" s="308"/>
      <c r="D95" s="308"/>
      <c r="E95" s="78" t="s">
        <v>1143</v>
      </c>
      <c r="F95" s="78" t="s">
        <v>1239</v>
      </c>
      <c r="G95" s="63">
        <v>1</v>
      </c>
      <c r="H95" s="102">
        <v>17976</v>
      </c>
      <c r="I95" s="145">
        <f>GETPIVOTDATA("Сума от Първоначална стойност",$A$3,"група",9,"№ Вид машини",2,"Вид машини","Специални машини","наименование на групата","Пикир машина","описание","точков пикир","характеристики","с рязане")/GETPIVOTDATA("Брой от име",$A$3,"група",9,"№ Вид машини",2,"Вид машини","Специални машини","наименование на групата","Пикир машина","описание","точков пикир","характеристики","с рязане")</f>
        <v>17976</v>
      </c>
      <c r="J95"/>
      <c r="K95" s="309"/>
      <c r="L95" s="100" t="s">
        <v>1426</v>
      </c>
      <c r="M95" s="91">
        <v>1</v>
      </c>
      <c r="N95" s="149">
        <f>M95*I95</f>
        <v>17976</v>
      </c>
      <c r="O95" s="92" t="s">
        <v>1371</v>
      </c>
      <c r="P95" s="91"/>
      <c r="Q95" s="149"/>
      <c r="R95" s="92"/>
      <c r="S95" s="90"/>
      <c r="T95" s="147"/>
      <c r="U95" s="92"/>
      <c r="W95" s="212">
        <f>GETPIVOTDATA("Брой от име",$A$3,"група",9,"№ Вид машини",2,"Вид машини","Специални машини","наименование на групата","Пикир машина","описание","точков пикир","характеристики","с рязане")-M95-P95-S95</f>
        <v>0</v>
      </c>
      <c r="X95" s="217">
        <f t="shared" si="7"/>
        <v>0</v>
      </c>
    </row>
    <row r="96" spans="1:25" ht="28.8" x14ac:dyDescent="0.3">
      <c r="A96" s="308"/>
      <c r="B96" s="308"/>
      <c r="C96" s="308"/>
      <c r="D96" s="308"/>
      <c r="E96" s="78" t="s">
        <v>1237</v>
      </c>
      <c r="F96" s="78" t="s">
        <v>1236</v>
      </c>
      <c r="G96" s="63">
        <v>1</v>
      </c>
      <c r="H96" s="102">
        <v>26992</v>
      </c>
      <c r="I96" s="145">
        <f>GETPIVOTDATA("Сума от Първоначална стойност",$A$3,"група",9,"№ Вид машини",2,"Вид машини","Специални машини","наименование на групата","Пикир машина","описание","открит, станция за гладене","характеристики","без рязане")/GETPIVOTDATA("Брой от име",$A$3,"група",9,"№ Вид машини",2,"Вид машини","Специални машини","наименование на групата","Пикир машина","описание","открит, станция за гладене","характеристики","без рязане")</f>
        <v>26992</v>
      </c>
      <c r="J96"/>
      <c r="K96" s="309"/>
      <c r="L96" s="100" t="s">
        <v>1427</v>
      </c>
      <c r="M96" s="91"/>
      <c r="N96" s="149"/>
      <c r="O96" s="92"/>
      <c r="P96" s="91">
        <v>1</v>
      </c>
      <c r="Q96" s="149">
        <f t="shared" si="6"/>
        <v>26992</v>
      </c>
      <c r="R96" s="92" t="s">
        <v>1373</v>
      </c>
      <c r="S96" s="90"/>
      <c r="T96" s="147"/>
      <c r="U96" s="92"/>
      <c r="W96" s="212">
        <f>GETPIVOTDATA("Брой от име",$A$3,"група",9,"№ Вид машини",2,"Вид машини","Специални машини","наименование на групата","Пикир машина","описание","открит, станция за гладене","характеристики","без рязане")-M96-P96-S96</f>
        <v>0</v>
      </c>
      <c r="X96" s="217">
        <f t="shared" si="7"/>
        <v>0</v>
      </c>
    </row>
    <row r="97" spans="1:25" ht="28.8" x14ac:dyDescent="0.3">
      <c r="A97" s="308"/>
      <c r="B97" s="308"/>
      <c r="C97" s="308"/>
      <c r="D97" s="308"/>
      <c r="E97" s="78" t="s">
        <v>1235</v>
      </c>
      <c r="F97" s="78" t="s">
        <v>1236</v>
      </c>
      <c r="G97" s="63">
        <v>1</v>
      </c>
      <c r="H97" s="102">
        <v>8194.93</v>
      </c>
      <c r="I97" s="145">
        <f>GETPIVOTDATA("Сума от Първоначална стойност",$A$3,"група",9,"№ Вид машини",2,"Вид машини","Специални машини","наименование на групата","Пикир машина","описание","открит, за подгъв","характеристики","без рязане")/GETPIVOTDATA("Брой от име",$A$3,"група",9,"№ Вид машини",2,"Вид машини","Специални машини","наименование на групата","Пикир машина","описание","открит, за подгъв","характеристики","без рязане")</f>
        <v>8194.93</v>
      </c>
      <c r="J97"/>
      <c r="K97" s="309"/>
      <c r="L97" s="100" t="s">
        <v>1428</v>
      </c>
      <c r="M97" s="91"/>
      <c r="N97" s="149"/>
      <c r="O97" s="92"/>
      <c r="P97" s="91">
        <v>1</v>
      </c>
      <c r="Q97" s="149">
        <f t="shared" si="6"/>
        <v>8194.93</v>
      </c>
      <c r="R97" s="92"/>
      <c r="S97" s="90"/>
      <c r="T97" s="147"/>
      <c r="U97" s="92"/>
      <c r="W97" s="212">
        <f>GETPIVOTDATA("Брой от име",$A$3,"група",9,"№ Вид машини",2,"Вид машини","Специални машини","наименование на групата","Пикир машина","описание","открит, за подгъв","характеристики","без рязане")-M97-P97-S97</f>
        <v>0</v>
      </c>
      <c r="X97" s="217">
        <f t="shared" si="7"/>
        <v>0</v>
      </c>
    </row>
    <row r="98" spans="1:25" ht="28.8" x14ac:dyDescent="0.3">
      <c r="A98" s="308"/>
      <c r="B98" s="308"/>
      <c r="C98" s="308"/>
      <c r="D98" s="308"/>
      <c r="E98" s="78" t="s">
        <v>1234</v>
      </c>
      <c r="F98" s="78" t="s">
        <v>1236</v>
      </c>
      <c r="G98" s="63">
        <v>2</v>
      </c>
      <c r="H98" s="102">
        <v>1000</v>
      </c>
      <c r="I98" s="145">
        <f>GETPIVOTDATA("Сума от Първоначална стойност",$A$3,"група",9,"№ Вид машини",2,"Вид машини","Специални машини","наименование на групата","Пикир машина","описание","открит, домашен","характеристики","без рязане")/GETPIVOTDATA("Брой от име",$A$3,"група",9,"№ Вид машини",2,"Вид машини","Специални машини","наименование на групата","Пикир машина","описание","открит, домашен","характеристики","без рязане")</f>
        <v>500</v>
      </c>
      <c r="J98"/>
      <c r="K98" s="309"/>
      <c r="L98" s="100" t="s">
        <v>1429</v>
      </c>
      <c r="M98" s="91"/>
      <c r="N98" s="149"/>
      <c r="O98" s="92"/>
      <c r="P98" s="91">
        <v>1</v>
      </c>
      <c r="Q98" s="149">
        <f t="shared" si="6"/>
        <v>500</v>
      </c>
      <c r="R98" s="92" t="s">
        <v>1373</v>
      </c>
      <c r="S98" s="90"/>
      <c r="T98" s="147"/>
      <c r="U98" s="92"/>
      <c r="W98" s="212">
        <f>GETPIVOTDATA("Брой от име",$A$3,"група",9,"№ Вид машини",2,"Вид машини","Специални машини","наименование на групата","Пикир машина","описание","открит, домашен","характеристики","без рязане")-M98-P98-S98</f>
        <v>1</v>
      </c>
      <c r="X98" s="217">
        <f t="shared" si="7"/>
        <v>500</v>
      </c>
    </row>
    <row r="99" spans="1:25" x14ac:dyDescent="0.3">
      <c r="A99" s="308"/>
      <c r="B99" s="308"/>
      <c r="C99" s="308"/>
      <c r="D99" s="307" t="s">
        <v>2028</v>
      </c>
      <c r="E99" s="308"/>
      <c r="F99" s="308"/>
      <c r="G99" s="63">
        <v>27</v>
      </c>
      <c r="H99" s="102">
        <v>280899.69374999992</v>
      </c>
      <c r="I99" s="145"/>
      <c r="J99"/>
      <c r="K99" s="97" t="s">
        <v>195</v>
      </c>
      <c r="L99" s="101" t="e">
        <f>COUNTIF('Machine park -  BTB 24.04.26'!#REF!,$K99)</f>
        <v>#REF!</v>
      </c>
      <c r="M99" s="204">
        <f>SUM(M88:M98)</f>
        <v>4</v>
      </c>
      <c r="N99" s="161">
        <f>SUM(N88:N98)</f>
        <v>57852.202499999992</v>
      </c>
      <c r="O99" s="202"/>
      <c r="P99" s="200">
        <f>SUM(P88:P98)</f>
        <v>6</v>
      </c>
      <c r="Q99" s="159">
        <f>SUM(Q88:Q98)</f>
        <v>50265.258333333339</v>
      </c>
      <c r="R99" s="202"/>
      <c r="S99" s="203">
        <f>SUM(S88:S98)</f>
        <v>2</v>
      </c>
      <c r="T99" s="159">
        <f>SUM(T88:T98)</f>
        <v>16815.328333333335</v>
      </c>
      <c r="U99" s="95"/>
      <c r="W99" s="214">
        <f>GETPIVOTDATA("Брой от име",$A$3,"група",9,"№ Вид машини",2,"Вид машини","Специални машини","наименование на групата","Пикир машина")-M99-P99-S99</f>
        <v>15</v>
      </c>
      <c r="X99" s="219">
        <f>SUM(X88:X98)</f>
        <v>155966.90458333332</v>
      </c>
      <c r="Y99" s="145">
        <f>X99+T99+Q99+N99</f>
        <v>280899.69374999998</v>
      </c>
    </row>
    <row r="100" spans="1:25" x14ac:dyDescent="0.3">
      <c r="A100" s="308"/>
      <c r="B100" s="308"/>
      <c r="C100" s="307">
        <v>10</v>
      </c>
      <c r="D100" s="307" t="s">
        <v>43</v>
      </c>
      <c r="E100" s="307" t="s">
        <v>1064</v>
      </c>
      <c r="F100" s="78" t="s">
        <v>1085</v>
      </c>
      <c r="G100" s="63">
        <v>5</v>
      </c>
      <c r="H100" s="102">
        <v>160896</v>
      </c>
      <c r="I100" s="145">
        <f>GETPIVOTDATA("Сума от Първоначална стойност",$A$3,"група",10,"№ Вид машини",2,"Вид машини","Специални машини","наименование на групата","Илична машина","описание","илик - око","характеристики","2 конечена")/GETPIVOTDATA("Брой от име",$A$3,"група",10,"№ Вид машини",2,"Вид машини","Специални машини","наименование на групата","Илична машина","описание","илик - око","характеристики","2 конечена")</f>
        <v>32179.200000000001</v>
      </c>
      <c r="J100"/>
      <c r="K100" s="309" t="s">
        <v>43</v>
      </c>
      <c r="L100" s="100" t="s">
        <v>1430</v>
      </c>
      <c r="M100" s="91"/>
      <c r="N100" s="149"/>
      <c r="O100" s="92"/>
      <c r="P100" s="91">
        <v>1</v>
      </c>
      <c r="Q100" s="149">
        <f>P100*I100</f>
        <v>32179.200000000001</v>
      </c>
      <c r="R100" s="92" t="s">
        <v>1371</v>
      </c>
      <c r="S100" s="90"/>
      <c r="T100" s="147"/>
      <c r="U100" s="92"/>
      <c r="W100" s="212">
        <f>GETPIVOTDATA("Брой от име",$A$3,"група",10,"№ Вид машини",2,"Вид машини","Специални машини","наименование на групата","Илична машина","описание","илик - око","характеристики","2 конечена")-M100-P100-S100</f>
        <v>4</v>
      </c>
      <c r="X100" s="217">
        <f t="shared" si="7"/>
        <v>128716.8</v>
      </c>
    </row>
    <row r="101" spans="1:25" x14ac:dyDescent="0.3">
      <c r="A101" s="308"/>
      <c r="B101" s="308"/>
      <c r="C101" s="308"/>
      <c r="D101" s="308"/>
      <c r="E101" s="308"/>
      <c r="F101" s="78" t="s">
        <v>1065</v>
      </c>
      <c r="G101" s="63">
        <v>4</v>
      </c>
      <c r="H101" s="102">
        <v>76478</v>
      </c>
      <c r="I101" s="145">
        <f>GETPIVOTDATA("Сума от Първоначална стойност",$A$3,"група",10,"№ Вид машини",2,"Вид машини","Специални машини","наименование на групата","Илична машина","описание","илик - око","характеристики","3 конечна")/GETPIVOTDATA("Брой от име",$A$3,"група",10,"№ Вид машини",2,"Вид машини","Специални машини","наименование на групата","Илична машина","описание","илик - око","характеристики","3 конечна")</f>
        <v>19119.5</v>
      </c>
      <c r="J101"/>
      <c r="K101" s="309"/>
      <c r="L101" s="100" t="s">
        <v>1431</v>
      </c>
      <c r="M101" s="91">
        <v>2</v>
      </c>
      <c r="N101" s="149">
        <f>M101*I101</f>
        <v>38239</v>
      </c>
      <c r="O101" s="92"/>
      <c r="P101" s="91"/>
      <c r="Q101" s="149"/>
      <c r="R101" s="92"/>
      <c r="S101" s="90"/>
      <c r="T101" s="147"/>
      <c r="U101" s="92"/>
      <c r="W101" s="212">
        <f>GETPIVOTDATA("Брой от име",$A$3,"група",10,"№ Вид машини",2,"Вид машини","Специални машини","наименование на групата","Илична машина","описание","илик - око","характеристики","3 конечна")-M101-P101-S101</f>
        <v>2</v>
      </c>
      <c r="X101" s="217">
        <f t="shared" si="7"/>
        <v>38239</v>
      </c>
    </row>
    <row r="102" spans="1:25" x14ac:dyDescent="0.3">
      <c r="A102" s="308"/>
      <c r="B102" s="308"/>
      <c r="C102" s="308"/>
      <c r="D102" s="308"/>
      <c r="E102" s="78" t="s">
        <v>1119</v>
      </c>
      <c r="F102" s="78" t="s">
        <v>1085</v>
      </c>
      <c r="G102" s="63">
        <v>3</v>
      </c>
      <c r="H102" s="102">
        <v>23703</v>
      </c>
      <c r="I102" s="145">
        <f>GETPIVOTDATA("Сума от Първоначална стойност",$A$3,"група",10,"№ Вид машини",2,"Вид машини","Специални машини","наименование на групата","Илична машина","описание","прав илик","характеристики","2 конечена")/GETPIVOTDATA("Брой от име",$A$3,"група",10,"№ Вид машини",2,"Вид машини","Специални машини","наименование на групата","Илична машина","описание","прав илик","характеристики","2 конечена")</f>
        <v>7901</v>
      </c>
      <c r="J102"/>
      <c r="K102" s="309"/>
      <c r="L102" s="100" t="s">
        <v>1432</v>
      </c>
      <c r="M102" s="91"/>
      <c r="N102" s="149"/>
      <c r="O102" s="92"/>
      <c r="P102" s="91">
        <v>1</v>
      </c>
      <c r="Q102" s="149">
        <f>P102*I102</f>
        <v>7901</v>
      </c>
      <c r="R102" s="92" t="s">
        <v>1372</v>
      </c>
      <c r="S102" s="90">
        <v>2</v>
      </c>
      <c r="T102" s="149">
        <f>S102*I102</f>
        <v>15802</v>
      </c>
      <c r="U102" s="92"/>
      <c r="W102" s="212">
        <f>GETPIVOTDATA("Брой от име",$A$3,"група",10,"№ Вид машини",2,"Вид машини","Специални машини","наименование на групата","Илична машина","описание","прав илик","характеристики","2 конечена")-M102-P102-S102</f>
        <v>0</v>
      </c>
      <c r="X102" s="217">
        <f t="shared" si="7"/>
        <v>0</v>
      </c>
    </row>
    <row r="103" spans="1:25" ht="28.8" x14ac:dyDescent="0.3">
      <c r="A103" s="308"/>
      <c r="B103" s="308"/>
      <c r="C103" s="308"/>
      <c r="D103" s="308"/>
      <c r="E103" s="78" t="s">
        <v>1120</v>
      </c>
      <c r="F103" s="78" t="s">
        <v>1085</v>
      </c>
      <c r="G103" s="63">
        <v>1</v>
      </c>
      <c r="H103" s="102">
        <v>13299.65</v>
      </c>
      <c r="I103" s="145">
        <f>GETPIVOTDATA("Сума от Първоначална стойност",$A$3,"група",10,"№ Вид машини",2,"Вид машини","Специални машини","наименование на групата","Илична машина","описание","прав илик/въртяща глава","характеристики","2 конечена")/GETPIVOTDATA("Брой от име",$A$3,"група",10,"№ Вид машини",2,"Вид машини","Специални машини","наименование на групата","Илична машина","описание","прав илик/въртяща глава","характеристики","2 конечена")</f>
        <v>13299.65</v>
      </c>
      <c r="J103"/>
      <c r="K103" s="309"/>
      <c r="L103" s="100" t="s">
        <v>1433</v>
      </c>
      <c r="M103" s="91">
        <v>1</v>
      </c>
      <c r="N103" s="149">
        <f>M103*I103</f>
        <v>13299.65</v>
      </c>
      <c r="O103" s="92" t="s">
        <v>1371</v>
      </c>
      <c r="P103" s="91"/>
      <c r="Q103" s="149"/>
      <c r="R103" s="92"/>
      <c r="S103" s="90"/>
      <c r="T103" s="147"/>
      <c r="U103" s="92"/>
      <c r="W103" s="212">
        <f>GETPIVOTDATA("Брой от име",$A$3,"група",10,"№ Вид машини",2,"Вид машини","Специални машини","наименование на групата","Илична машина","описание","прав илик/въртяща глава","характеристики","2 конечена")-M103-P103-S103</f>
        <v>0</v>
      </c>
      <c r="X103" s="217">
        <f t="shared" si="7"/>
        <v>0</v>
      </c>
    </row>
    <row r="104" spans="1:25" x14ac:dyDescent="0.3">
      <c r="A104" s="308"/>
      <c r="B104" s="308"/>
      <c r="C104" s="308"/>
      <c r="D104" s="307" t="s">
        <v>2029</v>
      </c>
      <c r="E104" s="308"/>
      <c r="F104" s="308"/>
      <c r="G104" s="63">
        <v>13</v>
      </c>
      <c r="H104" s="102">
        <v>274376.65000000002</v>
      </c>
      <c r="I104" s="145"/>
      <c r="J104"/>
      <c r="K104" s="97" t="s">
        <v>43</v>
      </c>
      <c r="L104" s="101" t="e">
        <f>COUNTIF('Machine park -  BTB 24.04.26'!#REF!,$K104)</f>
        <v>#REF!</v>
      </c>
      <c r="M104" s="200">
        <f>SUM(M100:M103)</f>
        <v>3</v>
      </c>
      <c r="N104" s="182">
        <f>SUM(N100:N103)</f>
        <v>51538.65</v>
      </c>
      <c r="O104" s="205"/>
      <c r="P104" s="200">
        <f>SUM(P100:P103)</f>
        <v>2</v>
      </c>
      <c r="Q104" s="159">
        <f>SUM(Q100:Q103)</f>
        <v>40080.199999999997</v>
      </c>
      <c r="R104" s="202"/>
      <c r="S104" s="203">
        <f>SUM(S100:S103)</f>
        <v>2</v>
      </c>
      <c r="T104" s="159">
        <f>SUM(T100:T103)</f>
        <v>15802</v>
      </c>
      <c r="U104" s="202"/>
      <c r="W104" s="213">
        <f>GETPIVOTDATA("Брой от име",$A$3,"група",10,"№ Вид машини",2,"Вид машини","Специални машини","наименование на групата","Илична машина")-M104-P104-S104</f>
        <v>6</v>
      </c>
      <c r="X104" s="219">
        <f>SUM(X100:X103)</f>
        <v>166955.79999999999</v>
      </c>
      <c r="Y104" s="145">
        <f>X104+T104+Q104+N104</f>
        <v>274376.65000000002</v>
      </c>
    </row>
    <row r="105" spans="1:25" x14ac:dyDescent="0.3">
      <c r="A105" s="308"/>
      <c r="B105" s="308"/>
      <c r="C105" s="307">
        <v>12</v>
      </c>
      <c r="D105" s="307" t="s">
        <v>197</v>
      </c>
      <c r="E105" s="307" t="s">
        <v>1639</v>
      </c>
      <c r="F105" s="78" t="s">
        <v>1134</v>
      </c>
      <c r="G105" s="63">
        <v>3</v>
      </c>
      <c r="H105" s="102">
        <v>148646</v>
      </c>
      <c r="I105" s="145">
        <f>GETPIVOTDATA("Сума от Първоначална стойност",$A$3,"група",12,"№ Вид машини",2,"Вид машини","Специални машини","наименование на групата","Филет автомат","описание",,"характеристики","без изкл. на иглите")/GETPIVOTDATA("Брой от име",$A$3,"група",12,"№ Вид машини",2,"Вид машини","Специални машини","наименование на групата","Филет автомат","описание",,"характеристики","без изкл. на иглите")</f>
        <v>49548.666666666664</v>
      </c>
      <c r="J105"/>
      <c r="K105" s="309" t="s">
        <v>197</v>
      </c>
      <c r="L105" s="100" t="s">
        <v>1134</v>
      </c>
      <c r="M105" s="91"/>
      <c r="N105" s="149"/>
      <c r="O105" s="92"/>
      <c r="P105" s="91">
        <v>1</v>
      </c>
      <c r="Q105" s="149">
        <f>P105*I105</f>
        <v>49548.666666666664</v>
      </c>
      <c r="R105" s="92" t="s">
        <v>1371</v>
      </c>
      <c r="S105" s="90"/>
      <c r="T105" s="147"/>
      <c r="U105" s="92"/>
      <c r="W105" s="212">
        <f>GETPIVOTDATA("Брой от име",$A$3,"група",12,"№ Вид машини",2,"Вид машини","Специални машини","наименование на групата","Филет автомат","описание",,"характеристики","без изкл. на иглите")-M105-P105-S105</f>
        <v>2</v>
      </c>
      <c r="X105" s="217">
        <f t="shared" si="7"/>
        <v>99097.333333333328</v>
      </c>
    </row>
    <row r="106" spans="1:25" x14ac:dyDescent="0.3">
      <c r="A106" s="308"/>
      <c r="B106" s="308"/>
      <c r="C106" s="308"/>
      <c r="D106" s="308"/>
      <c r="E106" s="308"/>
      <c r="F106" s="78" t="s">
        <v>1082</v>
      </c>
      <c r="G106" s="63">
        <v>5</v>
      </c>
      <c r="H106" s="102">
        <v>277948.99</v>
      </c>
      <c r="I106" s="145">
        <f>GETPIVOTDATA("Сума от Първоначална стойност",$A$3,"група",12,"№ Вид машини",2,"Вид машини","Специални машини","наименование на групата","Филет автомат","описание",,"характеристики","с изкл. на иглите")/GETPIVOTDATA("Брой от име",$A$3,"група",12,"№ Вид машини",2,"Вид машини","Специални машини","наименование на групата","Филет автомат","описание",,"характеристики","с изкл. на иглите")</f>
        <v>55589.797999999995</v>
      </c>
      <c r="J106"/>
      <c r="K106" s="309"/>
      <c r="L106" s="100" t="s">
        <v>1082</v>
      </c>
      <c r="M106" s="91">
        <v>2</v>
      </c>
      <c r="N106" s="149">
        <f>M106*I106</f>
        <v>111179.59599999999</v>
      </c>
      <c r="O106" s="92"/>
      <c r="P106" s="91">
        <v>1</v>
      </c>
      <c r="Q106" s="149">
        <f>P106*I106</f>
        <v>55589.797999999995</v>
      </c>
      <c r="R106" s="92" t="s">
        <v>1371</v>
      </c>
      <c r="S106" s="90"/>
      <c r="T106" s="147"/>
      <c r="U106" s="92"/>
      <c r="W106" s="212">
        <f>GETPIVOTDATA("Брой от име",$A$3,"група",12,"№ Вид машини",2,"Вид машини","Специални машини","наименование на групата","Филет автомат","описание",,"характеристики","с изкл. на иглите")-M106-P106-S106</f>
        <v>2</v>
      </c>
      <c r="X106" s="217">
        <f t="shared" si="7"/>
        <v>111179.59599999999</v>
      </c>
    </row>
    <row r="107" spans="1:25" ht="28.8" x14ac:dyDescent="0.3">
      <c r="A107" s="308"/>
      <c r="B107" s="308"/>
      <c r="C107" s="308"/>
      <c r="D107" s="307" t="s">
        <v>2030</v>
      </c>
      <c r="E107" s="308"/>
      <c r="F107" s="308"/>
      <c r="G107" s="63">
        <v>8</v>
      </c>
      <c r="H107" s="102">
        <v>426594.99</v>
      </c>
      <c r="I107" s="145"/>
      <c r="J107"/>
      <c r="K107" s="97" t="s">
        <v>197</v>
      </c>
      <c r="L107" s="101" t="e">
        <f>COUNTIF('Machine park -  BTB 24.04.26'!#REF!,$K107)</f>
        <v>#REF!</v>
      </c>
      <c r="M107" s="200">
        <f>SUM(M105:M106)</f>
        <v>2</v>
      </c>
      <c r="N107" s="182">
        <f>N106</f>
        <v>111179.59599999999</v>
      </c>
      <c r="O107" s="205"/>
      <c r="P107" s="200">
        <f>SUM(P105:P106)</f>
        <v>2</v>
      </c>
      <c r="Q107" s="159">
        <f>SUM(Q105:Q106)</f>
        <v>105138.46466666667</v>
      </c>
      <c r="R107" s="202"/>
      <c r="S107" s="203">
        <f>SUM(S105:S106)</f>
        <v>0</v>
      </c>
      <c r="T107" s="201"/>
      <c r="U107" s="95"/>
      <c r="W107" s="213">
        <f>GETPIVOTDATA("Брой от име",$A$3,"група",12,"№ Вид машини",2,"Вид машини","Специални машини","наименование на групата","Филет автомат")-M107-P107-S107</f>
        <v>4</v>
      </c>
      <c r="X107" s="219">
        <f>SUM(X105:X106)</f>
        <v>210276.92933333333</v>
      </c>
      <c r="Y107" s="145">
        <f>N107+Q107+X107</f>
        <v>426594.99</v>
      </c>
    </row>
    <row r="108" spans="1:25" ht="28.8" x14ac:dyDescent="0.3">
      <c r="A108" s="308"/>
      <c r="B108" s="308"/>
      <c r="C108" s="307">
        <v>14</v>
      </c>
      <c r="D108" s="78" t="s">
        <v>199</v>
      </c>
      <c r="E108" s="78" t="s">
        <v>1639</v>
      </c>
      <c r="F108" s="78" t="s">
        <v>1639</v>
      </c>
      <c r="G108" s="63">
        <v>1</v>
      </c>
      <c r="H108" s="102">
        <v>55741</v>
      </c>
      <c r="I108" s="145">
        <f>GETPIVOTDATA("Сума от Първоначална стойност",$A$3,"група",14,"№ Вид машини",2,"Вид машини","Специални машини","наименование на групата","Автомат за свивки","описание",,"характеристики",)/GETPIVOTDATA("Брой от име",$A$3,"група",14,"№ Вид машини",2,"Вид машини","Специални машини","наименование на групата","Автомат за свивки","описание",,"характеристики",)</f>
        <v>55741</v>
      </c>
      <c r="J108"/>
      <c r="K108" s="98" t="s">
        <v>199</v>
      </c>
      <c r="L108" s="100"/>
      <c r="M108" s="91"/>
      <c r="N108" s="162"/>
      <c r="O108" s="92"/>
      <c r="P108" s="91">
        <v>1</v>
      </c>
      <c r="Q108" s="149">
        <f>P108*I108</f>
        <v>55741</v>
      </c>
      <c r="R108" s="92" t="s">
        <v>1372</v>
      </c>
      <c r="S108" s="90"/>
      <c r="T108" s="147"/>
      <c r="U108" s="92"/>
      <c r="W108" s="212">
        <f>GETPIVOTDATA("Брой от име",$A$3,"група",14,"№ Вид машини",2,"Вид машини","Специални машини","наименование на групата","Автомат за свивки","описание",,"характеристики",)-M108-P108-S108</f>
        <v>0</v>
      </c>
      <c r="X108" s="217">
        <f t="shared" si="7"/>
        <v>0</v>
      </c>
    </row>
    <row r="109" spans="1:25" ht="28.8" x14ac:dyDescent="0.3">
      <c r="A109" s="308"/>
      <c r="B109" s="308"/>
      <c r="C109" s="308"/>
      <c r="D109" s="307" t="s">
        <v>2031</v>
      </c>
      <c r="E109" s="308"/>
      <c r="F109" s="308"/>
      <c r="G109" s="63">
        <v>1</v>
      </c>
      <c r="H109" s="102">
        <v>55741</v>
      </c>
      <c r="I109" s="145"/>
      <c r="J109"/>
      <c r="K109" s="97" t="s">
        <v>199</v>
      </c>
      <c r="L109" s="101" t="e">
        <f>COUNTIF('Machine park -  BTB 24.04.26'!#REF!,$K109)</f>
        <v>#REF!</v>
      </c>
      <c r="M109" s="200">
        <f>M108</f>
        <v>0</v>
      </c>
      <c r="N109" s="206"/>
      <c r="O109" s="205"/>
      <c r="P109" s="200">
        <f>P108</f>
        <v>1</v>
      </c>
      <c r="Q109" s="159">
        <f>Q108</f>
        <v>55741</v>
      </c>
      <c r="R109" s="202"/>
      <c r="S109" s="203">
        <f>S108</f>
        <v>0</v>
      </c>
      <c r="T109" s="148"/>
      <c r="U109" s="95"/>
      <c r="W109" s="213">
        <f>GETPIVOTDATA("Брой от име",$A$3,"група",14,"№ Вид машини",2,"Вид машини","Специални машини","наименование на групата","Автомат за свивки")-M109-P109-S109</f>
        <v>0</v>
      </c>
      <c r="X109" s="219">
        <f>SUM(X108)</f>
        <v>0</v>
      </c>
    </row>
    <row r="110" spans="1:25" ht="43.2" x14ac:dyDescent="0.3">
      <c r="A110" s="308"/>
      <c r="B110" s="308"/>
      <c r="C110" s="307">
        <v>15</v>
      </c>
      <c r="D110" s="78" t="s">
        <v>200</v>
      </c>
      <c r="E110" s="78" t="s">
        <v>1639</v>
      </c>
      <c r="F110" s="78" t="s">
        <v>1639</v>
      </c>
      <c r="G110" s="63">
        <v>3</v>
      </c>
      <c r="H110" s="102">
        <v>67825</v>
      </c>
      <c r="I110" s="145">
        <f>GETPIVOTDATA("Сума от Първоначална стойност",$A$3,"група",15,"№ Вид машини",2,"Вид машини","Специални машини","наименование на групата","Машина за прикачане на подплънки","описание",,"характеристики",)/GETPIVOTDATA("Брой от име",$A$3,"група",15,"№ Вид машини",2,"Вид машини","Специални машини","наименование на групата","Машина за прикачане на подплънки","описание",,"характеристики",)</f>
        <v>22608.333333333332</v>
      </c>
      <c r="J110"/>
      <c r="K110" s="98" t="s">
        <v>200</v>
      </c>
      <c r="L110" s="100"/>
      <c r="M110" s="91">
        <v>1</v>
      </c>
      <c r="N110" s="149">
        <f>M110*I110</f>
        <v>22608.333333333332</v>
      </c>
      <c r="O110" s="92"/>
      <c r="P110" s="91"/>
      <c r="Q110" s="147"/>
      <c r="R110" s="92"/>
      <c r="S110" s="90"/>
      <c r="T110" s="147"/>
      <c r="U110" s="92"/>
      <c r="W110" s="212">
        <f>GETPIVOTDATA("Брой от име",$A$3,"група",15,"№ Вид машини",2,"Вид машини","Специални машини","наименование на групата","Машина за прикачане на подплънки","описание",,"характеристики",)-M110-P110-S110</f>
        <v>2</v>
      </c>
      <c r="X110" s="217">
        <f t="shared" si="7"/>
        <v>45216.666666666664</v>
      </c>
    </row>
    <row r="111" spans="1:25" ht="43.2" x14ac:dyDescent="0.3">
      <c r="A111" s="308"/>
      <c r="B111" s="308"/>
      <c r="C111" s="308"/>
      <c r="D111" s="307" t="s">
        <v>2032</v>
      </c>
      <c r="E111" s="308"/>
      <c r="F111" s="308"/>
      <c r="G111" s="63">
        <v>3</v>
      </c>
      <c r="H111" s="102">
        <v>67825</v>
      </c>
      <c r="I111" s="145"/>
      <c r="J111"/>
      <c r="K111" s="97" t="s">
        <v>200</v>
      </c>
      <c r="L111" s="101" t="e">
        <f>COUNTIF('Machine park -  BTB 24.04.26'!#REF!,$K111)</f>
        <v>#REF!</v>
      </c>
      <c r="M111" s="200">
        <f>M110</f>
        <v>1</v>
      </c>
      <c r="N111" s="182">
        <f>N110</f>
        <v>22608.333333333332</v>
      </c>
      <c r="O111" s="205"/>
      <c r="P111" s="200">
        <f>P110</f>
        <v>0</v>
      </c>
      <c r="Q111" s="201"/>
      <c r="R111" s="202"/>
      <c r="S111" s="203">
        <f>S110</f>
        <v>0</v>
      </c>
      <c r="T111" s="201"/>
      <c r="U111" s="95"/>
      <c r="W111" s="213">
        <f>GETPIVOTDATA("Брой от име",$A$3,"група",15,"№ Вид машини",2,"Вид машини","Специални машини","наименование на групата","Машина за прикачане на подплънки")-M111-P111-S111</f>
        <v>2</v>
      </c>
      <c r="X111" s="219">
        <f>SUM(X110)</f>
        <v>45216.666666666664</v>
      </c>
      <c r="Y111" s="145">
        <f>X111+T111+N111+Q111</f>
        <v>67825</v>
      </c>
    </row>
    <row r="112" spans="1:25" x14ac:dyDescent="0.3">
      <c r="A112" s="308"/>
      <c r="B112" s="308"/>
      <c r="C112" s="307">
        <v>21</v>
      </c>
      <c r="D112" s="307" t="s">
        <v>203</v>
      </c>
      <c r="E112" s="78" t="s">
        <v>1090</v>
      </c>
      <c r="F112" s="78" t="s">
        <v>1639</v>
      </c>
      <c r="G112" s="63">
        <v>1</v>
      </c>
      <c r="H112" s="102">
        <v>78233.2</v>
      </c>
      <c r="I112" s="145">
        <f>GETPIVOTDATA("Сума от Първоначална стойност",$A$3,"група",21,"№ Вид машини",2,"Вид машини","Специални машини","наименование на групата","CNC Cutter автоматизирана с-ма за кроене KURIS","описание","3см. настил","характеристики",)/GETPIVOTDATA("Брой от име",$A$3,"група",21,"№ Вид машини",2,"Вид машини","Специални машини","наименование на групата","CNC Cutter автоматизирана с-ма за кроене KURIS","описание","3см. настил","характеристики",)</f>
        <v>78233.2</v>
      </c>
      <c r="J112"/>
      <c r="K112" s="321" t="s">
        <v>203</v>
      </c>
      <c r="L112" s="100" t="s">
        <v>1090</v>
      </c>
      <c r="M112" s="91"/>
      <c r="N112" s="149"/>
      <c r="O112" s="92"/>
      <c r="P112" s="91"/>
      <c r="Q112" s="147"/>
      <c r="R112" s="92"/>
      <c r="S112" s="90"/>
      <c r="T112" s="147"/>
      <c r="U112" s="92"/>
      <c r="W112" s="212">
        <f>GETPIVOTDATA("Брой от име",$A$3,"група",21,"№ Вид машини",2,"Вид машини","Специални машини","наименование на групата","CNC Cutter автоматизирана с-ма за кроене KURIS","описание","3см. настил","характеристики",)-M112-P112-S112</f>
        <v>1</v>
      </c>
      <c r="X112" s="217">
        <f t="shared" si="7"/>
        <v>78233.2</v>
      </c>
    </row>
    <row r="113" spans="1:25" x14ac:dyDescent="0.3">
      <c r="A113" s="308"/>
      <c r="B113" s="308"/>
      <c r="C113" s="308"/>
      <c r="D113" s="308"/>
      <c r="E113" s="78" t="s">
        <v>1139</v>
      </c>
      <c r="F113" s="78" t="s">
        <v>1639</v>
      </c>
      <c r="G113" s="63">
        <v>1</v>
      </c>
      <c r="H113" s="102">
        <v>91470.26</v>
      </c>
      <c r="I113" s="145">
        <f>GETPIVOTDATA("Сума от Първоначална стойност",$A$3,"група",21,"№ Вид машини",2,"Вид машини","Специални машини","наименование на групата","CNC Cutter автоматизирана с-ма за кроене KURIS","описание","4,5см. настил","характеристики",)/GETPIVOTDATA("Брой от име",$A$3,"група",21,"№ Вид машини",2,"Вид машини","Специални машини","наименование на групата","CNC Cutter автоматизирана с-ма за кроене KURIS","описание","4,5см. настил","характеристики",)</f>
        <v>91470.26</v>
      </c>
      <c r="J113"/>
      <c r="K113" s="321"/>
      <c r="L113" s="152" t="s">
        <v>1139</v>
      </c>
      <c r="M113" s="153">
        <v>1</v>
      </c>
      <c r="N113" s="154">
        <f>M113*I113</f>
        <v>91470.26</v>
      </c>
      <c r="O113" s="92"/>
      <c r="P113" s="91"/>
      <c r="Q113" s="147"/>
      <c r="R113" s="92"/>
      <c r="S113" s="90"/>
      <c r="T113" s="147"/>
      <c r="U113" s="92"/>
      <c r="W113" s="212">
        <f>GETPIVOTDATA("Брой от име",$A$3,"група",21,"№ Вид машини",2,"Вид машини","Специални машини","наименование на групата","CNC Cutter автоматизирана с-ма за кроене KURIS","описание","4,5см. настил","характеристики",)-M113-P113-S113</f>
        <v>0</v>
      </c>
      <c r="X113" s="217">
        <f t="shared" si="7"/>
        <v>0</v>
      </c>
    </row>
    <row r="114" spans="1:25" x14ac:dyDescent="0.3">
      <c r="A114" s="308"/>
      <c r="B114" s="308"/>
      <c r="C114" s="308"/>
      <c r="D114" s="308"/>
      <c r="E114" s="78" t="s">
        <v>1079</v>
      </c>
      <c r="F114" s="78" t="s">
        <v>1639</v>
      </c>
      <c r="G114" s="63">
        <v>1</v>
      </c>
      <c r="H114" s="102">
        <v>276118</v>
      </c>
      <c r="I114" s="145">
        <f>GETPIVOTDATA("Сума от Първоначална стойност",$A$3,"група",21,"№ Вид машини",2,"Вид машини","Специални машини","наименование на групата","CNC Cutter автоматизирана с-ма за кроене KURIS","описание","7см. настил","характеристики",)/GETPIVOTDATA("Брой от име",$A$3,"група",21,"№ Вид машини",2,"Вид машини","Специални машини","наименование на групата","CNC Cutter автоматизирана с-ма за кроене KURIS","описание","7см. настил","характеристики",)</f>
        <v>276118</v>
      </c>
      <c r="J114"/>
      <c r="K114" s="321"/>
      <c r="L114" s="100" t="s">
        <v>1079</v>
      </c>
      <c r="M114" s="91"/>
      <c r="N114" s="149"/>
      <c r="O114" s="92"/>
      <c r="P114" s="91"/>
      <c r="Q114" s="147"/>
      <c r="R114" s="92"/>
      <c r="S114" s="90"/>
      <c r="T114" s="147"/>
      <c r="U114" s="92"/>
      <c r="W114" s="212">
        <f>GETPIVOTDATA("Брой от име",$A$3,"група",21,"№ Вид машини",2,"Вид машини","Специални машини","наименование на групата","CNC Cutter автоматизирана с-ма за кроене KURIS","описание","7см. настил","характеристики",)-M114-P114-S114</f>
        <v>1</v>
      </c>
      <c r="X114" s="217">
        <f t="shared" si="7"/>
        <v>276118</v>
      </c>
    </row>
    <row r="115" spans="1:25" ht="57.6" x14ac:dyDescent="0.3">
      <c r="A115" s="308"/>
      <c r="B115" s="308"/>
      <c r="C115" s="308"/>
      <c r="D115" s="307" t="s">
        <v>2033</v>
      </c>
      <c r="E115" s="308"/>
      <c r="F115" s="308"/>
      <c r="G115" s="63">
        <v>3</v>
      </c>
      <c r="H115" s="102">
        <v>445821.45999999996</v>
      </c>
      <c r="I115" s="145"/>
      <c r="J115"/>
      <c r="K115" s="97" t="s">
        <v>203</v>
      </c>
      <c r="L115" s="101" t="e">
        <f>COUNTIF('Machine park -  BTB 24.04.26'!#REF!,$K115)</f>
        <v>#REF!</v>
      </c>
      <c r="M115" s="200">
        <f>SUM(M112:M114)</f>
        <v>1</v>
      </c>
      <c r="N115" s="160">
        <f>SUM(N112:N114)</f>
        <v>91470.26</v>
      </c>
      <c r="O115" s="95"/>
      <c r="P115" s="94">
        <f>SUM(P112:P114)</f>
        <v>0</v>
      </c>
      <c r="Q115" s="148"/>
      <c r="R115" s="95"/>
      <c r="S115" s="93">
        <f>SUM(S112:S114)</f>
        <v>0</v>
      </c>
      <c r="T115" s="148"/>
      <c r="U115" s="95"/>
      <c r="W115" s="213">
        <f>GETPIVOTDATA("Брой от име",$A$3,"група",21,"№ Вид машини",2,"Вид машини","Специални машини","наименование на групата","CNC Cutter автоматизирана с-ма за кроене KURIS")-M115-P115-S115</f>
        <v>2</v>
      </c>
      <c r="X115" s="219">
        <f>SUM(X112:X114)</f>
        <v>354351.2</v>
      </c>
      <c r="Y115" s="145">
        <f>X115+T115+Q115+N115</f>
        <v>445821.46</v>
      </c>
    </row>
    <row r="116" spans="1:25" ht="28.8" x14ac:dyDescent="0.3">
      <c r="A116" s="308"/>
      <c r="B116" s="308"/>
      <c r="C116" s="307">
        <v>22</v>
      </c>
      <c r="D116" s="78" t="s">
        <v>7</v>
      </c>
      <c r="E116" s="78" t="s">
        <v>1071</v>
      </c>
      <c r="F116" s="78" t="s">
        <v>1639</v>
      </c>
      <c r="G116" s="63">
        <v>1</v>
      </c>
      <c r="H116" s="102">
        <v>113922.19</v>
      </c>
      <c r="I116" s="145">
        <f>GETPIVOTDATA("Сума от Първоначална стойност",$A$3,"група",22,"№ Вид машини",2,"Вид машини","Специални машини","наименование на групата","Кроялна система Bullmer","описание","настилъчна количка","характеристики",)/GETPIVOTDATA("Брой от име",$A$3,"група",22,"№ Вид машини",2,"Вид машини","Специални машини","наименование на групата","Кроялна система Bullmer","описание","настилъчна количка","характеристики",)</f>
        <v>113922.19</v>
      </c>
      <c r="J116"/>
      <c r="K116" s="155" t="s">
        <v>7</v>
      </c>
      <c r="L116" s="152" t="s">
        <v>1071</v>
      </c>
      <c r="M116" s="153">
        <v>1</v>
      </c>
      <c r="N116" s="154">
        <f>M116*I116</f>
        <v>113922.19</v>
      </c>
      <c r="O116" s="92"/>
      <c r="P116" s="91"/>
      <c r="Q116" s="147"/>
      <c r="R116" s="92"/>
      <c r="S116" s="90"/>
      <c r="T116" s="147"/>
      <c r="U116" s="92"/>
      <c r="W116" s="212">
        <f>GETPIVOTDATA("Брой от име",$A$3,"група",22,"№ Вид машини",2,"Вид машини","Специални машини","наименование на групата","Кроялна система Bullmer","описание","настилъчна количка","характеристики",)-M116-P116-S116</f>
        <v>0</v>
      </c>
      <c r="X116" s="217">
        <f t="shared" si="7"/>
        <v>0</v>
      </c>
    </row>
    <row r="117" spans="1:25" ht="36.6" customHeight="1" x14ac:dyDescent="0.3">
      <c r="A117" s="308"/>
      <c r="B117" s="308"/>
      <c r="C117" s="308"/>
      <c r="D117" s="307" t="s">
        <v>2034</v>
      </c>
      <c r="E117" s="308"/>
      <c r="F117" s="308"/>
      <c r="G117" s="63">
        <v>1</v>
      </c>
      <c r="H117" s="102">
        <v>113922.19</v>
      </c>
      <c r="I117" s="145"/>
      <c r="J117"/>
      <c r="K117" s="97" t="s">
        <v>7</v>
      </c>
      <c r="L117" s="101" t="e">
        <f>COUNTIF('Machine park -  BTB 24.04.26'!#REF!,$K117)</f>
        <v>#REF!</v>
      </c>
      <c r="M117" s="94">
        <f>M116</f>
        <v>1</v>
      </c>
      <c r="N117" s="160">
        <f>N116</f>
        <v>113922.19</v>
      </c>
      <c r="O117" s="95"/>
      <c r="P117" s="94">
        <f>P116</f>
        <v>0</v>
      </c>
      <c r="Q117" s="148"/>
      <c r="R117" s="95"/>
      <c r="S117" s="93">
        <f>S116</f>
        <v>0</v>
      </c>
      <c r="T117" s="148"/>
      <c r="U117" s="95"/>
      <c r="W117" s="213">
        <f>GETPIVOTDATA("Брой от име",$A$3,"група",22,"№ Вид машини",2,"Вид машини","Специални машини","наименование на групата","Кроялна система Bullmer")-M117-P117-S117</f>
        <v>0</v>
      </c>
      <c r="X117" s="219">
        <f>SUM(X116)</f>
        <v>0</v>
      </c>
    </row>
    <row r="118" spans="1:25" x14ac:dyDescent="0.3">
      <c r="A118" s="308"/>
      <c r="B118" s="308"/>
      <c r="C118" s="307">
        <v>27</v>
      </c>
      <c r="D118" s="78" t="s">
        <v>204</v>
      </c>
      <c r="E118" s="78" t="s">
        <v>1639</v>
      </c>
      <c r="F118" s="78" t="s">
        <v>1639</v>
      </c>
      <c r="G118" s="63">
        <v>7</v>
      </c>
      <c r="H118" s="102">
        <v>92154</v>
      </c>
      <c r="I118" s="145">
        <f>GETPIVOTDATA("Сума от Първоначална стойност",$A$3,"група",27,"№ Вид машини",2,"Вид машини","Специални машини","наименование на групата","Ръкавна машина ","описание",,"характеристики",)/GETPIVOTDATA("Брой от име",$A$3,"група",27,"№ Вид машини",2,"Вид машини","Специални машини","наименование на групата","Ръкавна машина ","описание",,"характеристики",)</f>
        <v>13164.857142857143</v>
      </c>
      <c r="J118"/>
      <c r="K118" s="98" t="s">
        <v>204</v>
      </c>
      <c r="L118" s="100"/>
      <c r="M118" s="91">
        <v>2</v>
      </c>
      <c r="N118" s="149">
        <f>M118*I118</f>
        <v>26329.714285714286</v>
      </c>
      <c r="O118" s="92"/>
      <c r="P118" s="91"/>
      <c r="Q118" s="147"/>
      <c r="R118" s="92"/>
      <c r="S118" s="90"/>
      <c r="T118" s="147"/>
      <c r="U118" s="92"/>
      <c r="W118" s="212">
        <f>GETPIVOTDATA("Брой от име",$A$3,"група",27,"№ Вид машини",2,"Вид машини","Специални машини","наименование на групата","Ръкавна машина ","описание",,"характеристики",)-M118-P118-S118</f>
        <v>5</v>
      </c>
      <c r="X118" s="217">
        <f t="shared" si="7"/>
        <v>65824.28571428571</v>
      </c>
    </row>
    <row r="119" spans="1:25" ht="28.8" x14ac:dyDescent="0.3">
      <c r="A119" s="308"/>
      <c r="B119" s="308"/>
      <c r="C119" s="308"/>
      <c r="D119" s="307" t="s">
        <v>2035</v>
      </c>
      <c r="E119" s="308"/>
      <c r="F119" s="308"/>
      <c r="G119" s="63">
        <v>7</v>
      </c>
      <c r="H119" s="102">
        <v>92154</v>
      </c>
      <c r="I119" s="145"/>
      <c r="J119"/>
      <c r="K119" s="97" t="s">
        <v>204</v>
      </c>
      <c r="L119" s="101" t="e">
        <f>COUNTIF('Machine park -  BTB 24.04.26'!#REF!,$K119)</f>
        <v>#REF!</v>
      </c>
      <c r="M119" s="94">
        <f>M118</f>
        <v>2</v>
      </c>
      <c r="N119" s="159">
        <f>N118</f>
        <v>26329.714285714286</v>
      </c>
      <c r="O119" s="95"/>
      <c r="P119" s="94">
        <f>P118</f>
        <v>0</v>
      </c>
      <c r="Q119" s="148"/>
      <c r="R119" s="95"/>
      <c r="S119" s="93">
        <f>S118</f>
        <v>0</v>
      </c>
      <c r="T119" s="148"/>
      <c r="U119" s="95"/>
      <c r="W119" s="213">
        <f>GETPIVOTDATA("Брой от име",$A$3,"група",27,"№ Вид машини",2,"Вид машини","Специални машини","наименование на групата","Ръкавна машина ")-M119-P119-S119</f>
        <v>5</v>
      </c>
      <c r="X119" s="219">
        <f>SUM(X118)</f>
        <v>65824.28571428571</v>
      </c>
      <c r="Y119" s="145">
        <f>X119+T119+Q119+N119</f>
        <v>92154</v>
      </c>
    </row>
    <row r="120" spans="1:25" x14ac:dyDescent="0.3">
      <c r="A120" s="308"/>
      <c r="B120" s="308"/>
      <c r="C120" s="307">
        <v>32</v>
      </c>
      <c r="D120" s="78" t="s">
        <v>209</v>
      </c>
      <c r="E120" s="78" t="s">
        <v>1326</v>
      </c>
      <c r="F120" s="78" t="s">
        <v>1639</v>
      </c>
      <c r="G120" s="63">
        <v>1</v>
      </c>
      <c r="H120" s="102">
        <v>28498</v>
      </c>
      <c r="I120" s="145">
        <f>GETPIVOTDATA("Сума от Първоначална стойност",$A$3,"група",32,"№ Вид машини",2,"Вид машини","Специални машини","наименование на групата","Автомат-Juki AMS","описание","работно поле 110-230 мм.","характеристики",)/GETPIVOTDATA("Брой от име",$A$3,"група",32,"№ Вид машини",2,"Вид машини","Специални машини","наименование на групата","Автомат-Juki AMS","описание","работно поле 110-230 мм.","характеристики",)</f>
        <v>28498</v>
      </c>
      <c r="J120"/>
      <c r="K120" s="98" t="s">
        <v>209</v>
      </c>
      <c r="L120" s="100" t="s">
        <v>1326</v>
      </c>
      <c r="M120" s="91">
        <v>1</v>
      </c>
      <c r="N120" s="149">
        <f>M120*I120</f>
        <v>28498</v>
      </c>
      <c r="O120" s="92"/>
      <c r="P120" s="91"/>
      <c r="Q120" s="147"/>
      <c r="R120" s="92"/>
      <c r="S120" s="90"/>
      <c r="T120" s="147"/>
      <c r="U120" s="92"/>
      <c r="W120" s="212">
        <f>GETPIVOTDATA("Брой от име",$A$3,"група",32,"№ Вид машини",2,"Вид машини","Специални машини","наименование на групата","Автомат-Juki AMS","описание","работно поле 110-230 мм.","характеристики",)-M120-P120-S120</f>
        <v>0</v>
      </c>
      <c r="X120" s="217">
        <f t="shared" si="7"/>
        <v>0</v>
      </c>
    </row>
    <row r="121" spans="1:25" ht="28.8" x14ac:dyDescent="0.3">
      <c r="A121" s="308"/>
      <c r="B121" s="308"/>
      <c r="C121" s="308"/>
      <c r="D121" s="307" t="s">
        <v>2036</v>
      </c>
      <c r="E121" s="308"/>
      <c r="F121" s="308"/>
      <c r="G121" s="63">
        <v>1</v>
      </c>
      <c r="H121" s="102">
        <v>28498</v>
      </c>
      <c r="I121" s="145"/>
      <c r="J121"/>
      <c r="K121" s="97" t="s">
        <v>209</v>
      </c>
      <c r="L121" s="101" t="e">
        <f>COUNTIF('Machine park -  BTB 24.04.26'!#REF!,$K121)</f>
        <v>#REF!</v>
      </c>
      <c r="M121" s="94">
        <f>M120</f>
        <v>1</v>
      </c>
      <c r="N121" s="159">
        <f>N120</f>
        <v>28498</v>
      </c>
      <c r="O121" s="95"/>
      <c r="P121" s="94">
        <f>P120</f>
        <v>0</v>
      </c>
      <c r="Q121" s="148"/>
      <c r="R121" s="95"/>
      <c r="S121" s="93">
        <f>S120</f>
        <v>0</v>
      </c>
      <c r="T121" s="148"/>
      <c r="U121" s="95"/>
      <c r="W121" s="213">
        <f>GETPIVOTDATA("Брой от име",$A$3,"група",32,"№ Вид машини",2,"Вид машини","Специални машини","наименование на групата","Автомат-Juki AMS")-M121-P121-S121</f>
        <v>0</v>
      </c>
      <c r="X121" s="219">
        <f>SUM(X120)</f>
        <v>0</v>
      </c>
    </row>
    <row r="122" spans="1:25" ht="28.8" x14ac:dyDescent="0.3">
      <c r="A122" s="308"/>
      <c r="B122" s="308"/>
      <c r="C122" s="307">
        <v>42</v>
      </c>
      <c r="D122" s="307" t="s">
        <v>233</v>
      </c>
      <c r="E122" s="307" t="s">
        <v>1323</v>
      </c>
      <c r="F122" s="78" t="s">
        <v>1126</v>
      </c>
      <c r="G122" s="63">
        <v>12</v>
      </c>
      <c r="H122" s="102">
        <v>209475.79</v>
      </c>
      <c r="I122" s="145">
        <f>GETPIVOTDATA("Сума от Първоначална стойност",$A$3,"група",42,"№ Вид машини",2,"Вид машини","Специални машини","наименование на групата","Шевни машини с дълго рамо","описание","работно поле 900 м х 1300 мм","характеристики","лазерно рязане")/GETPIVOTDATA("Брой от име",$A$3,"група",42,"№ Вид машини",2,"Вид машини","Специални машини","наименование на групата","Шевни машини с дълго рамо","описание","работно поле 900 м х 1300 мм","характеристики","лазерно рязане")</f>
        <v>17456.315833333334</v>
      </c>
      <c r="J122"/>
      <c r="K122" s="309" t="s">
        <v>233</v>
      </c>
      <c r="L122" s="100" t="s">
        <v>1434</v>
      </c>
      <c r="M122" s="91">
        <v>3</v>
      </c>
      <c r="N122" s="149">
        <f>M122*I122</f>
        <v>52368.947500000002</v>
      </c>
      <c r="O122" s="92"/>
      <c r="P122" s="91"/>
      <c r="Q122" s="147"/>
      <c r="R122" s="92"/>
      <c r="S122" s="90"/>
      <c r="T122" s="147"/>
      <c r="U122" s="92"/>
      <c r="W122" s="212">
        <f>GETPIVOTDATA("Брой от име",$A$3,"група",42,"№ Вид машини",2,"Вид машини","Специални машини","наименование на групата","Шевни машини с дълго рамо","описание","работно поле 900 м х 1300 мм","характеристики","лазерно рязане")-M122-P122-S122</f>
        <v>9</v>
      </c>
      <c r="X122" s="217">
        <f t="shared" si="7"/>
        <v>157106.8425</v>
      </c>
    </row>
    <row r="123" spans="1:25" ht="28.8" x14ac:dyDescent="0.3">
      <c r="A123" s="308"/>
      <c r="B123" s="308"/>
      <c r="C123" s="308"/>
      <c r="D123" s="308"/>
      <c r="E123" s="308"/>
      <c r="F123" s="78" t="s">
        <v>1236</v>
      </c>
      <c r="G123" s="63">
        <v>1</v>
      </c>
      <c r="H123" s="102">
        <v>15016.31</v>
      </c>
      <c r="I123" s="145">
        <f>GETPIVOTDATA("Сума от Първоначална стойност",$A$3,"група",42,"№ Вид машини",2,"Вид машини","Специални машини","наименование на групата","Шевни машини с дълго рамо","описание","работно поле 900 м х 1300 мм","характеристики","без рязане")/GETPIVOTDATA("Брой от име",$A$3,"група",42,"№ Вид машини",2,"Вид машини","Специални машини","наименование на групата","Шевни машини с дълго рамо","описание","работно поле 900 м х 1300 мм","характеристики","без рязане")</f>
        <v>15016.31</v>
      </c>
      <c r="J123"/>
      <c r="K123" s="309"/>
      <c r="L123" s="100" t="s">
        <v>1435</v>
      </c>
      <c r="M123" s="91"/>
      <c r="N123" s="147"/>
      <c r="O123" s="92"/>
      <c r="P123" s="91"/>
      <c r="Q123" s="147"/>
      <c r="R123" s="92"/>
      <c r="S123" s="90"/>
      <c r="T123" s="147"/>
      <c r="U123" s="92"/>
      <c r="W123" s="212">
        <f>GETPIVOTDATA("Брой от име",$A$3,"група",42,"№ Вид машини",2,"Вид машини","Специални машини","наименование на групата","Шевни машини с дълго рамо","описание","работно поле 900 м х 1300 мм","характеристики","без рязане")-M123-P123-S123</f>
        <v>1</v>
      </c>
      <c r="X123" s="217">
        <f t="shared" si="7"/>
        <v>15016.31</v>
      </c>
    </row>
    <row r="124" spans="1:25" ht="28.8" x14ac:dyDescent="0.3">
      <c r="A124" s="308"/>
      <c r="B124" s="308"/>
      <c r="C124" s="308"/>
      <c r="D124" s="307" t="s">
        <v>2037</v>
      </c>
      <c r="E124" s="308"/>
      <c r="F124" s="308"/>
      <c r="G124" s="63">
        <v>13</v>
      </c>
      <c r="H124" s="102">
        <v>224492.1</v>
      </c>
      <c r="I124" s="145"/>
      <c r="J124"/>
      <c r="K124" s="97" t="s">
        <v>233</v>
      </c>
      <c r="L124" s="101" t="e">
        <f>COUNTIF('Machine park -  BTB 24.04.26'!#REF!,$K124)</f>
        <v>#REF!</v>
      </c>
      <c r="M124" s="94">
        <f>SUM(M122:M123)</f>
        <v>3</v>
      </c>
      <c r="N124" s="159">
        <f>SUM(N122:N123)</f>
        <v>52368.947500000002</v>
      </c>
      <c r="O124" s="95"/>
      <c r="P124" s="94">
        <f>SUM(P122:P123)</f>
        <v>0</v>
      </c>
      <c r="Q124" s="148"/>
      <c r="R124" s="95"/>
      <c r="S124" s="93">
        <f>SUM(S122:S123)</f>
        <v>0</v>
      </c>
      <c r="T124" s="148"/>
      <c r="U124" s="95"/>
      <c r="W124" s="213">
        <f>GETPIVOTDATA("Брой от име",$A$3,"група",42,"№ Вид машини",2,"Вид машини","Специални машини","наименование на групата","Шевни машини с дълго рамо")-M124-P124-S124</f>
        <v>10</v>
      </c>
      <c r="X124" s="219">
        <f>SUM(X122:X123)</f>
        <v>172123.1525</v>
      </c>
      <c r="Y124" s="145">
        <f>X124+T124+Q124+N124</f>
        <v>224492.1</v>
      </c>
    </row>
    <row r="125" spans="1:25" ht="43.2" x14ac:dyDescent="0.3">
      <c r="A125" s="308"/>
      <c r="B125" s="308"/>
      <c r="C125" s="307">
        <v>50</v>
      </c>
      <c r="D125" s="78" t="s">
        <v>588</v>
      </c>
      <c r="E125" s="78" t="s">
        <v>1639</v>
      </c>
      <c r="F125" s="78" t="s">
        <v>1639</v>
      </c>
      <c r="G125" s="63">
        <v>1</v>
      </c>
      <c r="H125" s="102">
        <v>1720</v>
      </c>
      <c r="I125" s="145">
        <f>GETPIVOTDATA("Сума от Първоначална стойност",$A$3,"група",50,"№ Вид машини",2,"Вид машини","Специални машини","наименование на групата","Машина за почистване на конци","описание",,"характеристики",)/GETPIVOTDATA("Брой от име",$A$3,"група",50,"№ Вид машини",2,"Вид машини","Специални машини","наименование на групата","Машина за почистване на конци","описание",,"характеристики",)</f>
        <v>1720</v>
      </c>
      <c r="J125"/>
      <c r="K125" s="98" t="s">
        <v>588</v>
      </c>
      <c r="L125" s="100"/>
      <c r="M125" s="91"/>
      <c r="N125" s="147"/>
      <c r="O125" s="92"/>
      <c r="P125" s="91"/>
      <c r="Q125" s="147"/>
      <c r="R125" s="92"/>
      <c r="S125" s="90"/>
      <c r="T125" s="147"/>
      <c r="U125" s="92"/>
      <c r="W125" s="212">
        <f>GETPIVOTDATA("Брой от име",$A$3,"група",50,"№ Вид машини",2,"Вид машини","Специални машини","наименование на групата","Машина за почистване на конци","описание",,"характеристики",)-M125-P125-S125</f>
        <v>1</v>
      </c>
      <c r="X125" s="217">
        <f t="shared" si="7"/>
        <v>1720</v>
      </c>
    </row>
    <row r="126" spans="1:25" ht="43.2" x14ac:dyDescent="0.3">
      <c r="A126" s="308"/>
      <c r="B126" s="308"/>
      <c r="C126" s="308"/>
      <c r="D126" s="307" t="s">
        <v>2038</v>
      </c>
      <c r="E126" s="308"/>
      <c r="F126" s="308"/>
      <c r="G126" s="63">
        <v>1</v>
      </c>
      <c r="H126" s="102">
        <v>1720</v>
      </c>
      <c r="I126" s="145"/>
      <c r="J126"/>
      <c r="K126" s="97" t="s">
        <v>588</v>
      </c>
      <c r="L126" s="101" t="e">
        <f>COUNTIF('Machine park -  BTB 24.04.26'!#REF!,$K126)</f>
        <v>#REF!</v>
      </c>
      <c r="M126" s="94">
        <f>M125</f>
        <v>0</v>
      </c>
      <c r="N126" s="148"/>
      <c r="O126" s="95"/>
      <c r="P126" s="94">
        <f>P125</f>
        <v>0</v>
      </c>
      <c r="Q126" s="148"/>
      <c r="R126" s="95"/>
      <c r="S126" s="93">
        <f>S125</f>
        <v>0</v>
      </c>
      <c r="T126" s="148"/>
      <c r="U126" s="95"/>
      <c r="W126" s="213">
        <f>GETPIVOTDATA("Брой от име",$A$3,"група",50,"№ Вид машини",2,"Вид машини","Специални машини","наименование на групата","Машина за почистване на конци")-M126-P126-S126</f>
        <v>1</v>
      </c>
      <c r="X126" s="219">
        <f>SUM(X125)</f>
        <v>1720</v>
      </c>
      <c r="Y126" s="145">
        <f>X126+T126+Q126+N126</f>
        <v>1720</v>
      </c>
    </row>
    <row r="127" spans="1:25" x14ac:dyDescent="0.3">
      <c r="A127" s="307">
        <v>3</v>
      </c>
      <c r="B127" s="307" t="s">
        <v>1058</v>
      </c>
      <c r="C127" s="307">
        <v>3</v>
      </c>
      <c r="D127" s="307" t="s">
        <v>192</v>
      </c>
      <c r="E127" s="307" t="s">
        <v>1639</v>
      </c>
      <c r="F127" s="78" t="s">
        <v>1088</v>
      </c>
      <c r="G127" s="63">
        <v>1</v>
      </c>
      <c r="H127" s="102">
        <v>8968</v>
      </c>
      <c r="I127" s="145">
        <f>GETPIVOTDATA("Сума от Първоначална стойност",$A$3,"група",3,"№ Вид машини",3,"Вид машини","Асортиментни машини","наименование на групата","Двуиглова права машина","описание",,"характеристики"," пулер")/GETPIVOTDATA("Брой от име",$A$3,"група",3,"№ Вид машини",3,"Вид машини","Асортиментни машини","наименование на групата","Двуиглова права машина","описание",,"характеристики"," пулер")</f>
        <v>8968</v>
      </c>
      <c r="J127"/>
      <c r="K127" s="309" t="s">
        <v>192</v>
      </c>
      <c r="L127" s="100" t="s">
        <v>1088</v>
      </c>
      <c r="M127" s="91">
        <v>1</v>
      </c>
      <c r="N127" s="149">
        <f>M127*I127</f>
        <v>8968</v>
      </c>
      <c r="O127" s="92"/>
      <c r="P127" s="91"/>
      <c r="Q127" s="147"/>
      <c r="R127" s="92"/>
      <c r="S127" s="90"/>
      <c r="T127" s="147"/>
      <c r="U127" s="92"/>
      <c r="W127" s="212">
        <f>GETPIVOTDATA("Брой от име",$A$3,"група",3,"№ Вид машини",3,"Вид машини","Асортиментни машини","наименование на групата","Двуиглова права машина","описание",,"характеристики"," пулер")-M127-P127-S127</f>
        <v>0</v>
      </c>
      <c r="X127" s="217">
        <f t="shared" si="7"/>
        <v>0</v>
      </c>
    </row>
    <row r="128" spans="1:25" x14ac:dyDescent="0.3">
      <c r="A128" s="308"/>
      <c r="B128" s="308"/>
      <c r="C128" s="308"/>
      <c r="D128" s="308"/>
      <c r="E128" s="308"/>
      <c r="F128" s="78" t="s">
        <v>1639</v>
      </c>
      <c r="G128" s="63">
        <v>14</v>
      </c>
      <c r="H128" s="102">
        <v>132014</v>
      </c>
      <c r="I128" s="145">
        <f>GETPIVOTDATA("Сума от Първоначална стойност",$A$3,"група",3,"№ Вид машини",3,"Вид машини","Асортиментни машини","наименование на групата","Двуиглова права машина","описание",,"характеристики",)/GETPIVOTDATA("Брой от име",$A$3,"група",3,"№ Вид машини",3,"Вид машини","Асортиментни машини","наименование на групата","Двуиглова права машина","описание",,"характеристики",)</f>
        <v>9429.5714285714294</v>
      </c>
      <c r="J128"/>
      <c r="K128" s="309"/>
      <c r="L128" s="100"/>
      <c r="M128" s="91">
        <v>2</v>
      </c>
      <c r="N128" s="149">
        <f>M128*I128</f>
        <v>18859.142857142859</v>
      </c>
      <c r="O128" s="92"/>
      <c r="P128" s="91">
        <v>2</v>
      </c>
      <c r="Q128" s="149">
        <f>P128*I128</f>
        <v>18859.142857142859</v>
      </c>
      <c r="R128" s="92"/>
      <c r="S128" s="90">
        <v>1</v>
      </c>
      <c r="T128" s="149">
        <f>S128*I128</f>
        <v>9429.5714285714294</v>
      </c>
      <c r="U128" s="92"/>
      <c r="W128" s="212">
        <f>GETPIVOTDATA("Брой от име",$A$3,"група",3,"№ Вид машини",3,"Вид машини","Асортиментни машини","наименование на групата","Двуиглова права машина","описание",,"характеристики",)-M128-P128-S128</f>
        <v>9</v>
      </c>
      <c r="X128" s="217">
        <f t="shared" si="7"/>
        <v>84866.14285714287</v>
      </c>
    </row>
    <row r="129" spans="1:25" ht="28.8" x14ac:dyDescent="0.3">
      <c r="A129" s="308"/>
      <c r="B129" s="308"/>
      <c r="C129" s="308"/>
      <c r="D129" s="307" t="s">
        <v>2039</v>
      </c>
      <c r="E129" s="308"/>
      <c r="F129" s="308"/>
      <c r="G129" s="63">
        <v>15</v>
      </c>
      <c r="H129" s="102">
        <v>140982</v>
      </c>
      <c r="I129" s="145"/>
      <c r="J129"/>
      <c r="K129" s="97" t="s">
        <v>192</v>
      </c>
      <c r="L129" s="101" t="e">
        <f>COUNTIF('Machine park -  BTB 24.04.26'!#REF!,$K129)</f>
        <v>#REF!</v>
      </c>
      <c r="M129" s="94">
        <f>SUM(M126:M128)</f>
        <v>3</v>
      </c>
      <c r="N129" s="159">
        <f>SUM(N127:N128)</f>
        <v>27827.142857142859</v>
      </c>
      <c r="O129" s="95"/>
      <c r="P129" s="94">
        <f>SUM(P127:P128)</f>
        <v>2</v>
      </c>
      <c r="Q129" s="159">
        <f>SUM(Q127:Q128)</f>
        <v>18859.142857142859</v>
      </c>
      <c r="R129" s="95"/>
      <c r="S129" s="93">
        <f>SUM(S127:S128)</f>
        <v>1</v>
      </c>
      <c r="T129" s="159">
        <f>SUM(T127:T128)</f>
        <v>9429.5714285714294</v>
      </c>
      <c r="U129" s="95"/>
      <c r="W129" s="213">
        <f>GETPIVOTDATA("Брой от име",$A$3,"група",3,"№ Вид машини",3,"Вид машини","Асортиментни машини","наименование на групата","Двуиглова права машина")-M129-P129-S129</f>
        <v>9</v>
      </c>
      <c r="X129" s="219">
        <f>SUM(X127:X128)</f>
        <v>84866.14285714287</v>
      </c>
      <c r="Y129" s="145">
        <f>X129+T129+Q129+N129</f>
        <v>140982.00000000003</v>
      </c>
    </row>
    <row r="130" spans="1:25" x14ac:dyDescent="0.3">
      <c r="A130" s="308"/>
      <c r="B130" s="308"/>
      <c r="C130" s="307">
        <v>4</v>
      </c>
      <c r="D130" s="78" t="s">
        <v>213</v>
      </c>
      <c r="E130" s="78" t="s">
        <v>1068</v>
      </c>
      <c r="F130" s="78" t="s">
        <v>1639</v>
      </c>
      <c r="G130" s="63">
        <v>9</v>
      </c>
      <c r="H130" s="102">
        <v>92097.833333333328</v>
      </c>
      <c r="I130" s="145">
        <f>GETPIVOTDATA("Сума от Първоначална стойност",$A$3,"група",4,"№ Вид машини",3,"Вид машини","Асортиментни машини","наименование на групата","Зиг-заг машина","описание","електронна","характеристики",)/GETPIVOTDATA("Брой от име",$A$3,"група",4,"№ Вид машини",3,"Вид машини","Асортиментни машини","наименование на групата","Зиг-заг машина","описание","електронна","характеристики",)</f>
        <v>10233.092592592591</v>
      </c>
      <c r="J130"/>
      <c r="K130" s="98" t="s">
        <v>213</v>
      </c>
      <c r="L130" s="100" t="s">
        <v>1068</v>
      </c>
      <c r="M130" s="91">
        <v>1</v>
      </c>
      <c r="N130" s="149">
        <f>M130*I130</f>
        <v>10233.092592592591</v>
      </c>
      <c r="O130" s="92"/>
      <c r="P130" s="91"/>
      <c r="Q130" s="147"/>
      <c r="R130" s="92"/>
      <c r="S130" s="90">
        <v>1</v>
      </c>
      <c r="T130" s="149">
        <f>S130*I130</f>
        <v>10233.092592592591</v>
      </c>
      <c r="U130" s="92"/>
      <c r="W130" s="212">
        <f>GETPIVOTDATA("Брой от име",$A$3,"група",4,"№ Вид машини",3,"Вид машини","Асортиментни машини","наименование на групата","Зиг-заг машина","описание","електронна","характеристики",)-M130-P130-S130</f>
        <v>7</v>
      </c>
      <c r="X130" s="217">
        <f t="shared" si="7"/>
        <v>71631.648148148146</v>
      </c>
    </row>
    <row r="131" spans="1:25" x14ac:dyDescent="0.3">
      <c r="A131" s="308"/>
      <c r="B131" s="308"/>
      <c r="C131" s="308"/>
      <c r="D131" s="307" t="s">
        <v>2040</v>
      </c>
      <c r="E131" s="308"/>
      <c r="F131" s="308"/>
      <c r="G131" s="63">
        <v>9</v>
      </c>
      <c r="H131" s="102">
        <v>92097.833333333328</v>
      </c>
      <c r="I131" s="145"/>
      <c r="J131"/>
      <c r="K131" s="97" t="s">
        <v>213</v>
      </c>
      <c r="L131" s="101" t="e">
        <f>COUNTIF('Machine park -  BTB 24.04.26'!#REF!,$K131)</f>
        <v>#REF!</v>
      </c>
      <c r="M131" s="94">
        <f>M130</f>
        <v>1</v>
      </c>
      <c r="N131" s="159">
        <f>N130</f>
        <v>10233.092592592591</v>
      </c>
      <c r="O131" s="95"/>
      <c r="P131" s="94">
        <f>P130</f>
        <v>0</v>
      </c>
      <c r="Q131" s="148"/>
      <c r="R131" s="95"/>
      <c r="S131" s="93">
        <f>S130</f>
        <v>1</v>
      </c>
      <c r="T131" s="159">
        <f>T130</f>
        <v>10233.092592592591</v>
      </c>
      <c r="U131" s="95"/>
      <c r="W131" s="213">
        <f>GETPIVOTDATA("Брой от име",$A$3,"група",4,"№ Вид машини",3,"Вид машини","Асортиментни машини","наименование на групата","Зиг-заг машина")-M131-P131-S131</f>
        <v>7</v>
      </c>
      <c r="X131" s="219">
        <f>SUM(X130)</f>
        <v>71631.648148148146</v>
      </c>
      <c r="Y131" s="145">
        <f>X131+T131+Q131+N131</f>
        <v>92097.833333333314</v>
      </c>
    </row>
    <row r="132" spans="1:25" ht="28.8" x14ac:dyDescent="0.3">
      <c r="A132" s="308"/>
      <c r="B132" s="308"/>
      <c r="C132" s="307">
        <v>7</v>
      </c>
      <c r="D132" s="307" t="s">
        <v>193</v>
      </c>
      <c r="E132" s="78" t="s">
        <v>1142</v>
      </c>
      <c r="F132" s="78" t="s">
        <v>1095</v>
      </c>
      <c r="G132" s="63">
        <v>4</v>
      </c>
      <c r="H132" s="102">
        <v>18189.599999999999</v>
      </c>
      <c r="I132" s="145">
        <f>GETPIVOTDATA("Сума от Първоначална стойност",$A$3,"група",7,"№ Вид машини",3,"Вид машини","Асортиментни машини","наименование на групата","Покривна машина","описание","горна и долна оплетка","характеристики","3 игли-6,4")/GETPIVOTDATA("Брой от име",$A$3,"група",7,"№ Вид машини",3,"Вид машини","Асортиментни машини","наименование на групата","Покривна машина","описание","горна и долна оплетка","характеристики","3 игли-6,4")</f>
        <v>4547.3999999999996</v>
      </c>
      <c r="J132"/>
      <c r="K132" s="309" t="s">
        <v>193</v>
      </c>
      <c r="L132" s="100" t="s">
        <v>1436</v>
      </c>
      <c r="M132" s="91"/>
      <c r="N132" s="149"/>
      <c r="O132" s="92"/>
      <c r="P132" s="91"/>
      <c r="Q132" s="147"/>
      <c r="R132" s="92"/>
      <c r="S132" s="90"/>
      <c r="T132" s="147"/>
      <c r="U132" s="92"/>
      <c r="W132" s="212">
        <f>GETPIVOTDATA("Брой от име",$A$3,"група",7,"№ Вид машини",3,"Вид машини","Асортиментни машини","наименование на групата","Покривна машина","описание","горна и долна оплетка","характеристики","3 игли-6,4")-M132-P132-S132</f>
        <v>4</v>
      </c>
      <c r="X132" s="217">
        <f t="shared" si="7"/>
        <v>18189.599999999999</v>
      </c>
    </row>
    <row r="133" spans="1:25" ht="28.8" x14ac:dyDescent="0.3">
      <c r="A133" s="308"/>
      <c r="B133" s="308"/>
      <c r="C133" s="308"/>
      <c r="D133" s="308"/>
      <c r="E133" s="78" t="s">
        <v>1108</v>
      </c>
      <c r="F133" s="78" t="s">
        <v>1095</v>
      </c>
      <c r="G133" s="63">
        <v>6</v>
      </c>
      <c r="H133" s="102">
        <v>28419</v>
      </c>
      <c r="I133" s="145">
        <f>GETPIVOTDATA("Сума от Първоначална стойност",$A$3,"група",7,"№ Вид машини",3,"Вид машини","Асортиментни машини","наименование на групата","Покривна машина","описание","горна и долна оплетка, с рязане","характеристики","3 игли-6,4")/GETPIVOTDATA("Брой от име",$A$3,"група",7,"№ Вид машини",3,"Вид машини","Асортиментни машини","наименование на групата","Покривна машина","описание","горна и долна оплетка, с рязане","характеристики","3 игли-6,4")</f>
        <v>4736.5</v>
      </c>
      <c r="J133"/>
      <c r="K133" s="309"/>
      <c r="L133" s="100" t="s">
        <v>1437</v>
      </c>
      <c r="M133" s="91"/>
      <c r="N133" s="149"/>
      <c r="O133" s="92"/>
      <c r="P133" s="91"/>
      <c r="Q133" s="147"/>
      <c r="R133" s="92"/>
      <c r="S133" s="90">
        <v>1</v>
      </c>
      <c r="T133" s="149">
        <f>S133*I133</f>
        <v>4736.5</v>
      </c>
      <c r="U133" s="92"/>
      <c r="W133" s="212">
        <f>GETPIVOTDATA("Брой от име",$A$3,"група",7,"№ Вид машини",3,"Вид машини","Асортиментни машини","наименование на групата","Покривна машина","описание","горна и долна оплетка, с рязане","характеристики","3 игли-6,4")-M133-P133-S133</f>
        <v>5</v>
      </c>
      <c r="X133" s="217">
        <f t="shared" si="7"/>
        <v>23682.5</v>
      </c>
    </row>
    <row r="134" spans="1:25" ht="43.2" x14ac:dyDescent="0.3">
      <c r="A134" s="308"/>
      <c r="B134" s="308"/>
      <c r="C134" s="308"/>
      <c r="D134" s="308"/>
      <c r="E134" s="78" t="s">
        <v>1141</v>
      </c>
      <c r="F134" s="78" t="s">
        <v>1228</v>
      </c>
      <c r="G134" s="63">
        <v>1</v>
      </c>
      <c r="H134" s="102">
        <v>6611</v>
      </c>
      <c r="I134" s="145">
        <f>GETPIVOTDATA("Сума от Първоначална стойност",$A$3,"група",7,"№ Вид машини",3,"Вид машини","Асортиментни машини","наименование на групата","Покривна машина","описание","горна покривна и долна верижна оплетка","характеристики","2 игли-6,4")/GETPIVOTDATA("Брой от име",$A$3,"група",7,"№ Вид машини",3,"Вид машини","Асортиментни машини","наименование на групата","Покривна машина","описание","горна покривна и долна верижна оплетка","характеристики","2 игли-6,4")</f>
        <v>6611</v>
      </c>
      <c r="J134"/>
      <c r="K134" s="309"/>
      <c r="L134" s="100" t="s">
        <v>1438</v>
      </c>
      <c r="M134" s="91"/>
      <c r="N134" s="149"/>
      <c r="O134" s="92"/>
      <c r="P134" s="91"/>
      <c r="Q134" s="147"/>
      <c r="R134" s="92"/>
      <c r="S134" s="90">
        <v>1</v>
      </c>
      <c r="T134" s="149">
        <f>S134*I134</f>
        <v>6611</v>
      </c>
      <c r="U134" s="92"/>
      <c r="W134" s="212">
        <f>GETPIVOTDATA("Брой от име",$A$3,"група",7,"№ Вид машини",3,"Вид машини","Асортиментни машини","наименование на групата","Покривна машина","описание","горна покривна и долна верижна оплетка","характеристики","2 игли-6,4")-M134-P134-S134</f>
        <v>0</v>
      </c>
      <c r="X134" s="217">
        <f t="shared" si="7"/>
        <v>0</v>
      </c>
    </row>
    <row r="135" spans="1:25" ht="28.8" x14ac:dyDescent="0.3">
      <c r="A135" s="308"/>
      <c r="B135" s="308"/>
      <c r="C135" s="308"/>
      <c r="D135" s="308"/>
      <c r="E135" s="78" t="s">
        <v>1226</v>
      </c>
      <c r="F135" s="78" t="s">
        <v>1225</v>
      </c>
      <c r="G135" s="63">
        <v>1</v>
      </c>
      <c r="H135" s="102">
        <v>4140</v>
      </c>
      <c r="I135" s="145">
        <f>GETPIVOTDATA("Сума от Първоначална стойност",$A$3,"група",7,"№ Вид машини",3,"Вид машини","Асортиментни машини","наименование на групата","Покривна машина","описание","верижен бод + ластик","характеристики","12 игли-4,8")/GETPIVOTDATA("Брой от име",$A$3,"група",7,"№ Вид машини",3,"Вид машини","Асортиментни машини","наименование на групата","Покривна машина","описание","верижен бод + ластик","характеристики","12 игли-4,8")</f>
        <v>4140</v>
      </c>
      <c r="J135"/>
      <c r="K135" s="309"/>
      <c r="L135" s="100" t="s">
        <v>1439</v>
      </c>
      <c r="M135" s="91"/>
      <c r="N135" s="149"/>
      <c r="O135" s="92"/>
      <c r="P135" s="91"/>
      <c r="Q135" s="147"/>
      <c r="R135" s="92"/>
      <c r="S135" s="90">
        <v>1</v>
      </c>
      <c r="T135" s="149">
        <f>S135*I135</f>
        <v>4140</v>
      </c>
      <c r="U135" s="92"/>
      <c r="W135" s="212">
        <f>GETPIVOTDATA("Брой от име",$A$3,"група",7,"№ Вид машини",3,"Вид машини","Асортиментни машини","наименование на групата","Покривна машина","описание","верижен бод + ластик","характеристики","12 игли-4,8")-M135-P135-S135</f>
        <v>0</v>
      </c>
      <c r="X135" s="217">
        <f t="shared" si="7"/>
        <v>0</v>
      </c>
    </row>
    <row r="136" spans="1:25" ht="28.8" x14ac:dyDescent="0.3">
      <c r="A136" s="308"/>
      <c r="B136" s="308"/>
      <c r="C136" s="308"/>
      <c r="D136" s="308"/>
      <c r="E136" s="78" t="s">
        <v>1224</v>
      </c>
      <c r="F136" s="78" t="s">
        <v>1228</v>
      </c>
      <c r="G136" s="63">
        <v>1</v>
      </c>
      <c r="H136" s="102">
        <v>7575</v>
      </c>
      <c r="I136" s="145">
        <f>GETPIVOTDATA("Сума от Първоначална стойност",$A$3,"група",7,"№ Вид машини",3,"Вид машини","Асортиментни машини","наименование на групата","Покривна машина","описание","долна оплетка - за гайки","характеристики","2 игли-6,4")/GETPIVOTDATA("Брой от име",$A$3,"група",7,"№ Вид машини",3,"Вид машини","Асортиментни машини","наименование на групата","Покривна машина","описание","долна оплетка - за гайки","характеристики","2 игли-6,4")</f>
        <v>7575</v>
      </c>
      <c r="J136"/>
      <c r="K136" s="309"/>
      <c r="L136" s="100" t="s">
        <v>1440</v>
      </c>
      <c r="M136" s="91"/>
      <c r="N136" s="149"/>
      <c r="O136" s="92"/>
      <c r="P136" s="91">
        <v>1</v>
      </c>
      <c r="Q136" s="149">
        <f>P136*I136</f>
        <v>7575</v>
      </c>
      <c r="R136" s="92" t="s">
        <v>1372</v>
      </c>
      <c r="S136" s="90"/>
      <c r="T136" s="147"/>
      <c r="U136" s="92"/>
      <c r="W136" s="212">
        <f>GETPIVOTDATA("Брой от име",$A$3,"група",7,"№ Вид машини",3,"Вид машини","Асортиментни машини","наименование на групата","Покривна машина","описание","долна оплетка - за гайки","характеристики","2 игли-6,4")-M136-P136-S136</f>
        <v>0</v>
      </c>
      <c r="X136" s="217">
        <f t="shared" si="7"/>
        <v>0</v>
      </c>
    </row>
    <row r="137" spans="1:25" ht="28.8" x14ac:dyDescent="0.3">
      <c r="A137" s="308"/>
      <c r="B137" s="308"/>
      <c r="C137" s="308"/>
      <c r="D137" s="308"/>
      <c r="E137" s="78" t="s">
        <v>1227</v>
      </c>
      <c r="F137" s="78" t="s">
        <v>1228</v>
      </c>
      <c r="G137" s="63">
        <v>1</v>
      </c>
      <c r="H137" s="102">
        <v>7093</v>
      </c>
      <c r="I137" s="145">
        <f>GETPIVOTDATA("Сума от Първоначална стойност",$A$3,"група",7,"№ Вид машини",3,"Вид машини","Асортиментни машини","наименование на групата","Покривна машина","описание","горна и долна оплетка - за гайки","характеристики","2 игли-6,4")/GETPIVOTDATA("Брой от име",$A$3,"група",7,"№ Вид машини",3,"Вид машини","Асортиментни машини","наименование на групата","Покривна машина","описание","горна и долна оплетка - за гайки","характеристики","2 игли-6,4")</f>
        <v>7093</v>
      </c>
      <c r="J137"/>
      <c r="K137" s="309"/>
      <c r="L137" s="100" t="s">
        <v>1441</v>
      </c>
      <c r="M137" s="91"/>
      <c r="N137" s="149"/>
      <c r="O137" s="92"/>
      <c r="P137" s="91">
        <v>1</v>
      </c>
      <c r="Q137" s="149">
        <f>P137*I137</f>
        <v>7093</v>
      </c>
      <c r="R137" s="92" t="s">
        <v>1372</v>
      </c>
      <c r="S137" s="90"/>
      <c r="T137" s="147"/>
      <c r="U137" s="92"/>
      <c r="W137" s="212">
        <f>GETPIVOTDATA("Брой от име",$A$3,"група",7,"№ Вид машини",3,"Вид машини","Асортиментни машини","наименование на групата","Покривна машина","описание","горна и долна оплетка - за гайки","характеристики","2 игли-6,4")-M137-P137-S137</f>
        <v>0</v>
      </c>
      <c r="X137" s="217">
        <f t="shared" si="7"/>
        <v>0</v>
      </c>
    </row>
    <row r="138" spans="1:25" ht="28.8" x14ac:dyDescent="0.3">
      <c r="A138" s="308"/>
      <c r="B138" s="308"/>
      <c r="C138" s="308"/>
      <c r="D138" s="307" t="s">
        <v>2016</v>
      </c>
      <c r="E138" s="308"/>
      <c r="F138" s="308"/>
      <c r="G138" s="63">
        <v>14</v>
      </c>
      <c r="H138" s="102">
        <v>72027.600000000006</v>
      </c>
      <c r="I138" s="145"/>
      <c r="J138"/>
      <c r="K138" s="97" t="s">
        <v>193</v>
      </c>
      <c r="L138" s="101" t="e">
        <f>COUNTIF('Machine park -  BTB 24.04.26'!#REF!,$K138)</f>
        <v>#REF!</v>
      </c>
      <c r="M138" s="200">
        <f>SUM(M132:M137)</f>
        <v>0</v>
      </c>
      <c r="N138" s="150"/>
      <c r="O138" s="95"/>
      <c r="P138" s="200">
        <f>SUM(P132:P137)</f>
        <v>2</v>
      </c>
      <c r="Q138" s="159">
        <f>SUM(Q132:Q137)</f>
        <v>14668</v>
      </c>
      <c r="R138" s="95"/>
      <c r="S138" s="203">
        <f>SUM(S132:S137)</f>
        <v>3</v>
      </c>
      <c r="T138" s="159">
        <f>SUM(T132:T137)</f>
        <v>15487.5</v>
      </c>
      <c r="U138" s="95"/>
      <c r="W138" s="213">
        <f>GETPIVOTDATA("Брой от име",$A$3,"група",7,"№ Вид машини",3,"Вид машини","Асортиментни машини","наименование на групата","Покривна машина")-M138-P138-S138</f>
        <v>9</v>
      </c>
      <c r="X138" s="219">
        <f>SUM(X132:X137)</f>
        <v>41872.1</v>
      </c>
      <c r="Y138" s="145">
        <f>X138+T138+Q138+N138</f>
        <v>72027.600000000006</v>
      </c>
    </row>
    <row r="139" spans="1:25" x14ac:dyDescent="0.3">
      <c r="A139" s="308"/>
      <c r="B139" s="308"/>
      <c r="C139" s="307">
        <v>11</v>
      </c>
      <c r="D139" s="307" t="s">
        <v>196</v>
      </c>
      <c r="E139" s="78" t="s">
        <v>1639</v>
      </c>
      <c r="F139" s="78" t="s">
        <v>1639</v>
      </c>
      <c r="G139" s="63">
        <v>9</v>
      </c>
      <c r="H139" s="102">
        <v>99970.180000000008</v>
      </c>
      <c r="I139" s="145">
        <f>GETPIVOTDATA("Сума от Първоначална стойност",$A$3,"група",11,"№ Вид машини",3,"Вид машини","Асортиментни машини","наименование на групата","Шевна машина за ръчен бод","описание",,"характеристики",)/GETPIVOTDATA("Брой от име",$A$3,"група",11,"№ Вид машини",3,"Вид машини","Асортиментни машини","наименование на групата","Шевна машина за ръчен бод","описание",,"характеристики",)</f>
        <v>11107.797777777778</v>
      </c>
      <c r="J139"/>
      <c r="K139" s="309" t="s">
        <v>196</v>
      </c>
      <c r="L139" s="100"/>
      <c r="M139" s="91"/>
      <c r="N139" s="149"/>
      <c r="O139" s="92"/>
      <c r="P139" s="91"/>
      <c r="Q139" s="147"/>
      <c r="R139" s="92"/>
      <c r="S139" s="90"/>
      <c r="T139" s="147"/>
      <c r="U139" s="92"/>
      <c r="W139" s="212">
        <f>GETPIVOTDATA("Брой от име",$A$3,"група",11,"№ Вид машини",3,"Вид машини","Асортиментни машини","наименование на групата","Шевна машина за ръчен бод","описание",,"характеристики",)-M139-P139-S139</f>
        <v>9</v>
      </c>
      <c r="X139" s="217">
        <f t="shared" si="7"/>
        <v>99970.18</v>
      </c>
    </row>
    <row r="140" spans="1:25" ht="28.8" x14ac:dyDescent="0.3">
      <c r="A140" s="308"/>
      <c r="B140" s="308"/>
      <c r="C140" s="308"/>
      <c r="D140" s="308"/>
      <c r="E140" s="78" t="s">
        <v>1241</v>
      </c>
      <c r="F140" s="78" t="s">
        <v>1639</v>
      </c>
      <c r="G140" s="63">
        <v>2</v>
      </c>
      <c r="H140" s="102">
        <v>48268.93</v>
      </c>
      <c r="I140" s="145">
        <f>GETPIVOTDATA("Сума от Първоначална стойност",$A$3,"група",11,"№ Вид машини",3,"Вид машини","Асортиментни машини","наименование на групата","Шевна машина за ръчен бод","описание","за външни кантове, за процепени платове","характеристики",)/GETPIVOTDATA("Брой от име",$A$3,"група",11,"№ Вид машини",3,"Вид машини","Асортиментни машини","наименование на групата","Шевна машина за ръчен бод","описание","за външни кантове, за процепени платове","характеристики",)</f>
        <v>24134.465</v>
      </c>
      <c r="J140"/>
      <c r="K140" s="309"/>
      <c r="L140" s="100" t="s">
        <v>1241</v>
      </c>
      <c r="M140" s="91"/>
      <c r="N140" s="149"/>
      <c r="O140" s="92"/>
      <c r="P140" s="91"/>
      <c r="Q140" s="147"/>
      <c r="R140" s="92"/>
      <c r="S140" s="90"/>
      <c r="T140" s="147"/>
      <c r="U140" s="92"/>
      <c r="W140" s="212">
        <f>GETPIVOTDATA("Брой от име",$A$3,"група",11,"№ Вид машини",3,"Вид машини","Асортиментни машини","наименование на групата","Шевна машина за ръчен бод","описание","за външни кантове, за процепени платове","характеристики",)-M140-P140-S140</f>
        <v>2</v>
      </c>
      <c r="X140" s="217">
        <f t="shared" si="7"/>
        <v>48268.93</v>
      </c>
    </row>
    <row r="141" spans="1:25" x14ac:dyDescent="0.3">
      <c r="A141" s="308"/>
      <c r="B141" s="308"/>
      <c r="C141" s="308"/>
      <c r="D141" s="308"/>
      <c r="E141" s="78" t="s">
        <v>1242</v>
      </c>
      <c r="F141" s="78" t="s">
        <v>1639</v>
      </c>
      <c r="G141" s="63">
        <v>1</v>
      </c>
      <c r="H141" s="102">
        <v>2560</v>
      </c>
      <c r="I141" s="145">
        <f>GETPIVOTDATA("Сума от Първоначална стойност",$A$3,"група",11,"№ Вид машини",3,"Вид машини","Асортиментни машини","наименование на групата","Шевна машина за ръчен бод","описание","верижен ръчен бод","характеристики",)/GETPIVOTDATA("Брой от име",$A$3,"група",11,"№ Вид машини",3,"Вид машини","Асортиментни машини","наименование на групата","Шевна машина за ръчен бод","описание","верижен ръчен бод","характеристики",)</f>
        <v>2560</v>
      </c>
      <c r="J141"/>
      <c r="K141" s="309"/>
      <c r="L141" s="100" t="s">
        <v>1242</v>
      </c>
      <c r="M141" s="91"/>
      <c r="N141" s="149"/>
      <c r="O141" s="92"/>
      <c r="P141" s="91"/>
      <c r="Q141" s="147"/>
      <c r="R141" s="92"/>
      <c r="S141" s="90"/>
      <c r="T141" s="147"/>
      <c r="U141" s="92"/>
      <c r="W141" s="212">
        <f>GETPIVOTDATA("Брой от име",$A$3,"група",11,"№ Вид машини",3,"Вид машини","Асортиментни машини","наименование на групата","Шевна машина за ръчен бод","описание","верижен ръчен бод","характеристики",)-M141-P141-S141</f>
        <v>1</v>
      </c>
      <c r="X141" s="217">
        <f t="shared" si="7"/>
        <v>2560</v>
      </c>
    </row>
    <row r="142" spans="1:25" x14ac:dyDescent="0.3">
      <c r="A142" s="308"/>
      <c r="B142" s="308"/>
      <c r="C142" s="308"/>
      <c r="D142" s="308"/>
      <c r="E142" s="78" t="s">
        <v>1127</v>
      </c>
      <c r="F142" s="78" t="s">
        <v>1639</v>
      </c>
      <c r="G142" s="63">
        <v>4</v>
      </c>
      <c r="H142" s="102">
        <v>48918</v>
      </c>
      <c r="I142" s="145">
        <f>GETPIVOTDATA("Сума от Първоначална стойност",$A$3,"група",11,"№ Вид машини",3,"Вид машини","Асортиментни машини","наименование на групата","Шевна машина за ръчен бод","описание","ел. програмируема","характеристики",)/GETPIVOTDATA("Брой от име",$A$3,"група",11,"№ Вид машини",3,"Вид машини","Асортиментни машини","наименование на групата","Шевна машина за ръчен бод","описание","ел. програмируема","характеристики",)</f>
        <v>12229.5</v>
      </c>
      <c r="J142"/>
      <c r="K142" s="309"/>
      <c r="L142" s="100" t="s">
        <v>1127</v>
      </c>
      <c r="M142" s="91">
        <v>2</v>
      </c>
      <c r="N142" s="149">
        <f>M142*I142</f>
        <v>24459</v>
      </c>
      <c r="O142" s="92"/>
      <c r="P142" s="91">
        <v>1</v>
      </c>
      <c r="Q142" s="149">
        <f>P142*I142</f>
        <v>12229.5</v>
      </c>
      <c r="R142" s="92"/>
      <c r="S142" s="90">
        <v>1</v>
      </c>
      <c r="T142" s="149">
        <f>S142*I142</f>
        <v>12229.5</v>
      </c>
      <c r="U142" s="92"/>
      <c r="W142" s="212">
        <f>GETPIVOTDATA("Брой от име",$A$3,"група",11,"№ Вид машини",3,"Вид машини","Асортиментни машини","наименование на групата","Шевна машина за ръчен бод","описание","ел. програмируема","характеристики",)-M142-P142-S142</f>
        <v>0</v>
      </c>
      <c r="X142" s="217">
        <f t="shared" si="7"/>
        <v>0</v>
      </c>
    </row>
    <row r="143" spans="1:25" ht="28.8" x14ac:dyDescent="0.3">
      <c r="A143" s="308"/>
      <c r="B143" s="308"/>
      <c r="C143" s="308"/>
      <c r="D143" s="307" t="s">
        <v>2041</v>
      </c>
      <c r="E143" s="308"/>
      <c r="F143" s="308"/>
      <c r="G143" s="63">
        <v>16</v>
      </c>
      <c r="H143" s="102">
        <v>199717.11000000002</v>
      </c>
      <c r="I143" s="145"/>
      <c r="J143"/>
      <c r="K143" s="97" t="s">
        <v>196</v>
      </c>
      <c r="L143" s="101" t="e">
        <f>COUNTIF('Machine park -  BTB 24.04.26'!#REF!,$K143)</f>
        <v>#REF!</v>
      </c>
      <c r="M143" s="200">
        <f>SUM(M139:M142)</f>
        <v>2</v>
      </c>
      <c r="N143" s="159">
        <f>SUM(N139:N142)</f>
        <v>24459</v>
      </c>
      <c r="O143" s="202"/>
      <c r="P143" s="200">
        <f>SUM(P139:P142)</f>
        <v>1</v>
      </c>
      <c r="Q143" s="159">
        <f>SUM(Q139:Q142)</f>
        <v>12229.5</v>
      </c>
      <c r="R143" s="202"/>
      <c r="S143" s="203">
        <f>SUM(S139:S142)</f>
        <v>1</v>
      </c>
      <c r="T143" s="159">
        <f>SUM(T139:T142)</f>
        <v>12229.5</v>
      </c>
      <c r="U143" s="202"/>
      <c r="W143" s="213">
        <f>GETPIVOTDATA("Брой от име",$A$3,"група",11,"№ Вид машини",3,"Вид машини","Асортиментни машини","наименование на групата","Шевна машина за ръчен бод")-M143-P143-S143</f>
        <v>12</v>
      </c>
      <c r="X143" s="219">
        <f>SUM(X139:X142)</f>
        <v>150799.10999999999</v>
      </c>
      <c r="Y143" s="145">
        <f>X143+T143+Q143+N143</f>
        <v>199717.11</v>
      </c>
    </row>
    <row r="144" spans="1:25" ht="43.2" x14ac:dyDescent="0.3">
      <c r="A144" s="308"/>
      <c r="B144" s="308"/>
      <c r="C144" s="307">
        <v>13</v>
      </c>
      <c r="D144" s="78" t="s">
        <v>198</v>
      </c>
      <c r="E144" s="78" t="s">
        <v>1639</v>
      </c>
      <c r="F144" s="78" t="s">
        <v>1639</v>
      </c>
      <c r="G144" s="63">
        <v>1</v>
      </c>
      <c r="H144" s="102">
        <v>42489</v>
      </c>
      <c r="I144" s="145">
        <f>GETPIVOTDATA("Сума от Първоначална стойност",$A$3,"група",13,"№ Вид машини",3,"Вид машини","Асортиментни машини","наименование на групата","Понтавтомат за укрепване на гайки","описание",,"характеристики",)/GETPIVOTDATA("Брой от име",$A$3,"група",13,"№ Вид машини",3,"Вид машини","Асортиментни машини","наименование на групата","Понтавтомат за укрепване на гайки","описание",,"характеристики",)</f>
        <v>42489</v>
      </c>
      <c r="J144"/>
      <c r="K144" s="98" t="s">
        <v>198</v>
      </c>
      <c r="L144" s="100"/>
      <c r="M144" s="91"/>
      <c r="N144" s="149"/>
      <c r="O144" s="92"/>
      <c r="P144" s="91">
        <v>1</v>
      </c>
      <c r="Q144" s="149">
        <f>P144*I144</f>
        <v>42489</v>
      </c>
      <c r="R144" s="92" t="s">
        <v>1371</v>
      </c>
      <c r="S144" s="90"/>
      <c r="T144" s="147"/>
      <c r="U144" s="92"/>
      <c r="W144" s="212">
        <f>GETPIVOTDATA("Брой от име",$A$3,"група",13,"№ Вид машини",3,"Вид машини","Асортиментни машини","наименование на групата","Понтавтомат за укрепване на гайки","описание",,"характеристики",)-M144-P144-S144</f>
        <v>0</v>
      </c>
      <c r="X144" s="217">
        <f t="shared" si="7"/>
        <v>0</v>
      </c>
    </row>
    <row r="145" spans="1:25" ht="43.2" x14ac:dyDescent="0.3">
      <c r="A145" s="308"/>
      <c r="B145" s="308"/>
      <c r="C145" s="308"/>
      <c r="D145" s="307" t="s">
        <v>1640</v>
      </c>
      <c r="E145" s="308"/>
      <c r="F145" s="308"/>
      <c r="G145" s="63">
        <v>1</v>
      </c>
      <c r="H145" s="102">
        <v>42489</v>
      </c>
      <c r="I145" s="145"/>
      <c r="J145"/>
      <c r="K145" s="97" t="s">
        <v>198</v>
      </c>
      <c r="L145" s="101" t="e">
        <f>COUNTIF('Machine park -  BTB 24.04.26'!#REF!,$K145)</f>
        <v>#REF!</v>
      </c>
      <c r="M145" s="200">
        <f>M144</f>
        <v>0</v>
      </c>
      <c r="N145" s="159"/>
      <c r="O145" s="202"/>
      <c r="P145" s="200">
        <f>P144</f>
        <v>1</v>
      </c>
      <c r="Q145" s="159">
        <f>Q144</f>
        <v>42489</v>
      </c>
      <c r="R145" s="202"/>
      <c r="S145" s="203">
        <f>S144</f>
        <v>0</v>
      </c>
      <c r="T145" s="148"/>
      <c r="U145" s="95"/>
      <c r="W145" s="213">
        <f>GETPIVOTDATA("Брой от име",$A$3,"група",13,"№ Вид машини",3,"Вид машини","Асортиментни машини","наименование на групата","Понтавтомат за укрепване на гайки")-M145-P145-S145</f>
        <v>0</v>
      </c>
      <c r="X145" s="219">
        <f>SUM(X144)</f>
        <v>0</v>
      </c>
    </row>
    <row r="146" spans="1:25" ht="43.2" x14ac:dyDescent="0.3">
      <c r="A146" s="308"/>
      <c r="B146" s="308"/>
      <c r="C146" s="307">
        <v>25</v>
      </c>
      <c r="D146" s="78" t="s">
        <v>214</v>
      </c>
      <c r="E146" s="78" t="s">
        <v>1639</v>
      </c>
      <c r="F146" s="78" t="s">
        <v>1639</v>
      </c>
      <c r="G146" s="63">
        <v>2</v>
      </c>
      <c r="H146" s="102">
        <v>19435</v>
      </c>
      <c r="I146" s="145">
        <f>GETPIVOTDATA("Сума от Първоначална стойност",$A$3,"група",25,"№ Вид машини",3,"Вид машини","Асортиментни машини","наименование на групата","Станция за почистване на петна","описание",,"характеристики",)/GETPIVOTDATA("Брой от име",$A$3,"група",25,"№ Вид машини",3,"Вид машини","Асортиментни машини","наименование на групата","Станция за почистване на петна","описание",,"характеристики",)</f>
        <v>9717.5</v>
      </c>
      <c r="J146"/>
      <c r="K146" s="98" t="s">
        <v>214</v>
      </c>
      <c r="L146" s="100"/>
      <c r="M146" s="91">
        <v>1</v>
      </c>
      <c r="N146" s="149">
        <f>M146*I146</f>
        <v>9717.5</v>
      </c>
      <c r="O146" s="157" t="s">
        <v>1372</v>
      </c>
      <c r="P146" s="91"/>
      <c r="Q146" s="147"/>
      <c r="R146" s="92"/>
      <c r="S146" s="90">
        <v>1</v>
      </c>
      <c r="T146" s="149">
        <f>S146*I146</f>
        <v>9717.5</v>
      </c>
      <c r="U146" s="157" t="s">
        <v>1372</v>
      </c>
      <c r="W146" s="212">
        <f>GETPIVOTDATA("Брой от име",$A$3,"група",25,"№ Вид машини",3,"Вид машини","Асортиментни машини","наименование на групата","Станция за почистване на петна","описание",,"характеристики",)-M146-P146-S146</f>
        <v>0</v>
      </c>
      <c r="X146" s="217">
        <f t="shared" si="7"/>
        <v>0</v>
      </c>
    </row>
    <row r="147" spans="1:25" ht="43.2" x14ac:dyDescent="0.3">
      <c r="A147" s="308"/>
      <c r="B147" s="308"/>
      <c r="C147" s="308"/>
      <c r="D147" s="307" t="s">
        <v>2042</v>
      </c>
      <c r="E147" s="308"/>
      <c r="F147" s="308"/>
      <c r="G147" s="63">
        <v>2</v>
      </c>
      <c r="H147" s="102">
        <v>19435</v>
      </c>
      <c r="I147" s="145"/>
      <c r="J147"/>
      <c r="K147" s="97" t="s">
        <v>214</v>
      </c>
      <c r="L147" s="101" t="e">
        <f>COUNTIF('Machine park -  BTB 24.04.26'!#REF!,$K147)</f>
        <v>#REF!</v>
      </c>
      <c r="M147" s="200">
        <f>M146</f>
        <v>1</v>
      </c>
      <c r="N147" s="159">
        <f>N146</f>
        <v>9717.5</v>
      </c>
      <c r="O147" s="202"/>
      <c r="P147" s="200">
        <f>P146</f>
        <v>0</v>
      </c>
      <c r="Q147" s="201"/>
      <c r="R147" s="202"/>
      <c r="S147" s="203">
        <f>S146</f>
        <v>1</v>
      </c>
      <c r="T147" s="182">
        <f>T146</f>
        <v>9717.5</v>
      </c>
      <c r="U147" s="156"/>
      <c r="W147" s="213">
        <f>GETPIVOTDATA("Брой от име",$A$3,"група",25,"№ Вид машини",3,"Вид машини","Асортиментни машини","наименование на групата","Станция за почистване на петна")-M147-P147-S147</f>
        <v>0</v>
      </c>
      <c r="X147" s="219">
        <f>SUM(X146)</f>
        <v>0</v>
      </c>
    </row>
    <row r="148" spans="1:25" ht="28.8" x14ac:dyDescent="0.3">
      <c r="A148" s="308"/>
      <c r="B148" s="308"/>
      <c r="C148" s="307">
        <v>28</v>
      </c>
      <c r="D148" s="307" t="s">
        <v>205</v>
      </c>
      <c r="E148" s="78" t="s">
        <v>1347</v>
      </c>
      <c r="F148" s="78" t="s">
        <v>1301</v>
      </c>
      <c r="G148" s="63">
        <v>3</v>
      </c>
      <c r="H148" s="102">
        <v>2369.5</v>
      </c>
      <c r="I148" s="145">
        <f>GETPIVOTDATA("Сума от Първоначална стойност",$A$3,"група",28,"№ Вид машини",3,"Вид машини","Асортиментни машини","наименование на групата","Преса","описание","пневматична, тройна","характеристики","капси")/GETPIVOTDATA("Брой от име",$A$3,"група",28,"№ Вид машини",3,"Вид машини","Асортиментни машини","наименование на групата","Преса","описание","пневматична, тройна","характеристики","капси")</f>
        <v>789.83333333333337</v>
      </c>
      <c r="J148"/>
      <c r="K148" s="309" t="s">
        <v>205</v>
      </c>
      <c r="L148" s="100" t="s">
        <v>1442</v>
      </c>
      <c r="M148" s="91"/>
      <c r="N148" s="149"/>
      <c r="O148" s="92"/>
      <c r="P148" s="91">
        <v>1</v>
      </c>
      <c r="Q148" s="149">
        <f>P148*I148</f>
        <v>789.83333333333337</v>
      </c>
      <c r="R148" s="92" t="s">
        <v>1371</v>
      </c>
      <c r="S148" s="90"/>
      <c r="T148" s="147"/>
      <c r="U148" s="92"/>
      <c r="W148" s="212">
        <f>GETPIVOTDATA("Брой от име",$A$3,"група",28,"№ Вид машини",3,"Вид машини","Асортиментни машини","наименование на групата","Преса","описание","пневматична, тройна","характеристики","капси")-M148-P148-S148</f>
        <v>2</v>
      </c>
      <c r="X148" s="217">
        <f>W148*I148</f>
        <v>1579.6666666666667</v>
      </c>
    </row>
    <row r="149" spans="1:25" ht="28.8" x14ac:dyDescent="0.3">
      <c r="A149" s="308"/>
      <c r="B149" s="308"/>
      <c r="C149" s="308"/>
      <c r="D149" s="308"/>
      <c r="E149" s="307" t="s">
        <v>1346</v>
      </c>
      <c r="F149" s="78" t="s">
        <v>1301</v>
      </c>
      <c r="G149" s="63">
        <v>4</v>
      </c>
      <c r="H149" s="102">
        <v>4610.29</v>
      </c>
      <c r="I149" s="145">
        <f>GETPIVOTDATA("Сума от Първоначална стойност",$A$3,"група",28,"№ Вид машини",3,"Вид машини","Асортиментни машини","наименование на групата","Преса","описание","пневматична, единична","характеристики","капси")/GETPIVOTDATA("Брой от име",$A$3,"група",28,"№ Вид машини",3,"Вид машини","Асортиментни машини","наименование на групата","Преса","описание","пневматична, единична","характеристики","капси")</f>
        <v>1152.5725</v>
      </c>
      <c r="J149"/>
      <c r="K149" s="309"/>
      <c r="L149" s="100" t="s">
        <v>1443</v>
      </c>
      <c r="M149" s="91"/>
      <c r="N149" s="149"/>
      <c r="O149" s="92"/>
      <c r="P149" s="91">
        <v>1</v>
      </c>
      <c r="Q149" s="149">
        <f>P149*I149</f>
        <v>1152.5725</v>
      </c>
      <c r="R149" s="92" t="s">
        <v>1371</v>
      </c>
      <c r="S149" s="90"/>
      <c r="T149" s="147"/>
      <c r="U149" s="92"/>
      <c r="W149" s="212">
        <f>GETPIVOTDATA("Брой от име",$A$3,"група",28,"№ Вид машини",3,"Вид машини","Асортиментни машини","наименование на групата","Преса","описание","пневматична, единична","характеристики","капси")-M149-P149-S149</f>
        <v>3</v>
      </c>
      <c r="X149" s="217">
        <f t="shared" si="7"/>
        <v>3457.7174999999997</v>
      </c>
    </row>
    <row r="150" spans="1:25" ht="28.8" x14ac:dyDescent="0.3">
      <c r="A150" s="308"/>
      <c r="B150" s="308"/>
      <c r="C150" s="308"/>
      <c r="D150" s="308"/>
      <c r="E150" s="308"/>
      <c r="F150" s="78" t="s">
        <v>1300</v>
      </c>
      <c r="G150" s="63">
        <v>4</v>
      </c>
      <c r="H150" s="102">
        <v>4320</v>
      </c>
      <c r="I150" s="145">
        <f>GETPIVOTDATA("Сума от Първоначална стойност",$A$3,"група",28,"№ Вид машини",3,"Вид машини","Асортиментни машини","наименование на групата","Преса","описание","пневматична, единична","характеристики","агрифки")/GETPIVOTDATA("Брой от име",$A$3,"група",28,"№ Вид машини",3,"Вид машини","Асортиментни машини","наименование на групата","Преса","описание","пневматична, единична","характеристики","агрифки")</f>
        <v>1080</v>
      </c>
      <c r="J150"/>
      <c r="K150" s="309"/>
      <c r="L150" s="100" t="s">
        <v>1444</v>
      </c>
      <c r="M150" s="91"/>
      <c r="N150" s="149"/>
      <c r="O150" s="92"/>
      <c r="P150" s="91">
        <v>1</v>
      </c>
      <c r="Q150" s="149">
        <f>P150*I150</f>
        <v>1080</v>
      </c>
      <c r="R150" s="92" t="s">
        <v>1371</v>
      </c>
      <c r="S150" s="90"/>
      <c r="T150" s="147"/>
      <c r="U150" s="92"/>
      <c r="W150" s="212">
        <f>GETPIVOTDATA("Брой от име",$A$3,"група",28,"№ Вид машини",3,"Вид машини","Асортиментни машини","наименование на групата","Преса","описание","пневматична, единична","характеристики","агрифки")-M150-P150-S150</f>
        <v>3</v>
      </c>
      <c r="X150" s="217">
        <f t="shared" si="7"/>
        <v>3240</v>
      </c>
    </row>
    <row r="151" spans="1:25" x14ac:dyDescent="0.3">
      <c r="A151" s="308"/>
      <c r="B151" s="308"/>
      <c r="C151" s="308"/>
      <c r="D151" s="308"/>
      <c r="E151" s="78" t="s">
        <v>1348</v>
      </c>
      <c r="F151" s="78" t="s">
        <v>1301</v>
      </c>
      <c r="G151" s="63">
        <v>1</v>
      </c>
      <c r="H151" s="102">
        <v>140</v>
      </c>
      <c r="I151" s="145">
        <f>GETPIVOTDATA("Сума от Първоначална стойност",$A$3,"група",28,"№ Вид машини",3,"Вид машини","Асортиментни машини","наименование на групата","Преса","описание","ръчна, единична","характеристики","капси")/GETPIVOTDATA("Брой от име",$A$3,"група",28,"№ Вид машини",3,"Вид машини","Асортиментни машини","наименование на групата","Преса","описание","ръчна, единична","характеристики","капси")</f>
        <v>140</v>
      </c>
      <c r="J151"/>
      <c r="K151" s="309"/>
      <c r="L151" s="100" t="s">
        <v>1445</v>
      </c>
      <c r="M151" s="91"/>
      <c r="N151" s="149"/>
      <c r="O151" s="92"/>
      <c r="P151" s="91">
        <v>1</v>
      </c>
      <c r="Q151" s="149">
        <f>P151*I151</f>
        <v>140</v>
      </c>
      <c r="R151" s="92"/>
      <c r="S151" s="90"/>
      <c r="T151" s="147"/>
      <c r="U151" s="92"/>
      <c r="W151" s="212">
        <f>GETPIVOTDATA("Брой от име",$A$3,"група",28,"№ Вид машини",3,"Вид машини","Асортиментни машини","наименование на групата","Преса","описание","ръчна, единична","характеристики","капси")-M151-P151-S151</f>
        <v>0</v>
      </c>
      <c r="X151" s="217">
        <f t="shared" si="7"/>
        <v>0</v>
      </c>
    </row>
    <row r="152" spans="1:25" x14ac:dyDescent="0.3">
      <c r="A152" s="308"/>
      <c r="B152" s="308"/>
      <c r="C152" s="308"/>
      <c r="D152" s="307" t="s">
        <v>2043</v>
      </c>
      <c r="E152" s="308"/>
      <c r="F152" s="308"/>
      <c r="G152" s="63">
        <v>12</v>
      </c>
      <c r="H152" s="102">
        <v>11439.79</v>
      </c>
      <c r="I152" s="145"/>
      <c r="J152"/>
      <c r="K152" s="97" t="s">
        <v>205</v>
      </c>
      <c r="L152" s="101" t="e">
        <f>COUNTIF('Machine park -  BTB 24.04.26'!#REF!,$K152)</f>
        <v>#REF!</v>
      </c>
      <c r="M152" s="200">
        <f>SUM(M148:M151)</f>
        <v>0</v>
      </c>
      <c r="N152" s="159"/>
      <c r="O152" s="202"/>
      <c r="P152" s="200">
        <f>SUM(P148:P151)</f>
        <v>4</v>
      </c>
      <c r="Q152" s="159">
        <f>SUM(Q148:Q151)</f>
        <v>3162.4058333333332</v>
      </c>
      <c r="R152" s="202"/>
      <c r="S152" s="203">
        <f>SUM(S148:S151)</f>
        <v>0</v>
      </c>
      <c r="T152" s="148"/>
      <c r="U152" s="95"/>
      <c r="W152" s="213">
        <f>GETPIVOTDATA("Брой от име",$A$3,"група",28,"№ Вид машини",3,"Вид машини","Асортиментни машини","наименование на групата","Преса")-M152-P152-S152</f>
        <v>8</v>
      </c>
      <c r="X152" s="219">
        <f>SUM(X148:X151)</f>
        <v>8277.3841666666667</v>
      </c>
      <c r="Y152" s="145">
        <f>X152+T152+Q152+N152</f>
        <v>11439.79</v>
      </c>
    </row>
    <row r="153" spans="1:25" ht="28.8" x14ac:dyDescent="0.3">
      <c r="A153" s="308"/>
      <c r="B153" s="308"/>
      <c r="C153" s="307">
        <v>29</v>
      </c>
      <c r="D153" s="78" t="s">
        <v>206</v>
      </c>
      <c r="E153" s="78" t="s">
        <v>1639</v>
      </c>
      <c r="F153" s="78" t="s">
        <v>1639</v>
      </c>
      <c r="G153" s="63">
        <v>2</v>
      </c>
      <c r="H153" s="102">
        <v>53980</v>
      </c>
      <c r="I153" s="145">
        <f>GETPIVOTDATA("Сума от Първоначална стойност",$A$3,"група",29,"№ Вид машини",3,"Вид машини","Асортиментни машини","наименование на групата","Автомат за дребни детайли","описание",,"характеристики",)/GETPIVOTDATA("Брой от име",$A$3,"група",29,"№ Вид машини",3,"Вид машини","Асортиментни машини","наименование на групата","Автомат за дребни детайли","описание",,"характеристики",)</f>
        <v>26990</v>
      </c>
      <c r="J153"/>
      <c r="K153" s="98" t="s">
        <v>206</v>
      </c>
      <c r="L153" s="100"/>
      <c r="M153" s="91"/>
      <c r="N153" s="151"/>
      <c r="O153" s="92"/>
      <c r="P153" s="91">
        <v>1</v>
      </c>
      <c r="Q153" s="149">
        <f>P153*I153</f>
        <v>26990</v>
      </c>
      <c r="R153" s="92" t="s">
        <v>1371</v>
      </c>
      <c r="S153" s="90">
        <v>1</v>
      </c>
      <c r="T153" s="149">
        <f>S153*I153</f>
        <v>26990</v>
      </c>
      <c r="U153" s="92" t="s">
        <v>1371</v>
      </c>
      <c r="W153" s="212">
        <f>GETPIVOTDATA("Брой от име",$A$3,"група",29,"№ Вид машини",3,"Вид машини","Асортиментни машини","наименование на групата","Автомат за дребни детайли","описание",,"характеристики",)-M153-P153-S153</f>
        <v>0</v>
      </c>
      <c r="X153" s="217">
        <f t="shared" ref="X153:X216" si="8">W153*I153</f>
        <v>0</v>
      </c>
    </row>
    <row r="154" spans="1:25" ht="43.2" x14ac:dyDescent="0.3">
      <c r="A154" s="308"/>
      <c r="B154" s="308"/>
      <c r="C154" s="308"/>
      <c r="D154" s="307" t="s">
        <v>2044</v>
      </c>
      <c r="E154" s="308"/>
      <c r="F154" s="308"/>
      <c r="G154" s="63">
        <v>2</v>
      </c>
      <c r="H154" s="102">
        <v>53980</v>
      </c>
      <c r="I154" s="145"/>
      <c r="J154"/>
      <c r="K154" s="97" t="s">
        <v>206</v>
      </c>
      <c r="L154" s="101" t="e">
        <f>COUNTIF('Machine park -  BTB 24.04.26'!#REF!,$K154)</f>
        <v>#REF!</v>
      </c>
      <c r="M154" s="200">
        <f>M153</f>
        <v>0</v>
      </c>
      <c r="N154" s="159"/>
      <c r="O154" s="202"/>
      <c r="P154" s="200">
        <f>P153</f>
        <v>1</v>
      </c>
      <c r="Q154" s="159">
        <f>Q153</f>
        <v>26990</v>
      </c>
      <c r="R154" s="202"/>
      <c r="S154" s="203">
        <f>S153</f>
        <v>1</v>
      </c>
      <c r="T154" s="159">
        <f>T153</f>
        <v>26990</v>
      </c>
      <c r="U154" s="202"/>
      <c r="V154" s="207"/>
      <c r="W154" s="213">
        <f>GETPIVOTDATA("Брой от име",$A$3,"група",29,"№ Вид машини",3,"Вид машини","Асортиментни машини","наименование на групата","Автомат за дребни детайли")-M154-P154-S154</f>
        <v>0</v>
      </c>
      <c r="X154" s="218">
        <f>SUM(X153)</f>
        <v>0</v>
      </c>
    </row>
    <row r="155" spans="1:25" x14ac:dyDescent="0.3">
      <c r="A155" s="308"/>
      <c r="B155" s="308"/>
      <c r="C155" s="307">
        <v>30</v>
      </c>
      <c r="D155" s="307" t="s">
        <v>207</v>
      </c>
      <c r="E155" s="78" t="s">
        <v>1639</v>
      </c>
      <c r="F155" s="78" t="s">
        <v>1639</v>
      </c>
      <c r="G155" s="63">
        <v>1</v>
      </c>
      <c r="H155" s="102">
        <v>28058.34</v>
      </c>
      <c r="I155" s="145">
        <f>GETPIVOTDATA("Сума от Първоначална стойност",$A$3,"група",30,"№ Вид машини",3,"Вид машини","Асортиментни машини","наименование на групата","Машина за процепване","описание",,"характеристики",)/GETPIVOTDATA("Брой от име",$A$3,"група",30,"№ Вид машини",3,"Вид машини","Асортиментни машини","наименование на групата","Машина за процепване","описание",,"характеристики",)</f>
        <v>28058.34</v>
      </c>
      <c r="J155"/>
      <c r="K155" s="309" t="s">
        <v>207</v>
      </c>
      <c r="L155" s="100"/>
      <c r="M155" s="91"/>
      <c r="N155" s="149"/>
      <c r="O155" s="92"/>
      <c r="P155" s="91"/>
      <c r="Q155" s="147"/>
      <c r="R155" s="92"/>
      <c r="S155" s="90"/>
      <c r="T155" s="147"/>
      <c r="U155" s="92"/>
      <c r="W155" s="212">
        <f>GETPIVOTDATA("Брой от име",$A$3,"група",30,"№ Вид машини",3,"Вид машини","Асортиментни машини","наименование на групата","Машина за процепване","описание",,"характеристики",)-M155-P155-S155</f>
        <v>1</v>
      </c>
      <c r="X155" s="217">
        <f t="shared" si="8"/>
        <v>28058.34</v>
      </c>
    </row>
    <row r="156" spans="1:25" x14ac:dyDescent="0.3">
      <c r="A156" s="308"/>
      <c r="B156" s="308"/>
      <c r="C156" s="308"/>
      <c r="D156" s="308"/>
      <c r="E156" s="78" t="s">
        <v>1309</v>
      </c>
      <c r="F156" s="78" t="s">
        <v>1639</v>
      </c>
      <c r="G156" s="63">
        <v>3</v>
      </c>
      <c r="H156" s="102">
        <v>15000</v>
      </c>
      <c r="I156" s="145">
        <f>GETPIVOTDATA("Сума от Първоначална стойност",$A$3,"група",30,"№ Вид машини",3,"Вид машини","Асортиментни машини","наименование на групата","Машина за процепване","описание","производство БТБ","характеристики",)/GETPIVOTDATA("Брой от име",$A$3,"група",30,"№ Вид машини",3,"Вид машини","Асортиментни машини","наименование на групата","Машина за процепване","описание","производство БТБ","характеристики",)</f>
        <v>5000</v>
      </c>
      <c r="J156"/>
      <c r="K156" s="309"/>
      <c r="L156" s="100" t="s">
        <v>1309</v>
      </c>
      <c r="M156" s="91"/>
      <c r="N156" s="149"/>
      <c r="O156" s="92"/>
      <c r="P156" s="91"/>
      <c r="Q156" s="147"/>
      <c r="R156" s="92"/>
      <c r="S156" s="90"/>
      <c r="T156" s="147"/>
      <c r="U156" s="92"/>
      <c r="W156" s="212">
        <f>GETPIVOTDATA("Брой от име",$A$3,"група",30,"№ Вид машини",3,"Вид машини","Асортиментни машини","наименование на групата","Машина за процепване","описание","производство БТБ","характеристики",)-M156-P156-S156</f>
        <v>3</v>
      </c>
      <c r="X156" s="217">
        <f t="shared" si="8"/>
        <v>15000</v>
      </c>
    </row>
    <row r="157" spans="1:25" ht="28.8" x14ac:dyDescent="0.3">
      <c r="A157" s="308"/>
      <c r="B157" s="308"/>
      <c r="C157" s="308"/>
      <c r="D157" s="307" t="s">
        <v>2045</v>
      </c>
      <c r="E157" s="308"/>
      <c r="F157" s="308"/>
      <c r="G157" s="63">
        <v>4</v>
      </c>
      <c r="H157" s="102">
        <v>43058.34</v>
      </c>
      <c r="I157" s="145"/>
      <c r="J157"/>
      <c r="K157" s="97" t="s">
        <v>207</v>
      </c>
      <c r="L157" s="101" t="e">
        <f>COUNTIF('Machine park -  BTB 24.04.26'!#REF!,$K157)</f>
        <v>#REF!</v>
      </c>
      <c r="M157" s="94">
        <f>SUM(M155:M156)</f>
        <v>0</v>
      </c>
      <c r="N157" s="150"/>
      <c r="O157" s="95"/>
      <c r="P157" s="94">
        <f>SUM(P155:P156)</f>
        <v>0</v>
      </c>
      <c r="Q157" s="148"/>
      <c r="R157" s="95"/>
      <c r="S157" s="93">
        <f>SUM(S155:S156)</f>
        <v>0</v>
      </c>
      <c r="T157" s="148"/>
      <c r="U157" s="95"/>
      <c r="W157" s="213">
        <f>GETPIVOTDATA("Брой от име",$A$3,"група",30,"№ Вид машини",3,"Вид машини","Асортиментни машини","наименование на групата","Машина за процепване")-M157-P157-S157</f>
        <v>4</v>
      </c>
      <c r="X157" s="219">
        <f>SUM(X155:X156)</f>
        <v>43058.34</v>
      </c>
    </row>
    <row r="158" spans="1:25" ht="28.8" x14ac:dyDescent="0.3">
      <c r="A158" s="308"/>
      <c r="B158" s="308"/>
      <c r="C158" s="307">
        <v>31</v>
      </c>
      <c r="D158" s="78" t="s">
        <v>208</v>
      </c>
      <c r="E158" s="78" t="s">
        <v>1639</v>
      </c>
      <c r="F158" s="78" t="s">
        <v>1639</v>
      </c>
      <c r="G158" s="63">
        <v>1</v>
      </c>
      <c r="H158" s="102">
        <v>4596.6000000000004</v>
      </c>
      <c r="I158" s="145">
        <f>GETPIVOTDATA("Сума от Първоначална стойност",$A$3,"група",31,"№ Вид машини",3,"Вид машини","Асортиментни машини","наименование на групата","Машина за рязане на зиг-заг","описание",,"характеристики",)/GETPIVOTDATA("Брой от име",$A$3,"група",31,"№ Вид машини",3,"Вид машини","Асортиментни машини","наименование на групата","Машина за рязане на зиг-заг","описание",,"характеристики",)</f>
        <v>4596.6000000000004</v>
      </c>
      <c r="J158"/>
      <c r="K158" s="98" t="s">
        <v>208</v>
      </c>
      <c r="L158" s="100"/>
      <c r="M158" s="91"/>
      <c r="N158" s="149"/>
      <c r="O158" s="92"/>
      <c r="P158" s="91">
        <v>1</v>
      </c>
      <c r="Q158" s="149">
        <f>P158*I158</f>
        <v>4596.6000000000004</v>
      </c>
      <c r="R158" s="92" t="s">
        <v>1372</v>
      </c>
      <c r="S158" s="90"/>
      <c r="T158" s="147"/>
      <c r="U158" s="92"/>
      <c r="W158" s="212">
        <f>GETPIVOTDATA("Брой от име",$A$3,"група",31,"№ Вид машини",3,"Вид машини","Асортиментни машини","наименование на групата","Машина за рязане на зиг-заг","описание",,"характеристики",)-M158-P158-S158</f>
        <v>0</v>
      </c>
      <c r="X158" s="217">
        <f t="shared" si="8"/>
        <v>0</v>
      </c>
    </row>
    <row r="159" spans="1:25" ht="43.2" x14ac:dyDescent="0.3">
      <c r="A159" s="308"/>
      <c r="B159" s="308"/>
      <c r="C159" s="308"/>
      <c r="D159" s="307" t="s">
        <v>2046</v>
      </c>
      <c r="E159" s="308"/>
      <c r="F159" s="308"/>
      <c r="G159" s="63">
        <v>1</v>
      </c>
      <c r="H159" s="102">
        <v>4596.6000000000004</v>
      </c>
      <c r="I159" s="145"/>
      <c r="J159"/>
      <c r="K159" s="97" t="s">
        <v>208</v>
      </c>
      <c r="L159" s="101" t="e">
        <f>COUNTIF('Machine park -  BTB 24.04.26'!#REF!,$K159)</f>
        <v>#REF!</v>
      </c>
      <c r="M159" s="200">
        <f>M158</f>
        <v>0</v>
      </c>
      <c r="N159" s="159"/>
      <c r="O159" s="202"/>
      <c r="P159" s="200">
        <f>P158</f>
        <v>1</v>
      </c>
      <c r="Q159" s="159">
        <f>Q158</f>
        <v>4596.6000000000004</v>
      </c>
      <c r="R159" s="202"/>
      <c r="S159" s="203">
        <f>S158</f>
        <v>0</v>
      </c>
      <c r="T159" s="201"/>
      <c r="U159" s="95"/>
      <c r="W159" s="213">
        <f>GETPIVOTDATA("Брой от име",$A$3,"група",31,"№ Вид машини",3,"Вид машини","Асортиментни машини","наименование на групата","Машина за рязане на зиг-заг")-M159-P159-S159</f>
        <v>0</v>
      </c>
      <c r="X159" s="219">
        <f>SUM(X158)</f>
        <v>0</v>
      </c>
    </row>
    <row r="160" spans="1:25" ht="43.2" x14ac:dyDescent="0.3">
      <c r="A160" s="308"/>
      <c r="B160" s="308"/>
      <c r="C160" s="307">
        <v>43</v>
      </c>
      <c r="D160" s="78" t="s">
        <v>243</v>
      </c>
      <c r="E160" s="78" t="s">
        <v>1639</v>
      </c>
      <c r="F160" s="78" t="s">
        <v>1639</v>
      </c>
      <c r="G160" s="63">
        <v>2</v>
      </c>
      <c r="H160" s="102">
        <v>1900</v>
      </c>
      <c r="I160" s="145">
        <f>GETPIVOTDATA("Сума от Първоначална стойност",$A$3,"група",43,"№ Вид машини",3,"Вид машини","Асортиментни машини","наименование на групата","Устройство за опъване на затворен ластик","описание",,"характеристики",)/GETPIVOTDATA("Брой от име",$A$3,"група",43,"№ Вид машини",3,"Вид машини","Асортиментни машини","наименование на групата","Устройство за опъване на затворен ластик","описание",,"характеристики",)</f>
        <v>950</v>
      </c>
      <c r="J160"/>
      <c r="K160" s="98" t="s">
        <v>243</v>
      </c>
      <c r="L160" s="100"/>
      <c r="M160" s="91">
        <v>1</v>
      </c>
      <c r="N160" s="149">
        <f>M160*I160</f>
        <v>950</v>
      </c>
      <c r="O160" s="92"/>
      <c r="P160" s="91"/>
      <c r="Q160" s="147"/>
      <c r="R160" s="92"/>
      <c r="S160" s="90">
        <v>1</v>
      </c>
      <c r="T160" s="149">
        <f>S160*I160</f>
        <v>950</v>
      </c>
      <c r="U160" s="92"/>
      <c r="W160" s="212">
        <f>GETPIVOTDATA("Брой от име",$A$3,"група",43,"№ Вид машини",3,"Вид машини","Асортиментни машини","наименование на групата","Устройство за опъване на затворен ластик","описание",,"характеристики",)-M160-P160-S160</f>
        <v>0</v>
      </c>
      <c r="X160" s="217">
        <f t="shared" si="8"/>
        <v>0</v>
      </c>
    </row>
    <row r="161" spans="1:25" ht="57.6" x14ac:dyDescent="0.3">
      <c r="A161" s="308"/>
      <c r="B161" s="308"/>
      <c r="C161" s="308"/>
      <c r="D161" s="307" t="s">
        <v>2047</v>
      </c>
      <c r="E161" s="308"/>
      <c r="F161" s="308"/>
      <c r="G161" s="63">
        <v>2</v>
      </c>
      <c r="H161" s="102">
        <v>1900</v>
      </c>
      <c r="I161" s="145"/>
      <c r="J161"/>
      <c r="K161" s="97" t="s">
        <v>243</v>
      </c>
      <c r="L161" s="101" t="e">
        <f>COUNTIF('Machine park -  BTB 24.04.26'!#REF!,$K161)</f>
        <v>#REF!</v>
      </c>
      <c r="M161" s="200">
        <f>M160</f>
        <v>1</v>
      </c>
      <c r="N161" s="159">
        <f>N160</f>
        <v>950</v>
      </c>
      <c r="O161" s="202"/>
      <c r="P161" s="200">
        <f>P160</f>
        <v>0</v>
      </c>
      <c r="Q161" s="201"/>
      <c r="R161" s="202"/>
      <c r="S161" s="203">
        <f>S160</f>
        <v>1</v>
      </c>
      <c r="T161" s="159">
        <f>T160</f>
        <v>950</v>
      </c>
      <c r="U161" s="95"/>
      <c r="W161" s="213">
        <f>GETPIVOTDATA("Брой от име",$A$3,"група",43,"№ Вид машини",3,"Вид машини","Асортиментни машини","наименование на групата","Устройство за опъване на затворен ластик")-M161-P161-S161</f>
        <v>0</v>
      </c>
      <c r="X161" s="219">
        <f>SUM(X160)</f>
        <v>0</v>
      </c>
    </row>
    <row r="162" spans="1:25" x14ac:dyDescent="0.3">
      <c r="A162" s="308"/>
      <c r="B162" s="308"/>
      <c r="C162" s="307">
        <v>45</v>
      </c>
      <c r="D162" s="307" t="s">
        <v>258</v>
      </c>
      <c r="E162" s="307" t="s">
        <v>1639</v>
      </c>
      <c r="F162" s="78" t="s">
        <v>1146</v>
      </c>
      <c r="G162" s="63">
        <v>1</v>
      </c>
      <c r="H162" s="102">
        <v>1800</v>
      </c>
      <c r="I162" s="145">
        <f>GETPIVOTDATA("Сума от Първоначална стойност",$A$3,"група",45,"№ Вид машини",3,"Вид машини","Асортиментни машини","наименование на групата","Машина за рязане на ласе","описание",,"характеристики","студен нож")/GETPIVOTDATA("Брой от име",$A$3,"група",45,"№ Вид машини",3,"Вид машини","Асортиментни машини","наименование на групата","Машина за рязане на ласе","описание",,"характеристики","студен нож")</f>
        <v>1800</v>
      </c>
      <c r="J162"/>
      <c r="K162" s="309" t="s">
        <v>258</v>
      </c>
      <c r="L162" s="100" t="s">
        <v>1146</v>
      </c>
      <c r="M162" s="91"/>
      <c r="N162" s="149"/>
      <c r="O162" s="92"/>
      <c r="P162" s="91"/>
      <c r="Q162" s="147"/>
      <c r="R162" s="92"/>
      <c r="S162" s="90"/>
      <c r="T162" s="147"/>
      <c r="U162" s="92"/>
      <c r="W162" s="212">
        <f>GETPIVOTDATA("Брой от име",$A$3,"група",45,"№ Вид машини",3,"Вид машини","Асортиментни машини","наименование на групата","Машина за рязане на ласе","описание",,"характеристики","студен нож")-M162-P162-S162</f>
        <v>1</v>
      </c>
      <c r="X162" s="217">
        <f t="shared" si="8"/>
        <v>1800</v>
      </c>
    </row>
    <row r="163" spans="1:25" x14ac:dyDescent="0.3">
      <c r="A163" s="308"/>
      <c r="B163" s="308"/>
      <c r="C163" s="308"/>
      <c r="D163" s="308"/>
      <c r="E163" s="308"/>
      <c r="F163" s="78" t="s">
        <v>1145</v>
      </c>
      <c r="G163" s="63">
        <v>1</v>
      </c>
      <c r="H163" s="102">
        <v>2160</v>
      </c>
      <c r="I163" s="145">
        <f>GETPIVOTDATA("Сума от Първоначална стойност",$A$3,"група",45,"№ Вид машини",3,"Вид машини","Асортиментни машини","наименование на групата","Машина за рязане на ласе","описание",,"характеристики","студен/горещ нож")/GETPIVOTDATA("Брой от име",$A$3,"група",45,"№ Вид машини",3,"Вид машини","Асортиментни машини","наименование на групата","Машина за рязане на ласе","описание",,"характеристики","студен/горещ нож")</f>
        <v>2160</v>
      </c>
      <c r="J163"/>
      <c r="K163" s="309"/>
      <c r="L163" s="100" t="s">
        <v>1145</v>
      </c>
      <c r="M163" s="91"/>
      <c r="N163" s="149"/>
      <c r="O163" s="92"/>
      <c r="P163" s="91"/>
      <c r="Q163" s="147"/>
      <c r="R163" s="92"/>
      <c r="S163" s="90"/>
      <c r="T163" s="147"/>
      <c r="U163" s="92"/>
      <c r="W163" s="212">
        <f>GETPIVOTDATA("Брой от име",$A$3,"група",45,"№ Вид машини",3,"Вид машини","Асортиментни машини","наименование на групата","Машина за рязане на ласе","описание",,"характеристики","студен/горещ нож")-M163-P163-S163</f>
        <v>1</v>
      </c>
      <c r="X163" s="217">
        <f t="shared" si="8"/>
        <v>2160</v>
      </c>
    </row>
    <row r="164" spans="1:25" ht="28.8" x14ac:dyDescent="0.3">
      <c r="A164" s="308"/>
      <c r="B164" s="308"/>
      <c r="C164" s="308"/>
      <c r="D164" s="307" t="s">
        <v>2048</v>
      </c>
      <c r="E164" s="308"/>
      <c r="F164" s="308"/>
      <c r="G164" s="63">
        <v>2</v>
      </c>
      <c r="H164" s="102">
        <v>3960</v>
      </c>
      <c r="I164" s="145"/>
      <c r="J164"/>
      <c r="K164" s="97" t="s">
        <v>258</v>
      </c>
      <c r="L164" s="101" t="e">
        <f>COUNTIF('Machine park -  BTB 24.04.26'!#REF!,$K164)</f>
        <v>#REF!</v>
      </c>
      <c r="M164" s="94">
        <f>SUM(M162:M163)</f>
        <v>0</v>
      </c>
      <c r="N164" s="150"/>
      <c r="O164" s="95"/>
      <c r="P164" s="94">
        <f>SUM(P162:P163)</f>
        <v>0</v>
      </c>
      <c r="Q164" s="148"/>
      <c r="R164" s="95"/>
      <c r="S164" s="93">
        <f>SUM(S162:S163)</f>
        <v>0</v>
      </c>
      <c r="T164" s="148"/>
      <c r="U164" s="95"/>
      <c r="W164" s="213">
        <f>GETPIVOTDATA("Брой от име",$A$3,"група",45,"№ Вид машини",3,"Вид машини","Асортиментни машини","наименование на групата","Машина за рязане на ласе")-M164-P164-S164</f>
        <v>2</v>
      </c>
      <c r="X164" s="219">
        <f>SUM(X162:X163)</f>
        <v>3960</v>
      </c>
    </row>
    <row r="165" spans="1:25" ht="43.2" x14ac:dyDescent="0.3">
      <c r="A165" s="308"/>
      <c r="B165" s="308"/>
      <c r="C165" s="307">
        <v>46</v>
      </c>
      <c r="D165" s="78" t="s">
        <v>230</v>
      </c>
      <c r="E165" s="78" t="s">
        <v>1639</v>
      </c>
      <c r="F165" s="78" t="s">
        <v>1639</v>
      </c>
      <c r="G165" s="63">
        <v>2</v>
      </c>
      <c r="H165" s="102">
        <v>900</v>
      </c>
      <c r="I165" s="145">
        <f>GETPIVOTDATA("Сума от Първоначална стойност",$A$3,"група",46,"№ Вид машини",3,"Вид машини","Асортиментни машини","наименование на групата","Машина за пренавиване на конци","описание",,"характеристики",)/GETPIVOTDATA("Брой от име",$A$3,"група",46,"№ Вид машини",3,"Вид машини","Асортиментни машини","наименование на групата","Машина за пренавиване на конци","описание",,"характеристики",)</f>
        <v>450</v>
      </c>
      <c r="J165"/>
      <c r="K165" s="98" t="s">
        <v>230</v>
      </c>
      <c r="L165" s="100"/>
      <c r="M165" s="91"/>
      <c r="N165" s="149"/>
      <c r="O165" s="92"/>
      <c r="P165" s="91"/>
      <c r="Q165" s="147"/>
      <c r="R165" s="92"/>
      <c r="S165" s="90"/>
      <c r="T165" s="147"/>
      <c r="U165" s="92"/>
      <c r="W165" s="212">
        <f>GETPIVOTDATA("Брой от име",$A$3,"група",46,"№ Вид машини",3,"Вид машини","Асортиментни машини","наименование на групата","Машина за пренавиване на конци","описание",,"характеристики",)-M165-P165-S165</f>
        <v>2</v>
      </c>
      <c r="X165" s="217">
        <f t="shared" si="8"/>
        <v>900</v>
      </c>
    </row>
    <row r="166" spans="1:25" ht="43.2" x14ac:dyDescent="0.3">
      <c r="A166" s="308"/>
      <c r="B166" s="308"/>
      <c r="C166" s="308"/>
      <c r="D166" s="307" t="s">
        <v>2049</v>
      </c>
      <c r="E166" s="308"/>
      <c r="F166" s="308"/>
      <c r="G166" s="63">
        <v>2</v>
      </c>
      <c r="H166" s="102">
        <v>900</v>
      </c>
      <c r="I166" s="145"/>
      <c r="J166"/>
      <c r="K166" s="97" t="s">
        <v>230</v>
      </c>
      <c r="L166" s="101" t="e">
        <f>COUNTIF('Machine park -  BTB 24.04.26'!#REF!,$K166)</f>
        <v>#REF!</v>
      </c>
      <c r="M166" s="94">
        <f>M165</f>
        <v>0</v>
      </c>
      <c r="N166" s="150"/>
      <c r="O166" s="95"/>
      <c r="P166" s="94">
        <f>P165</f>
        <v>0</v>
      </c>
      <c r="Q166" s="148"/>
      <c r="R166" s="95"/>
      <c r="S166" s="93">
        <f>S165</f>
        <v>0</v>
      </c>
      <c r="T166" s="148"/>
      <c r="U166" s="95"/>
      <c r="W166" s="213">
        <f>GETPIVOTDATA("Брой от име",$A$3,"група",46,"№ Вид машини",3,"Вид машини","Асортиментни машини","наименование на групата","Машина за пренавиване на конци")-M166-P166-S166</f>
        <v>2</v>
      </c>
      <c r="X166" s="219">
        <f>SUM(X165)</f>
        <v>900</v>
      </c>
    </row>
    <row r="167" spans="1:25" ht="43.2" x14ac:dyDescent="0.3">
      <c r="A167" s="308"/>
      <c r="B167" s="308"/>
      <c r="C167" s="307">
        <v>48</v>
      </c>
      <c r="D167" s="78" t="s">
        <v>396</v>
      </c>
      <c r="E167" s="78" t="s">
        <v>1639</v>
      </c>
      <c r="F167" s="78" t="s">
        <v>1639</v>
      </c>
      <c r="G167" s="63">
        <v>1</v>
      </c>
      <c r="H167" s="102">
        <v>242.52292</v>
      </c>
      <c r="I167" s="145">
        <f>GETPIVOTDATA("Сума от Първоначална стойност",$A$3,"група",48,"№ Вид машини",3,"Вид машини","Асортиментни машини","наименование на групата","Устройство за поставяне на плъзгач","описание",,"характеристики",)/GETPIVOTDATA("Брой от име",$A$3,"група",48,"№ Вид машини",3,"Вид машини","Асортиментни машини","наименование на групата","Устройство за поставяне на плъзгач","описание",,"характеристики",)</f>
        <v>242.52292</v>
      </c>
      <c r="J167"/>
      <c r="K167" s="98" t="s">
        <v>396</v>
      </c>
      <c r="L167" s="100"/>
      <c r="M167" s="91"/>
      <c r="N167" s="149"/>
      <c r="O167" s="92"/>
      <c r="P167" s="91"/>
      <c r="Q167" s="147"/>
      <c r="R167" s="92"/>
      <c r="S167" s="90"/>
      <c r="T167" s="147"/>
      <c r="U167" s="92"/>
      <c r="W167" s="212">
        <f>GETPIVOTDATA("Брой от име",$A$3,"група",48,"№ Вид машини",3,"Вид машини","Асортиментни машини","наименование на групата","Устройство за поставяне на плъзгач","описание",,"характеристики",)-M167-P167-S167</f>
        <v>1</v>
      </c>
      <c r="X167" s="217">
        <f t="shared" si="8"/>
        <v>242.52292</v>
      </c>
    </row>
    <row r="168" spans="1:25" ht="43.2" x14ac:dyDescent="0.3">
      <c r="A168" s="308"/>
      <c r="B168" s="308"/>
      <c r="C168" s="308"/>
      <c r="D168" s="307" t="s">
        <v>2050</v>
      </c>
      <c r="E168" s="308"/>
      <c r="F168" s="308"/>
      <c r="G168" s="63">
        <v>1</v>
      </c>
      <c r="H168" s="102">
        <v>242.52292</v>
      </c>
      <c r="I168" s="145"/>
      <c r="J168"/>
      <c r="K168" s="97" t="s">
        <v>396</v>
      </c>
      <c r="L168" s="101" t="e">
        <f>COUNTIF('Machine park -  BTB 24.04.26'!#REF!,$K168)</f>
        <v>#REF!</v>
      </c>
      <c r="M168" s="94">
        <f>M167</f>
        <v>0</v>
      </c>
      <c r="N168" s="150"/>
      <c r="O168" s="95"/>
      <c r="P168" s="94">
        <f>P167</f>
        <v>0</v>
      </c>
      <c r="Q168" s="148"/>
      <c r="R168" s="95"/>
      <c r="S168" s="93">
        <f>S167</f>
        <v>0</v>
      </c>
      <c r="T168" s="148"/>
      <c r="U168" s="95"/>
      <c r="W168" s="213">
        <f>GETPIVOTDATA("Брой от име",$A$3,"група",48,"№ Вид машини",3,"Вид машини","Асортиментни машини","наименование на групата","Устройство за поставяне на плъзгач")-M168-P168-S168</f>
        <v>1</v>
      </c>
      <c r="X168" s="219">
        <f>SUM(X167)</f>
        <v>242.52292</v>
      </c>
    </row>
    <row r="169" spans="1:25" ht="28.8" x14ac:dyDescent="0.3">
      <c r="A169" s="308"/>
      <c r="B169" s="308"/>
      <c r="C169" s="307">
        <v>52</v>
      </c>
      <c r="D169" s="78" t="s">
        <v>617</v>
      </c>
      <c r="E169" s="78" t="s">
        <v>1639</v>
      </c>
      <c r="F169" s="78" t="s">
        <v>1639</v>
      </c>
      <c r="G169" s="63">
        <v>1</v>
      </c>
      <c r="H169" s="102">
        <v>1200</v>
      </c>
      <c r="I169" s="145">
        <f>GETPIVOTDATA("Сума от Първоначална стойност",$A$3,"група",52,"№ Вид машини",3,"Вид машини","Асортиментни машини","наименование на групата","Устройство за центроване","описание",,"характеристики",)/GETPIVOTDATA("Брой от име",$A$3,"група",52,"№ Вид машини",3,"Вид машини","Асортиментни машини","наименование на групата","Устройство за центроване","описание",,"характеристики",)</f>
        <v>1200</v>
      </c>
      <c r="J169"/>
      <c r="K169" s="98" t="s">
        <v>617</v>
      </c>
      <c r="L169" s="100"/>
      <c r="M169" s="91"/>
      <c r="N169" s="149"/>
      <c r="O169" s="92"/>
      <c r="P169" s="91"/>
      <c r="Q169" s="147"/>
      <c r="R169" s="92"/>
      <c r="S169" s="90"/>
      <c r="T169" s="147"/>
      <c r="U169" s="92"/>
      <c r="W169" s="212">
        <f>GETPIVOTDATA("Брой от име",$A$3,"група",52,"№ Вид машини",3,"Вид машини","Асортиментни машини","наименование на групата","Устройство за центроване","описание",,"характеристики",)-M169-P169-S169</f>
        <v>1</v>
      </c>
      <c r="X169" s="217">
        <f t="shared" si="8"/>
        <v>1200</v>
      </c>
    </row>
    <row r="170" spans="1:25" ht="28.8" x14ac:dyDescent="0.3">
      <c r="A170" s="308"/>
      <c r="B170" s="308"/>
      <c r="C170" s="308"/>
      <c r="D170" s="307" t="s">
        <v>2051</v>
      </c>
      <c r="E170" s="308"/>
      <c r="F170" s="308"/>
      <c r="G170" s="63">
        <v>1</v>
      </c>
      <c r="H170" s="102">
        <v>1200</v>
      </c>
      <c r="I170" s="145"/>
      <c r="J170"/>
      <c r="K170" s="97" t="s">
        <v>617</v>
      </c>
      <c r="L170" s="101" t="e">
        <f>COUNTIF('Machine park -  BTB 24.04.26'!#REF!,$K170)</f>
        <v>#REF!</v>
      </c>
      <c r="M170" s="94">
        <f>M169</f>
        <v>0</v>
      </c>
      <c r="N170" s="150"/>
      <c r="O170" s="95"/>
      <c r="P170" s="94">
        <f>P169</f>
        <v>0</v>
      </c>
      <c r="Q170" s="148"/>
      <c r="R170" s="95"/>
      <c r="S170" s="93">
        <f>S169</f>
        <v>0</v>
      </c>
      <c r="T170" s="148"/>
      <c r="U170" s="95"/>
      <c r="W170" s="213">
        <f>GETPIVOTDATA("Брой от име",$A$3,"група",52,"№ Вид машини",3,"Вид машини","Асортиментни машини","наименование на групата","Устройство за центроване")-M170-P170-S170</f>
        <v>1</v>
      </c>
      <c r="X170" s="219">
        <f>SUM(X169)</f>
        <v>1200</v>
      </c>
    </row>
    <row r="171" spans="1:25" ht="28.8" x14ac:dyDescent="0.3">
      <c r="A171" s="308"/>
      <c r="B171" s="308"/>
      <c r="C171" s="307">
        <v>54</v>
      </c>
      <c r="D171" s="78" t="s">
        <v>621</v>
      </c>
      <c r="E171" s="78" t="s">
        <v>1639</v>
      </c>
      <c r="F171" s="78" t="s">
        <v>1639</v>
      </c>
      <c r="G171" s="63">
        <v>3</v>
      </c>
      <c r="H171" s="102">
        <v>19840.16</v>
      </c>
      <c r="I171" s="145">
        <f>GETPIVOTDATA("Сума от Първоначална стойност",$A$3,"група",54,"№ Вид машини",3,"Вид машини","Асортиментни машини","наименование на групата","Преса за трансферен печат","описание",,"характеристики",)/GETPIVOTDATA("Брой от име",$A$3,"група",54,"№ Вид машини",3,"Вид машини","Асортиментни машини","наименование на групата","Преса за трансферен печат","описание",,"характеристики",)</f>
        <v>6613.3866666666663</v>
      </c>
      <c r="J171"/>
      <c r="K171" s="98" t="s">
        <v>621</v>
      </c>
      <c r="L171" s="100"/>
      <c r="M171" s="91">
        <v>1</v>
      </c>
      <c r="N171" s="158">
        <f>M171*I171</f>
        <v>6613.3866666666663</v>
      </c>
      <c r="O171" s="92" t="s">
        <v>1465</v>
      </c>
      <c r="P171" s="91">
        <v>1</v>
      </c>
      <c r="Q171" s="149">
        <f>P171*I171</f>
        <v>6613.3866666666663</v>
      </c>
      <c r="R171" s="92" t="s">
        <v>1465</v>
      </c>
      <c r="S171" s="90"/>
      <c r="T171" s="147"/>
      <c r="U171" s="92"/>
      <c r="W171" s="212">
        <f>GETPIVOTDATA("Брой от име",$A$3,"група",54,"№ Вид машини",3,"Вид машини","Асортиментни машини","наименование на групата","Преса за трансферен печат","описание",,"характеристики",)-M171-P171-S171</f>
        <v>1</v>
      </c>
      <c r="X171" s="217">
        <f t="shared" si="8"/>
        <v>6613.3866666666663</v>
      </c>
    </row>
    <row r="172" spans="1:25" ht="43.2" x14ac:dyDescent="0.3">
      <c r="A172" s="308"/>
      <c r="B172" s="308"/>
      <c r="C172" s="308"/>
      <c r="D172" s="307" t="s">
        <v>2052</v>
      </c>
      <c r="E172" s="308"/>
      <c r="F172" s="308"/>
      <c r="G172" s="63">
        <v>3</v>
      </c>
      <c r="H172" s="102">
        <v>19840.16</v>
      </c>
      <c r="I172" s="145"/>
      <c r="J172"/>
      <c r="K172" s="97" t="s">
        <v>621</v>
      </c>
      <c r="L172" s="101" t="e">
        <f>COUNTIF('Machine park -  BTB 24.04.26'!#REF!,$K172)</f>
        <v>#REF!</v>
      </c>
      <c r="M172" s="94">
        <f>M171</f>
        <v>1</v>
      </c>
      <c r="N172" s="159">
        <f>N171</f>
        <v>6613.3866666666663</v>
      </c>
      <c r="O172" s="95"/>
      <c r="P172" s="94">
        <f>P171</f>
        <v>1</v>
      </c>
      <c r="Q172" s="159">
        <f>Q171</f>
        <v>6613.3866666666663</v>
      </c>
      <c r="R172" s="95"/>
      <c r="S172" s="93">
        <f>S171</f>
        <v>0</v>
      </c>
      <c r="T172" s="148"/>
      <c r="U172" s="95"/>
      <c r="W172" s="213">
        <f>GETPIVOTDATA("Брой от име",$A$3,"група",54,"№ Вид машини",3,"Вид машини","Асортиментни машини","наименование на групата","Преса за трансферен печат")-M172-P172-S172</f>
        <v>1</v>
      </c>
      <c r="X172" s="219">
        <f>SUM(X171)</f>
        <v>6613.3866666666663</v>
      </c>
      <c r="Y172" s="145">
        <f>X172+T172+Q172+N172</f>
        <v>19840.16</v>
      </c>
    </row>
    <row r="173" spans="1:25" ht="28.8" x14ac:dyDescent="0.3">
      <c r="A173" s="307">
        <v>4</v>
      </c>
      <c r="B173" s="307" t="s">
        <v>1353</v>
      </c>
      <c r="C173" s="307">
        <v>16</v>
      </c>
      <c r="D173" s="307" t="s">
        <v>201</v>
      </c>
      <c r="E173" s="307" t="s">
        <v>1103</v>
      </c>
      <c r="F173" s="78" t="s">
        <v>1136</v>
      </c>
      <c r="G173" s="63">
        <v>2</v>
      </c>
      <c r="H173" s="102">
        <v>30824</v>
      </c>
      <c r="I173" s="145">
        <f>GETPIVOTDATA("Сума от Първоначална стойност",$A$3,"група",16,"№ Вид машини",4,"Вид машини","Гладачна техника","наименование на групата","Гладачна маса","описание","лакътен и вътрешен шев","характеристики","подгрев")/GETPIVOTDATA("Брой от име",$A$3,"група",16,"№ Вид машини",4,"Вид машини","Гладачна техника","наименование на групата","Гладачна маса","описание","лакътен и вътрешен шев","характеристики","подгрев")</f>
        <v>15412</v>
      </c>
      <c r="J173"/>
      <c r="K173" s="309" t="s">
        <v>201</v>
      </c>
      <c r="L173" s="100" t="s">
        <v>1446</v>
      </c>
      <c r="M173" s="91">
        <v>1</v>
      </c>
      <c r="N173" s="149">
        <f>M173*I173</f>
        <v>15412</v>
      </c>
      <c r="O173" s="92" t="s">
        <v>1371</v>
      </c>
      <c r="P173" s="91"/>
      <c r="Q173" s="147"/>
      <c r="R173" s="92"/>
      <c r="S173" s="90"/>
      <c r="T173" s="147"/>
      <c r="U173" s="92"/>
      <c r="W173" s="212">
        <f>GETPIVOTDATA("Брой от име",$A$3,"група",16,"№ Вид машини",4,"Вид машини","Гладачна техника","наименование на групата","Гладачна маса","описание","лакътен и вътрешен шев","характеристики","подгрев")-M173-P173-S173</f>
        <v>1</v>
      </c>
      <c r="X173" s="217">
        <f t="shared" si="8"/>
        <v>15412</v>
      </c>
    </row>
    <row r="174" spans="1:25" x14ac:dyDescent="0.3">
      <c r="A174" s="308"/>
      <c r="B174" s="308"/>
      <c r="C174" s="308"/>
      <c r="D174" s="308"/>
      <c r="E174" s="308"/>
      <c r="F174" s="78" t="s">
        <v>1639</v>
      </c>
      <c r="G174" s="63">
        <v>1</v>
      </c>
      <c r="H174" s="102">
        <v>7921</v>
      </c>
      <c r="I174" s="145">
        <f>GETPIVOTDATA("Сума от Първоначална стойност",$A$3,"група",16,"№ Вид машини",4,"Вид машини","Гладачна техника","наименование на групата","Гладачна маса","описание","лакътен и вътрешен шев","характеристики",)/GETPIVOTDATA("Брой от име",$A$3,"група",16,"№ Вид машини",4,"Вид машини","Гладачна техника","наименование на групата","Гладачна маса","описание","лакътен и вътрешен шев","характеристики",)</f>
        <v>7921</v>
      </c>
      <c r="J174"/>
      <c r="K174" s="309"/>
      <c r="L174" s="100" t="s">
        <v>1103</v>
      </c>
      <c r="M174" s="91"/>
      <c r="N174" s="149"/>
      <c r="O174" s="92"/>
      <c r="P174" s="91"/>
      <c r="Q174" s="147"/>
      <c r="R174" s="92"/>
      <c r="S174" s="90"/>
      <c r="T174" s="147"/>
      <c r="U174" s="92"/>
      <c r="W174" s="212">
        <f>GETPIVOTDATA("Брой от име",$A$3,"група",16,"№ Вид машини",4,"Вид машини","Гладачна техника","наименование на групата","Гладачна маса","описание","лакътен и вътрешен шев","характеристики",)-M174-P174-S174</f>
        <v>1</v>
      </c>
      <c r="X174" s="217">
        <f t="shared" si="8"/>
        <v>7921</v>
      </c>
    </row>
    <row r="175" spans="1:25" ht="28.8" x14ac:dyDescent="0.3">
      <c r="A175" s="308"/>
      <c r="B175" s="308"/>
      <c r="C175" s="308"/>
      <c r="D175" s="308"/>
      <c r="E175" s="307" t="s">
        <v>1060</v>
      </c>
      <c r="F175" s="78" t="s">
        <v>1176</v>
      </c>
      <c r="G175" s="63">
        <v>25</v>
      </c>
      <c r="H175" s="102">
        <v>87233.730000000025</v>
      </c>
      <c r="I175" s="145">
        <f>GETPIVOTDATA("Сума от Първоначална стойност",$A$3,"група",16,"№ Вид машини",4,"Вид машини","Гладачна техника","наименование на групата","Гладачна маса","описание","правоъгълна","характеристики","междинно гладене")/GETPIVOTDATA("Брой от име",$A$3,"група",16,"№ Вид машини",4,"Вид машини","Гладачна техника","наименование на групата","Гладачна маса","описание","правоъгълна","характеристики","междинно гладене")</f>
        <v>3489.349200000001</v>
      </c>
      <c r="J175"/>
      <c r="K175" s="309"/>
      <c r="L175" s="100" t="s">
        <v>1447</v>
      </c>
      <c r="M175" s="91"/>
      <c r="N175" s="149"/>
      <c r="O175" s="92"/>
      <c r="P175" s="91"/>
      <c r="Q175" s="147"/>
      <c r="R175" s="92"/>
      <c r="S175" s="90"/>
      <c r="T175" s="147"/>
      <c r="U175" s="92"/>
      <c r="W175" s="212">
        <f>GETPIVOTDATA("Брой от име",$A$3,"група",16,"№ Вид машини",4,"Вид машини","Гладачна техника","наименование на групата","Гладачна маса","описание","правоъгълна","характеристики","междинно гладене")-M175-P175-S175</f>
        <v>25</v>
      </c>
      <c r="X175" s="217">
        <f t="shared" si="8"/>
        <v>87233.730000000025</v>
      </c>
    </row>
    <row r="176" spans="1:25" ht="28.8" x14ac:dyDescent="0.3">
      <c r="A176" s="308"/>
      <c r="B176" s="308"/>
      <c r="C176" s="308"/>
      <c r="D176" s="308"/>
      <c r="E176" s="308"/>
      <c r="F176" s="78" t="s">
        <v>1196</v>
      </c>
      <c r="G176" s="63">
        <v>18</v>
      </c>
      <c r="H176" s="102">
        <v>117906.12</v>
      </c>
      <c r="I176" s="145">
        <f>GETPIVOTDATA("Сума от Първоначална стойност",$A$3,"група",16,"№ Вид машини",4,"Вид машини","Гладачна техника","наименование на групата","Гладачна маса","описание","правоъгълна","характеристики","подгрев/ междинно гладене")/GETPIVOTDATA("Брой от име",$A$3,"група",16,"№ Вид машини",4,"Вид машини","Гладачна техника","наименование на групата","Гладачна маса","описание","правоъгълна","характеристики","подгрев/ междинно гладене")</f>
        <v>6550.34</v>
      </c>
      <c r="J176"/>
      <c r="K176" s="309"/>
      <c r="L176" s="100" t="s">
        <v>1448</v>
      </c>
      <c r="M176" s="91">
        <v>4</v>
      </c>
      <c r="N176" s="149">
        <f>M176*I176</f>
        <v>26201.360000000001</v>
      </c>
      <c r="O176" s="92"/>
      <c r="P176" s="91"/>
      <c r="Q176" s="147"/>
      <c r="R176" s="92"/>
      <c r="S176" s="90">
        <v>4</v>
      </c>
      <c r="T176" s="149">
        <f>S176*I176</f>
        <v>26201.360000000001</v>
      </c>
      <c r="U176" s="92"/>
      <c r="W176" s="212">
        <f>GETPIVOTDATA("Брой от име",$A$3,"група",16,"№ Вид машини",4,"Вид машини","Гладачна техника","наименование на групата","Гладачна маса","описание","правоъгълна","характеристики","подгрев/ междинно гладене")-M176-P176-S176</f>
        <v>10</v>
      </c>
      <c r="X176" s="217">
        <f t="shared" si="8"/>
        <v>65503.4</v>
      </c>
    </row>
    <row r="177" spans="1:25" ht="28.8" x14ac:dyDescent="0.3">
      <c r="A177" s="308"/>
      <c r="B177" s="308"/>
      <c r="C177" s="308"/>
      <c r="D177" s="308"/>
      <c r="E177" s="78" t="s">
        <v>1081</v>
      </c>
      <c r="F177" s="78" t="s">
        <v>1639</v>
      </c>
      <c r="G177" s="63">
        <v>4</v>
      </c>
      <c r="H177" s="102">
        <v>35311.5</v>
      </c>
      <c r="I177" s="145">
        <f>GETPIVOTDATA("Сума от Първоначална стойност",$A$3,"група",16,"№ Вид машини",4,"Вид машини","Гладачна техника","наименование на групата","Гладачна маса","описание","разглаждане шев на крачоли","характеристики",)/GETPIVOTDATA("Брой от име",$A$3,"група",16,"№ Вид машини",4,"Вид машини","Гладачна техника","наименование на групата","Гладачна маса","описание","разглаждане шев на крачоли","характеристики",)</f>
        <v>8827.875</v>
      </c>
      <c r="J177"/>
      <c r="K177" s="309"/>
      <c r="L177" s="100" t="s">
        <v>1081</v>
      </c>
      <c r="M177" s="91"/>
      <c r="N177" s="149"/>
      <c r="O177" s="92"/>
      <c r="P177" s="91">
        <v>2</v>
      </c>
      <c r="Q177" s="149">
        <f>P177*I177</f>
        <v>17655.75</v>
      </c>
      <c r="R177" s="92"/>
      <c r="S177" s="90"/>
      <c r="T177" s="149"/>
      <c r="U177" s="92"/>
      <c r="W177" s="212">
        <f>GETPIVOTDATA("Брой от име",$A$3,"група",16,"№ Вид машини",4,"Вид машини","Гладачна техника","наименование на групата","Гладачна маса","описание","разглаждане шев на крачоли","характеристики",)-M177-P177-S177</f>
        <v>2</v>
      </c>
      <c r="X177" s="217">
        <f t="shared" si="8"/>
        <v>17655.75</v>
      </c>
    </row>
    <row r="178" spans="1:25" ht="28.8" x14ac:dyDescent="0.3">
      <c r="A178" s="308"/>
      <c r="B178" s="308"/>
      <c r="C178" s="308"/>
      <c r="D178" s="308"/>
      <c r="E178" s="78" t="s">
        <v>1131</v>
      </c>
      <c r="F178" s="78" t="s">
        <v>1639</v>
      </c>
      <c r="G178" s="63">
        <v>1</v>
      </c>
      <c r="H178" s="102">
        <v>800</v>
      </c>
      <c r="I178" s="145">
        <f>GETPIVOTDATA("Сума от Първоначална стойност",$A$3,"група",16,"№ Вид машини",4,"Вид машини","Гладачна техника","наименование на групата","Гладачна маса","описание","разглаждане шев на ръкави","характеристики",)/GETPIVOTDATA("Брой от име",$A$3,"група",16,"№ Вид машини",4,"Вид машини","Гладачна техника","наименование на групата","Гладачна маса","описание","разглаждане шев на ръкави","характеристики",)</f>
        <v>800</v>
      </c>
      <c r="J178"/>
      <c r="K178" s="309"/>
      <c r="L178" s="100" t="s">
        <v>1131</v>
      </c>
      <c r="M178" s="91">
        <v>1</v>
      </c>
      <c r="N178" s="149">
        <f>M178*I178</f>
        <v>800</v>
      </c>
      <c r="O178" s="92"/>
      <c r="P178" s="91"/>
      <c r="Q178" s="149"/>
      <c r="R178" s="92"/>
      <c r="S178" s="90"/>
      <c r="T178" s="149"/>
      <c r="U178" s="92"/>
      <c r="W178" s="212">
        <f>GETPIVOTDATA("Брой от име",$A$3,"група",16,"№ Вид машини",4,"Вид машини","Гладачна техника","наименование на групата","Гладачна маса","описание","разглаждане шев на ръкави","характеристики",)-M178-P178-S178</f>
        <v>0</v>
      </c>
      <c r="X178" s="217">
        <f t="shared" si="8"/>
        <v>0</v>
      </c>
    </row>
    <row r="179" spans="1:25" x14ac:dyDescent="0.3">
      <c r="A179" s="308"/>
      <c r="B179" s="308"/>
      <c r="C179" s="308"/>
      <c r="D179" s="308"/>
      <c r="E179" s="78" t="s">
        <v>1135</v>
      </c>
      <c r="F179" s="78" t="s">
        <v>1639</v>
      </c>
      <c r="G179" s="63">
        <v>3</v>
      </c>
      <c r="H179" s="102">
        <v>32547.600000000002</v>
      </c>
      <c r="I179" s="145">
        <f>GETPIVOTDATA("Сума от Първоначална стойност",$A$3,"група",16,"№ Вид машини",4,"Вид машини","Гладачна техника","наименование на групата","Гладачна маса","описание","рамо и страничен шев","характеристики",)/GETPIVOTDATA("Брой от име",$A$3,"група",16,"№ Вид машини",4,"Вид машини","Гладачна техника","наименование на групата","Гладачна маса","описание","рамо и страничен шев","характеристики",)</f>
        <v>10849.2</v>
      </c>
      <c r="J179"/>
      <c r="K179" s="309"/>
      <c r="L179" s="100" t="s">
        <v>1135</v>
      </c>
      <c r="M179" s="91">
        <v>1</v>
      </c>
      <c r="N179" s="149">
        <f>M179*I179</f>
        <v>10849.2</v>
      </c>
      <c r="O179" s="92"/>
      <c r="P179" s="91"/>
      <c r="Q179" s="149"/>
      <c r="R179" s="92"/>
      <c r="S179" s="90"/>
      <c r="T179" s="149"/>
      <c r="U179" s="92"/>
      <c r="W179" s="212">
        <f>GETPIVOTDATA("Брой от име",$A$3,"група",16,"№ Вид машини",4,"Вид машини","Гладачна техника","наименование на групата","Гладачна маса","описание","рамо и страничен шев","характеристики",)-M179-P179-S179</f>
        <v>2</v>
      </c>
      <c r="X179" s="217">
        <f t="shared" si="8"/>
        <v>21698.400000000001</v>
      </c>
    </row>
    <row r="180" spans="1:25" x14ac:dyDescent="0.3">
      <c r="A180" s="308"/>
      <c r="B180" s="308"/>
      <c r="C180" s="308"/>
      <c r="D180" s="308"/>
      <c r="E180" s="78" t="s">
        <v>1086</v>
      </c>
      <c r="F180" s="78" t="s">
        <v>1639</v>
      </c>
      <c r="G180" s="63">
        <v>1</v>
      </c>
      <c r="H180" s="102">
        <v>3012.96</v>
      </c>
      <c r="I180" s="145">
        <f>GETPIVOTDATA("Сума от Първоначална стойност",$A$3,"група",16,"№ Вид машини",4,"Вид машини","Гладачна техника","наименование на групата","Гладачна маса","описание","шлиц","характеристики",)/GETPIVOTDATA("Брой от име",$A$3,"група",16,"№ Вид машини",4,"Вид машини","Гладачна техника","наименование на групата","Гладачна маса","описание","шлиц","характеристики",)</f>
        <v>3012.96</v>
      </c>
      <c r="J180"/>
      <c r="K180" s="309"/>
      <c r="L180" s="100" t="s">
        <v>1086</v>
      </c>
      <c r="M180" s="91">
        <v>1</v>
      </c>
      <c r="N180" s="149">
        <f>M180*I180</f>
        <v>3012.96</v>
      </c>
      <c r="O180" s="92"/>
      <c r="P180" s="91"/>
      <c r="Q180" s="149"/>
      <c r="R180" s="92"/>
      <c r="S180" s="90"/>
      <c r="T180" s="149"/>
      <c r="U180" s="92"/>
      <c r="W180" s="212">
        <f>GETPIVOTDATA("Брой от име",$A$3,"група",16,"№ Вид машини",4,"Вид машини","Гладачна техника","наименование на групата","Гладачна маса","описание","шлиц","характеристики",)-M180-P180-S180</f>
        <v>0</v>
      </c>
      <c r="X180" s="217">
        <f t="shared" si="8"/>
        <v>0</v>
      </c>
    </row>
    <row r="181" spans="1:25" x14ac:dyDescent="0.3">
      <c r="A181" s="308"/>
      <c r="B181" s="308"/>
      <c r="C181" s="308"/>
      <c r="D181" s="308"/>
      <c r="E181" s="307" t="s">
        <v>1639</v>
      </c>
      <c r="F181" s="78" t="s">
        <v>1076</v>
      </c>
      <c r="G181" s="63">
        <v>9</v>
      </c>
      <c r="H181" s="102">
        <v>38978.349999999991</v>
      </c>
      <c r="I181" s="145">
        <f>GETPIVOTDATA("Сума от Първоначална стойност",$A$3,"група",16,"№ Вид машини",4,"Вид машини","Гладачна техника","наименование на групата","Гладачна маса","описание",,"характеристики","крайно гладене")/GETPIVOTDATA("Брой от име",$A$3,"група",16,"№ Вид машини",4,"Вид машини","Гладачна техника","наименование на групата","Гладачна маса","описание",,"характеристики","крайно гладене")</f>
        <v>4330.927777777777</v>
      </c>
      <c r="J181"/>
      <c r="K181" s="309"/>
      <c r="L181" s="100" t="s">
        <v>1076</v>
      </c>
      <c r="M181" s="91"/>
      <c r="N181" s="149"/>
      <c r="O181" s="92"/>
      <c r="P181" s="91"/>
      <c r="Q181" s="149"/>
      <c r="R181" s="92"/>
      <c r="S181" s="90"/>
      <c r="T181" s="149"/>
      <c r="U181" s="92"/>
      <c r="W181" s="212">
        <f>GETPIVOTDATA("Брой от име",$A$3,"група",16,"№ Вид машини",4,"Вид машини","Гладачна техника","наименование на групата","Гладачна маса","описание",,"характеристики","крайно гладене")-M181-P181-S181</f>
        <v>9</v>
      </c>
      <c r="X181" s="217">
        <f t="shared" si="8"/>
        <v>38978.349999999991</v>
      </c>
    </row>
    <row r="182" spans="1:25" ht="28.8" x14ac:dyDescent="0.3">
      <c r="A182" s="308"/>
      <c r="B182" s="308"/>
      <c r="C182" s="308"/>
      <c r="D182" s="308"/>
      <c r="E182" s="308"/>
      <c r="F182" s="78" t="s">
        <v>1194</v>
      </c>
      <c r="G182" s="63">
        <v>4</v>
      </c>
      <c r="H182" s="102">
        <v>49716</v>
      </c>
      <c r="I182" s="145">
        <f>GETPIVOTDATA("Сума от Първоначална стойност",$A$3,"група",16,"№ Вид машини",4,"Вид машини","Гладачна техника","наименование на групата","Гладачна маса","описание",,"характеристики","крайно гладене/ панталони")/GETPIVOTDATA("Брой от име",$A$3,"група",16,"№ Вид машини",4,"Вид машини","Гладачна техника","наименование на групата","Гладачна маса","описание",,"характеристики","крайно гладене/ панталони")</f>
        <v>12429</v>
      </c>
      <c r="J182"/>
      <c r="K182" s="309"/>
      <c r="L182" s="100" t="s">
        <v>1194</v>
      </c>
      <c r="M182" s="91"/>
      <c r="N182" s="149"/>
      <c r="O182" s="92"/>
      <c r="P182" s="91">
        <v>3</v>
      </c>
      <c r="Q182" s="149">
        <f>P182*I182</f>
        <v>37287</v>
      </c>
      <c r="R182" s="92"/>
      <c r="S182" s="90"/>
      <c r="T182" s="149"/>
      <c r="U182" s="92"/>
      <c r="W182" s="212">
        <f>GETPIVOTDATA("Брой от име",$A$3,"група",16,"№ Вид машини",4,"Вид машини","Гладачна техника","наименование на групата","Гладачна маса","описание",,"характеристики","крайно гладене/ панталони")-M182-P182-S182</f>
        <v>1</v>
      </c>
      <c r="X182" s="217">
        <f t="shared" si="8"/>
        <v>12429</v>
      </c>
    </row>
    <row r="183" spans="1:25" ht="28.8" x14ac:dyDescent="0.3">
      <c r="A183" s="308"/>
      <c r="B183" s="308"/>
      <c r="C183" s="308"/>
      <c r="D183" s="308"/>
      <c r="E183" s="307" t="s">
        <v>1171</v>
      </c>
      <c r="F183" s="78" t="s">
        <v>1076</v>
      </c>
      <c r="G183" s="63">
        <v>11</v>
      </c>
      <c r="H183" s="102">
        <v>58827.909999999989</v>
      </c>
      <c r="I183" s="145">
        <f>GETPIVOTDATA("Сума от Първоначална стойност",$A$3,"група",16,"№ Вид машини",4,"Вид машини","Гладачна техника","наименование на групата","Гладачна маса","описание","универсална","характеристики","крайно гладене")/GETPIVOTDATA("Брой от име",$A$3,"група",16,"№ Вид машини",4,"Вид машини","Гладачна техника","наименование на групата","Гладачна маса","описание","универсална","характеристики","крайно гладене")</f>
        <v>5347.9918181818175</v>
      </c>
      <c r="J183"/>
      <c r="K183" s="309"/>
      <c r="L183" s="100" t="s">
        <v>1449</v>
      </c>
      <c r="M183" s="91">
        <v>4</v>
      </c>
      <c r="N183" s="149">
        <f>M183*I183</f>
        <v>21391.96727272727</v>
      </c>
      <c r="O183" s="92"/>
      <c r="P183" s="91"/>
      <c r="Q183" s="147"/>
      <c r="R183" s="92"/>
      <c r="S183" s="90">
        <v>6</v>
      </c>
      <c r="T183" s="149">
        <f>S183*I183</f>
        <v>32087.950909090905</v>
      </c>
      <c r="U183" s="92"/>
      <c r="W183" s="212">
        <f>GETPIVOTDATA("Брой от име",$A$3,"група",16,"№ Вид машини",4,"Вид машини","Гладачна техника","наименование на групата","Гладачна маса","описание","универсална","характеристики","крайно гладене")-M183-P183-S183</f>
        <v>1</v>
      </c>
      <c r="X183" s="217">
        <f t="shared" si="8"/>
        <v>5347.9918181818175</v>
      </c>
    </row>
    <row r="184" spans="1:25" ht="28.8" x14ac:dyDescent="0.3">
      <c r="A184" s="308"/>
      <c r="B184" s="308"/>
      <c r="C184" s="308"/>
      <c r="D184" s="308"/>
      <c r="E184" s="308"/>
      <c r="F184" s="78" t="s">
        <v>1176</v>
      </c>
      <c r="G184" s="63">
        <v>23</v>
      </c>
      <c r="H184" s="102">
        <v>113015.52</v>
      </c>
      <c r="I184" s="145">
        <f>GETPIVOTDATA("Сума от Първоначална стойност",$A$3,"група",16,"№ Вид машини",4,"Вид машини","Гладачна техника","наименование на групата","Гладачна маса","описание","универсална","характеристики","междинно гладене")/GETPIVOTDATA("Брой от име",$A$3,"група",16,"№ Вид машини",4,"Вид машини","Гладачна техника","наименование на групата","Гладачна маса","описание","универсална","характеристики","междинно гладене")</f>
        <v>4913.7182608695657</v>
      </c>
      <c r="J184"/>
      <c r="K184" s="309"/>
      <c r="L184" s="100" t="s">
        <v>1450</v>
      </c>
      <c r="M184" s="91"/>
      <c r="N184" s="149"/>
      <c r="O184" s="92"/>
      <c r="P184" s="91"/>
      <c r="Q184" s="147"/>
      <c r="R184" s="92"/>
      <c r="S184" s="90">
        <v>2</v>
      </c>
      <c r="T184" s="149">
        <f>S184*I184</f>
        <v>9827.4365217391314</v>
      </c>
      <c r="U184" s="92"/>
      <c r="W184" s="212">
        <f>GETPIVOTDATA("Брой от име",$A$3,"група",16,"№ Вид машини",4,"Вид машини","Гладачна техника","наименование на групата","Гладачна маса","описание","универсална","характеристики","междинно гладене")-M184-P184-S184</f>
        <v>21</v>
      </c>
      <c r="X184" s="217">
        <f t="shared" si="8"/>
        <v>103188.08347826087</v>
      </c>
    </row>
    <row r="185" spans="1:25" ht="28.8" x14ac:dyDescent="0.3">
      <c r="A185" s="308"/>
      <c r="B185" s="308"/>
      <c r="C185" s="308"/>
      <c r="D185" s="308"/>
      <c r="E185" s="308"/>
      <c r="F185" s="78" t="s">
        <v>1196</v>
      </c>
      <c r="G185" s="63">
        <v>2</v>
      </c>
      <c r="H185" s="102">
        <v>9284.01</v>
      </c>
      <c r="I185" s="145">
        <f>GETPIVOTDATA("Сума от Първоначална стойност",$A$3,"група",16,"№ Вид машини",4,"Вид машини","Гладачна техника","наименование на групата","Гладачна маса","описание","универсална","характеристики","подгрев/ междинно гладене")/GETPIVOTDATA("Брой от име",$A$3,"група",16,"№ Вид машини",4,"Вид машини","Гладачна техника","наименование на групата","Гладачна маса","описание","универсална","характеристики","подгрев/ междинно гладене")</f>
        <v>4642.0050000000001</v>
      </c>
      <c r="J185"/>
      <c r="K185" s="309"/>
      <c r="L185" s="100" t="s">
        <v>1451</v>
      </c>
      <c r="M185" s="91"/>
      <c r="N185" s="149"/>
      <c r="O185" s="92"/>
      <c r="P185" s="91"/>
      <c r="Q185" s="147"/>
      <c r="R185" s="92"/>
      <c r="S185" s="90"/>
      <c r="T185" s="147"/>
      <c r="U185" s="92"/>
      <c r="W185" s="212">
        <f>GETPIVOTDATA("Брой от име",$A$3,"група",16,"№ Вид машини",4,"Вид машини","Гладачна техника","наименование на групата","Гладачна маса","описание","универсална","характеристики","подгрев/ междинно гладене")-M185-P185-S185</f>
        <v>2</v>
      </c>
      <c r="X185" s="217">
        <f t="shared" si="8"/>
        <v>9284.01</v>
      </c>
    </row>
    <row r="186" spans="1:25" ht="28.8" x14ac:dyDescent="0.3">
      <c r="A186" s="308"/>
      <c r="B186" s="308"/>
      <c r="C186" s="308"/>
      <c r="D186" s="308"/>
      <c r="E186" s="308"/>
      <c r="F186" s="78" t="s">
        <v>1197</v>
      </c>
      <c r="G186" s="63">
        <v>3</v>
      </c>
      <c r="H186" s="102">
        <v>16826</v>
      </c>
      <c r="I186" s="145">
        <f>GETPIVOTDATA("Сума от Първоначална стойност",$A$3,"група",16,"№ Вид машини",4,"Вид машини","Гладачна техника","наименование на групата","Гладачна маса","описание","универсална","характеристики","подгрев/ крайно гладене")/GETPIVOTDATA("Брой от име",$A$3,"група",16,"№ Вид машини",4,"Вид машини","Гладачна техника","наименование на групата","Гладачна маса","описание","универсална","характеристики","подгрев/ крайно гладене")</f>
        <v>5608.666666666667</v>
      </c>
      <c r="J186"/>
      <c r="K186" s="309"/>
      <c r="L186" s="100" t="s">
        <v>1452</v>
      </c>
      <c r="M186" s="91"/>
      <c r="N186" s="149"/>
      <c r="O186" s="92"/>
      <c r="P186" s="91"/>
      <c r="Q186" s="147"/>
      <c r="R186" s="92"/>
      <c r="S186" s="90"/>
      <c r="T186" s="147"/>
      <c r="U186" s="92"/>
      <c r="W186" s="212">
        <f>GETPIVOTDATA("Брой от име",$A$3,"група",16,"№ Вид машини",4,"Вид машини","Гладачна техника","наименование на групата","Гладачна маса","описание","универсална","характеристики","подгрев/ крайно гладене")-M186-P186-S186</f>
        <v>3</v>
      </c>
      <c r="X186" s="217">
        <f t="shared" si="8"/>
        <v>16826</v>
      </c>
    </row>
    <row r="187" spans="1:25" ht="28.8" x14ac:dyDescent="0.3">
      <c r="A187" s="308"/>
      <c r="B187" s="308"/>
      <c r="C187" s="308"/>
      <c r="D187" s="308"/>
      <c r="E187" s="78" t="s">
        <v>1192</v>
      </c>
      <c r="F187" s="78" t="s">
        <v>1076</v>
      </c>
      <c r="G187" s="63">
        <v>1</v>
      </c>
      <c r="H187" s="102">
        <v>9099</v>
      </c>
      <c r="I187" s="145">
        <f>GETPIVOTDATA("Сума от Първоначална стойност",$A$3,"група",16,"№ Вид машини",4,"Вид машини","Гладачна техника","наименование на групата","Гладачна маса","описание","универсална - лява страна","характеристики","крайно гладене")/GETPIVOTDATA("Брой от име",$A$3,"група",16,"№ Вид машини",4,"Вид машини","Гладачна техника","наименование на групата","Гладачна маса","описание","универсална - лява страна","характеристики","крайно гладене")</f>
        <v>9099</v>
      </c>
      <c r="J187"/>
      <c r="K187" s="309"/>
      <c r="L187" s="100" t="s">
        <v>1453</v>
      </c>
      <c r="M187" s="91"/>
      <c r="N187" s="149"/>
      <c r="O187" s="92"/>
      <c r="P187" s="91"/>
      <c r="Q187" s="147"/>
      <c r="R187" s="92"/>
      <c r="S187" s="90"/>
      <c r="T187" s="147"/>
      <c r="U187" s="92"/>
      <c r="W187" s="212">
        <f>GETPIVOTDATA("Брой от име",$A$3,"група",16,"№ Вид машини",4,"Вид машини","Гладачна техника","наименование на групата","Гладачна маса","описание","универсална - лява страна","характеристики","крайно гладене")-M187-P187-S187</f>
        <v>1</v>
      </c>
      <c r="X187" s="217">
        <f t="shared" si="8"/>
        <v>9099</v>
      </c>
    </row>
    <row r="188" spans="1:25" x14ac:dyDescent="0.3">
      <c r="A188" s="308"/>
      <c r="B188" s="308"/>
      <c r="C188" s="308"/>
      <c r="D188" s="308"/>
      <c r="E188" s="78" t="s">
        <v>1195</v>
      </c>
      <c r="F188" s="78" t="s">
        <v>1639</v>
      </c>
      <c r="G188" s="63">
        <v>9</v>
      </c>
      <c r="H188" s="102">
        <v>166097</v>
      </c>
      <c r="I188" s="145">
        <f>GETPIVOTDATA("Сума от Първоначална стойност",$A$3,"група",16,"№ Вид машини",4,"Вид машини","Гладачна техника","наименование на групата","Гладачна маса","описание","хастари сака","характеристики",)/GETPIVOTDATA("Брой от име",$A$3,"група",16,"№ Вид машини",4,"Вид машини","Гладачна техника","наименование на групата","Гладачна маса","описание","хастари сака","характеристики",)</f>
        <v>18455.222222222223</v>
      </c>
      <c r="J188"/>
      <c r="K188" s="309"/>
      <c r="L188" s="100" t="s">
        <v>1195</v>
      </c>
      <c r="M188" s="91">
        <v>2</v>
      </c>
      <c r="N188" s="149">
        <f>M188*I188</f>
        <v>36910.444444444445</v>
      </c>
      <c r="O188" s="92"/>
      <c r="P188" s="91"/>
      <c r="Q188" s="147"/>
      <c r="R188" s="92"/>
      <c r="S188" s="90"/>
      <c r="T188" s="147"/>
      <c r="U188" s="92"/>
      <c r="W188" s="212">
        <f>GETPIVOTDATA("Брой от име",$A$3,"група",16,"№ Вид машини",4,"Вид машини","Гладачна техника","наименование на групата","Гладачна маса","описание","хастари сака","характеристики",)-M188-P188-S188</f>
        <v>7</v>
      </c>
      <c r="X188" s="217">
        <f t="shared" si="8"/>
        <v>129186.55555555556</v>
      </c>
    </row>
    <row r="189" spans="1:25" x14ac:dyDescent="0.3">
      <c r="A189" s="308"/>
      <c r="B189" s="308"/>
      <c r="C189" s="308"/>
      <c r="D189" s="307" t="s">
        <v>2053</v>
      </c>
      <c r="E189" s="308"/>
      <c r="F189" s="308"/>
      <c r="G189" s="63">
        <v>117</v>
      </c>
      <c r="H189" s="102">
        <v>777400.70000000042</v>
      </c>
      <c r="I189" s="145"/>
      <c r="J189"/>
      <c r="K189" s="97" t="s">
        <v>201</v>
      </c>
      <c r="L189" s="101" t="e">
        <f>COUNTIF('Machine park -  BTB 24.04.26'!#REF!,$K189)</f>
        <v>#REF!</v>
      </c>
      <c r="M189" s="200">
        <f>SUM(M173:M188)</f>
        <v>14</v>
      </c>
      <c r="N189" s="159">
        <f>SUM(N173:N188)</f>
        <v>114577.93171717171</v>
      </c>
      <c r="O189" s="202"/>
      <c r="P189" s="200">
        <f>SUM(P173:P188)</f>
        <v>5</v>
      </c>
      <c r="Q189" s="159">
        <f>SUM(Q173:Q188)</f>
        <v>54942.75</v>
      </c>
      <c r="R189" s="202"/>
      <c r="S189" s="203">
        <f>SUM(S173:S188)</f>
        <v>12</v>
      </c>
      <c r="T189" s="159">
        <f>SUM(T173:T188)</f>
        <v>68116.74743083003</v>
      </c>
      <c r="U189" s="202"/>
      <c r="W189" s="213">
        <f>GETPIVOTDATA("Брой от име",$A$3,"група",16,"№ Вид машини",4,"Вид машини","Гладачна техника","наименование на групата","Гладачна маса")-M189-P189-S189</f>
        <v>86</v>
      </c>
      <c r="X189" s="219">
        <f>SUM(X173:X188)</f>
        <v>539763.27085199836</v>
      </c>
      <c r="Y189" s="145">
        <f>X189+T189+Q189+N189</f>
        <v>777400.70000000007</v>
      </c>
    </row>
    <row r="190" spans="1:25" x14ac:dyDescent="0.3">
      <c r="A190" s="308"/>
      <c r="B190" s="308"/>
      <c r="C190" s="307">
        <v>17</v>
      </c>
      <c r="D190" s="307" t="s">
        <v>202</v>
      </c>
      <c r="E190" s="78" t="s">
        <v>1147</v>
      </c>
      <c r="F190" s="78" t="s">
        <v>1639</v>
      </c>
      <c r="G190" s="63">
        <v>1</v>
      </c>
      <c r="H190" s="102">
        <v>36000</v>
      </c>
      <c r="I190" s="145">
        <f>GETPIVOTDATA("Сума от Първоначална стойност",$A$3,"група",17,"№ Вид машини",4,"Вид машини","Гладачна техника","наименование на групата","Гладачна преса","описание","Топер","характеристики",)/GETPIVOTDATA("Брой от име",$A$3,"група",17,"№ Вид машини",4,"Вид машини","Гладачна техника","наименование на групата","Гладачна преса","описание","Топер","характеристики",)</f>
        <v>36000</v>
      </c>
      <c r="J190"/>
      <c r="K190" s="309" t="s">
        <v>202</v>
      </c>
      <c r="L190" s="100" t="s">
        <v>1147</v>
      </c>
      <c r="M190" s="91"/>
      <c r="N190" s="149"/>
      <c r="O190" s="92"/>
      <c r="P190" s="91">
        <v>1</v>
      </c>
      <c r="Q190" s="149">
        <f>P190*I190</f>
        <v>36000</v>
      </c>
      <c r="R190" s="92" t="s">
        <v>1372</v>
      </c>
      <c r="S190" s="90"/>
      <c r="T190" s="147"/>
      <c r="U190" s="92"/>
      <c r="W190" s="212">
        <f>GETPIVOTDATA("Брой от име",$A$3,"група",17,"№ Вид машини",4,"Вид машини","Гладачна техника","наименование на групата","Гладачна преса","описание","Топер","характеристики",)-M190-P190-S190</f>
        <v>0</v>
      </c>
      <c r="X190" s="217">
        <f t="shared" si="8"/>
        <v>0</v>
      </c>
    </row>
    <row r="191" spans="1:25" x14ac:dyDescent="0.3">
      <c r="A191" s="308"/>
      <c r="B191" s="308"/>
      <c r="C191" s="308"/>
      <c r="D191" s="308"/>
      <c r="E191" s="78" t="s">
        <v>1080</v>
      </c>
      <c r="F191" s="78" t="s">
        <v>1639</v>
      </c>
      <c r="G191" s="63">
        <v>4</v>
      </c>
      <c r="H191" s="102">
        <v>173317</v>
      </c>
      <c r="I191" s="145">
        <f>GETPIVOTDATA("Сума от Първоначална стойност",$A$3,"група",17,"№ Вид машини",4,"Вид машини","Гладачна техника","наименование на групата","Гладачна преса","описание","ханш панталон","характеристики",)/GETPIVOTDATA("Брой от име",$A$3,"група",17,"№ Вид машини",4,"Вид машини","Гладачна техника","наименование на групата","Гладачна преса","описание","ханш панталон","характеристики",)</f>
        <v>43329.25</v>
      </c>
      <c r="J191"/>
      <c r="K191" s="309"/>
      <c r="L191" s="100" t="s">
        <v>1080</v>
      </c>
      <c r="M191" s="91"/>
      <c r="N191" s="149"/>
      <c r="O191" s="92"/>
      <c r="P191" s="91">
        <v>1</v>
      </c>
      <c r="Q191" s="149">
        <f>P191*I191</f>
        <v>43329.25</v>
      </c>
      <c r="R191" s="92" t="s">
        <v>1371</v>
      </c>
      <c r="S191" s="90"/>
      <c r="T191" s="147"/>
      <c r="U191" s="92"/>
      <c r="W191" s="212">
        <f>GETPIVOTDATA("Брой от име",$A$3,"група",17,"№ Вид машини",4,"Вид машини","Гладачна техника","наименование на групата","Гладачна преса","описание","ханш панталон","характеристики",)-M191-P191-S191</f>
        <v>3</v>
      </c>
      <c r="X191" s="217">
        <f t="shared" si="8"/>
        <v>129987.75</v>
      </c>
    </row>
    <row r="192" spans="1:25" x14ac:dyDescent="0.3">
      <c r="A192" s="308"/>
      <c r="B192" s="308"/>
      <c r="C192" s="308"/>
      <c r="D192" s="308"/>
      <c r="E192" s="78" t="s">
        <v>1171</v>
      </c>
      <c r="F192" s="78" t="s">
        <v>1639</v>
      </c>
      <c r="G192" s="63">
        <v>3</v>
      </c>
      <c r="H192" s="102">
        <v>121144</v>
      </c>
      <c r="I192" s="145">
        <f>GETPIVOTDATA("Сума от Първоначална стойност",$A$3,"група",17,"№ Вид машини",4,"Вид машини","Гладачна техника","наименование на групата","Гладачна преса","описание","универсална","характеристики",)/GETPIVOTDATA("Брой от име",$A$3,"група",17,"№ Вид машини",4,"Вид машини","Гладачна техника","наименование на групата","Гладачна преса","описание","универсална","характеристики",)</f>
        <v>40381.333333333336</v>
      </c>
      <c r="J192"/>
      <c r="K192" s="309"/>
      <c r="L192" s="100" t="s">
        <v>1171</v>
      </c>
      <c r="M192" s="91">
        <v>1</v>
      </c>
      <c r="N192" s="149">
        <f>M192*I192</f>
        <v>40381.333333333336</v>
      </c>
      <c r="O192" s="92" t="s">
        <v>1371</v>
      </c>
      <c r="P192" s="91"/>
      <c r="Q192" s="149"/>
      <c r="R192" s="92"/>
      <c r="S192" s="90"/>
      <c r="T192" s="147"/>
      <c r="U192" s="92"/>
      <c r="W192" s="212">
        <f>GETPIVOTDATA("Брой от име",$A$3,"група",17,"№ Вид машини",4,"Вид машини","Гладачна техника","наименование на групата","Гладачна преса","описание","универсална","характеристики",)-M192-P192-S192</f>
        <v>2</v>
      </c>
      <c r="X192" s="217">
        <f t="shared" si="8"/>
        <v>80762.666666666672</v>
      </c>
    </row>
    <row r="193" spans="1:24" x14ac:dyDescent="0.3">
      <c r="A193" s="308"/>
      <c r="B193" s="308"/>
      <c r="C193" s="308"/>
      <c r="D193" s="308"/>
      <c r="E193" s="78" t="s">
        <v>1286</v>
      </c>
      <c r="F193" s="78" t="s">
        <v>1639</v>
      </c>
      <c r="G193" s="63">
        <v>3</v>
      </c>
      <c r="H193" s="102">
        <v>331132</v>
      </c>
      <c r="I193" s="145">
        <f>GETPIVOTDATA("Сума от Първоначална стойност",$A$3,"група",17,"№ Вид машини",4,"Вид машини","Гладачна техника","наименование на групата","Гладачна преса","описание","крачоли на панталон","характеристики",)/GETPIVOTDATA("Брой от име",$A$3,"група",17,"№ Вид машини",4,"Вид машини","Гладачна техника","наименование на групата","Гладачна преса","описание","крачоли на панталон","характеристики",)</f>
        <v>110377.33333333333</v>
      </c>
      <c r="J193"/>
      <c r="K193" s="309"/>
      <c r="L193" s="100" t="s">
        <v>1286</v>
      </c>
      <c r="M193" s="91"/>
      <c r="N193" s="149"/>
      <c r="O193" s="92"/>
      <c r="P193" s="91">
        <v>1</v>
      </c>
      <c r="Q193" s="149">
        <f>P193*I193</f>
        <v>110377.33333333333</v>
      </c>
      <c r="R193" s="92" t="s">
        <v>1371</v>
      </c>
      <c r="S193" s="90"/>
      <c r="T193" s="147"/>
      <c r="U193" s="92"/>
      <c r="W193" s="212">
        <f>GETPIVOTDATA("Брой от име",$A$3,"група",17,"№ Вид машини",4,"Вид машини","Гладачна техника","наименование на групата","Гладачна преса","описание","крачоли на панталон","характеристики",)-M193-P193-S193</f>
        <v>2</v>
      </c>
      <c r="X193" s="217">
        <f t="shared" si="8"/>
        <v>220754.66666666666</v>
      </c>
    </row>
    <row r="194" spans="1:24" x14ac:dyDescent="0.3">
      <c r="A194" s="308"/>
      <c r="B194" s="308"/>
      <c r="C194" s="308"/>
      <c r="D194" s="308"/>
      <c r="E194" s="78" t="s">
        <v>1282</v>
      </c>
      <c r="F194" s="78" t="s">
        <v>1639</v>
      </c>
      <c r="G194" s="63">
        <v>1</v>
      </c>
      <c r="H194" s="102">
        <v>61620</v>
      </c>
      <c r="I194" s="145">
        <f>GETPIVOTDATA("Сума от Първоначална стойност",$A$3,"група",17,"№ Вид машини",4,"Вид машини","Гладачна техника","наименование на групата","Гладачна преса","описание","рамо-вертикално","характеристики",)/GETPIVOTDATA("Брой от име",$A$3,"група",17,"№ Вид машини",4,"Вид машини","Гладачна техника","наименование на групата","Гладачна преса","описание","рамо-вертикално","характеристики",)</f>
        <v>61620</v>
      </c>
      <c r="J194"/>
      <c r="K194" s="309"/>
      <c r="L194" s="100" t="s">
        <v>1282</v>
      </c>
      <c r="M194" s="91">
        <v>1</v>
      </c>
      <c r="N194" s="149">
        <f>M194*I194</f>
        <v>61620</v>
      </c>
      <c r="O194" s="92" t="s">
        <v>1371</v>
      </c>
      <c r="P194" s="91"/>
      <c r="Q194" s="147"/>
      <c r="R194" s="92"/>
      <c r="S194" s="90"/>
      <c r="T194" s="147"/>
      <c r="U194" s="92"/>
      <c r="W194" s="212">
        <f>GETPIVOTDATA("Брой от име",$A$3,"група",17,"№ Вид машини",4,"Вид машини","Гладачна техника","наименование на групата","Гладачна преса","описание","рамо-вертикално","характеристики",)-M194-P194-S194</f>
        <v>0</v>
      </c>
      <c r="X194" s="217">
        <f t="shared" si="8"/>
        <v>0</v>
      </c>
    </row>
    <row r="195" spans="1:24" x14ac:dyDescent="0.3">
      <c r="A195" s="308"/>
      <c r="B195" s="308"/>
      <c r="C195" s="308"/>
      <c r="D195" s="308"/>
      <c r="E195" s="78" t="s">
        <v>1283</v>
      </c>
      <c r="F195" s="78" t="s">
        <v>1639</v>
      </c>
      <c r="G195" s="63">
        <v>2</v>
      </c>
      <c r="H195" s="102">
        <v>137322</v>
      </c>
      <c r="I195" s="145">
        <f>GETPIVOTDATA("Сума от Първоначална стойност",$A$3,"група",17,"№ Вид машини",4,"Вид машини","Гладачна техника","наименование на групата","Гладачна преса","описание","яка и ревер","характеристики",)/GETPIVOTDATA("Брой от име",$A$3,"група",17,"№ Вид машини",4,"Вид машини","Гладачна техника","наименование на групата","Гладачна преса","описание","яка и ревер","характеристики",)</f>
        <v>68661</v>
      </c>
      <c r="J195"/>
      <c r="K195" s="309"/>
      <c r="L195" s="100" t="s">
        <v>1283</v>
      </c>
      <c r="M195" s="91">
        <v>1</v>
      </c>
      <c r="N195" s="149">
        <f t="shared" ref="N195:N232" si="9">M195*I195</f>
        <v>68661</v>
      </c>
      <c r="O195" s="92" t="s">
        <v>1371</v>
      </c>
      <c r="P195" s="91"/>
      <c r="Q195" s="147"/>
      <c r="R195" s="92"/>
      <c r="S195" s="90"/>
      <c r="T195" s="147"/>
      <c r="U195" s="92"/>
      <c r="W195" s="212">
        <f>GETPIVOTDATA("Брой от име",$A$3,"група",17,"№ Вид машини",4,"Вид машини","Гладачна техника","наименование на групата","Гладачна преса","описание","яка и ревер","характеристики",)-M195-P195-S195</f>
        <v>1</v>
      </c>
      <c r="X195" s="217">
        <f t="shared" si="8"/>
        <v>68661</v>
      </c>
    </row>
    <row r="196" spans="1:24" x14ac:dyDescent="0.3">
      <c r="A196" s="308"/>
      <c r="B196" s="308"/>
      <c r="C196" s="308"/>
      <c r="D196" s="308"/>
      <c r="E196" s="78" t="s">
        <v>1285</v>
      </c>
      <c r="F196" s="78" t="s">
        <v>1639</v>
      </c>
      <c r="G196" s="63">
        <v>1</v>
      </c>
      <c r="H196" s="102">
        <v>23274.38</v>
      </c>
      <c r="I196" s="145">
        <f>GETPIVOTDATA("Сума от Първоначална стойност",$A$3,"група",17,"№ Вид машини",4,"Вид машини","Гладачна техника","наименование на групата","Гладачна преса","описание","пароманекен","характеристики",)/GETPIVOTDATA("Брой от име",$A$3,"група",17,"№ Вид машини",4,"Вид машини","Гладачна техника","наименование на групата","Гладачна преса","описание","пароманекен","характеристики",)</f>
        <v>23274.38</v>
      </c>
      <c r="J196"/>
      <c r="K196" s="309"/>
      <c r="L196" s="100" t="s">
        <v>1285</v>
      </c>
      <c r="M196" s="91">
        <v>1</v>
      </c>
      <c r="N196" s="149">
        <f t="shared" si="9"/>
        <v>23274.38</v>
      </c>
      <c r="O196" s="92" t="s">
        <v>1371</v>
      </c>
      <c r="P196" s="91"/>
      <c r="Q196" s="147"/>
      <c r="R196" s="92"/>
      <c r="S196" s="90"/>
      <c r="T196" s="147"/>
      <c r="U196" s="92"/>
      <c r="W196" s="212">
        <f>GETPIVOTDATA("Брой от име",$A$3,"група",17,"№ Вид машини",4,"Вид машини","Гладачна техника","наименование на групата","Гладачна преса","описание","пароманекен","характеристики",)-M196-P196-S196</f>
        <v>0</v>
      </c>
      <c r="X196" s="217">
        <f t="shared" si="8"/>
        <v>0</v>
      </c>
    </row>
    <row r="197" spans="1:24" x14ac:dyDescent="0.3">
      <c r="A197" s="308"/>
      <c r="B197" s="308"/>
      <c r="C197" s="308"/>
      <c r="D197" s="308"/>
      <c r="E197" s="78" t="s">
        <v>1284</v>
      </c>
      <c r="F197" s="78" t="s">
        <v>1639</v>
      </c>
      <c r="G197" s="63">
        <v>1</v>
      </c>
      <c r="H197" s="102">
        <v>5414.52</v>
      </c>
      <c r="I197" s="145">
        <f>GETPIVOTDATA("Сума от Първоначална стойност",$A$3,"група",17,"№ Вид машини",4,"Вид машини","Гладачна техника","наименование на групата","Гладачна преса","описание","яки","характеристики",)/GETPIVOTDATA("Брой от име",$A$3,"група",17,"№ Вид машини",4,"Вид машини","Гладачна техника","наименование на групата","Гладачна преса","описание","яки","характеристики",)</f>
        <v>5414.52</v>
      </c>
      <c r="J197"/>
      <c r="K197" s="309"/>
      <c r="L197" s="100" t="s">
        <v>1284</v>
      </c>
      <c r="M197" s="91">
        <v>1</v>
      </c>
      <c r="N197" s="149">
        <f t="shared" si="9"/>
        <v>5414.52</v>
      </c>
      <c r="O197" s="92" t="s">
        <v>1371</v>
      </c>
      <c r="P197" s="91"/>
      <c r="Q197" s="147"/>
      <c r="R197" s="92"/>
      <c r="S197" s="90"/>
      <c r="T197" s="147"/>
      <c r="U197" s="92"/>
      <c r="W197" s="212">
        <f>GETPIVOTDATA("Брой от име",$A$3,"група",17,"№ Вид машини",4,"Вид машини","Гладачна техника","наименование на групата","Гладачна преса","описание","яки","характеристики",)-M197-P197-S197</f>
        <v>0</v>
      </c>
      <c r="X197" s="217">
        <f t="shared" si="8"/>
        <v>0</v>
      </c>
    </row>
    <row r="198" spans="1:24" x14ac:dyDescent="0.3">
      <c r="A198" s="308"/>
      <c r="B198" s="308"/>
      <c r="C198" s="308"/>
      <c r="D198" s="308"/>
      <c r="E198" s="78" t="s">
        <v>1279</v>
      </c>
      <c r="F198" s="78" t="s">
        <v>1639</v>
      </c>
      <c r="G198" s="63">
        <v>2</v>
      </c>
      <c r="H198" s="102">
        <v>126798</v>
      </c>
      <c r="I198" s="145">
        <f>GETPIVOTDATA("Сума от Първоначална стойност",$A$3,"група",17,"№ Вид машини",4,"Вид машини","Гладачна техника","наименование на групата","Гладачна преса","описание","ръкави сака","характеристики",)/GETPIVOTDATA("Брой от име",$A$3,"група",17,"№ Вид машини",4,"Вид машини","Гладачна техника","наименование на групата","Гладачна преса","описание","ръкави сака","характеристики",)</f>
        <v>63399</v>
      </c>
      <c r="J198"/>
      <c r="K198" s="309"/>
      <c r="L198" s="100" t="s">
        <v>1279</v>
      </c>
      <c r="M198" s="91">
        <v>1</v>
      </c>
      <c r="N198" s="149">
        <f t="shared" si="9"/>
        <v>63399</v>
      </c>
      <c r="O198" s="92"/>
      <c r="P198" s="91"/>
      <c r="Q198" s="147"/>
      <c r="R198" s="92"/>
      <c r="S198" s="90"/>
      <c r="T198" s="147"/>
      <c r="U198" s="92"/>
      <c r="W198" s="212">
        <f>GETPIVOTDATA("Брой от име",$A$3,"група",17,"№ Вид машини",4,"Вид машини","Гладачна техника","наименование на групата","Гладачна преса","описание","ръкави сака","характеристики",)-M198-P198-S198</f>
        <v>1</v>
      </c>
      <c r="X198" s="217">
        <f t="shared" si="8"/>
        <v>63399</v>
      </c>
    </row>
    <row r="199" spans="1:24" x14ac:dyDescent="0.3">
      <c r="A199" s="308"/>
      <c r="B199" s="308"/>
      <c r="C199" s="308"/>
      <c r="D199" s="308"/>
      <c r="E199" s="78" t="s">
        <v>1280</v>
      </c>
      <c r="F199" s="78" t="s">
        <v>1639</v>
      </c>
      <c r="G199" s="63">
        <v>2</v>
      </c>
      <c r="H199" s="102">
        <v>166498</v>
      </c>
      <c r="I199" s="145">
        <f>GETPIVOTDATA("Сума от Първоначална стойност",$A$3,"група",17,"№ Вид машини",4,"Вид машини","Гладачна техника","наименование на групата","Гладачна преса","описание","лакътен шев","характеристики",)/GETPIVOTDATA("Брой от име",$A$3,"група",17,"№ Вид машини",4,"Вид машини","Гладачна техника","наименование на групата","Гладачна преса","описание","лакътен шев","характеристики",)</f>
        <v>83249</v>
      </c>
      <c r="J199"/>
      <c r="K199" s="309"/>
      <c r="L199" s="100" t="s">
        <v>1280</v>
      </c>
      <c r="M199" s="91">
        <v>1</v>
      </c>
      <c r="N199" s="149">
        <f t="shared" si="9"/>
        <v>83249</v>
      </c>
      <c r="O199" s="92"/>
      <c r="P199" s="91"/>
      <c r="Q199" s="147"/>
      <c r="R199" s="92"/>
      <c r="S199" s="90"/>
      <c r="T199" s="147"/>
      <c r="U199" s="92"/>
      <c r="W199" s="212">
        <f>GETPIVOTDATA("Брой от име",$A$3,"група",17,"№ Вид машини",4,"Вид машини","Гладачна техника","наименование на групата","Гладачна преса","описание","лакътен шев","характеристики",)-M199-P199-S199</f>
        <v>1</v>
      </c>
      <c r="X199" s="217">
        <f t="shared" si="8"/>
        <v>83249</v>
      </c>
    </row>
    <row r="200" spans="1:24" x14ac:dyDescent="0.3">
      <c r="A200" s="308"/>
      <c r="B200" s="308"/>
      <c r="C200" s="308"/>
      <c r="D200" s="308"/>
      <c r="E200" s="78" t="s">
        <v>1281</v>
      </c>
      <c r="F200" s="78" t="s">
        <v>1639</v>
      </c>
      <c r="G200" s="63">
        <v>3</v>
      </c>
      <c r="H200" s="102">
        <v>84987</v>
      </c>
      <c r="I200" s="145">
        <f>GETPIVOTDATA("Сума от Първоначална стойност",$A$3,"група",17,"№ Вид машини",4,"Вид машини","Гладачна техника","наименование на групата","Гладачна преса","описание","подмишница сако","характеристики",)/GETPIVOTDATA("Брой от име",$A$3,"група",17,"№ Вид машини",4,"Вид машини","Гладачна техника","наименование на групата","Гладачна преса","описание","подмишница сако","характеристики",)</f>
        <v>28329</v>
      </c>
      <c r="J200"/>
      <c r="K200" s="309"/>
      <c r="L200" s="100" t="s">
        <v>1281</v>
      </c>
      <c r="M200" s="91">
        <v>1</v>
      </c>
      <c r="N200" s="149">
        <f t="shared" si="9"/>
        <v>28329</v>
      </c>
      <c r="O200" s="92" t="s">
        <v>1371</v>
      </c>
      <c r="P200" s="91"/>
      <c r="Q200" s="147"/>
      <c r="R200" s="92"/>
      <c r="S200" s="90"/>
      <c r="T200" s="147"/>
      <c r="U200" s="92"/>
      <c r="W200" s="212">
        <f>GETPIVOTDATA("Брой от име",$A$3,"група",17,"№ Вид машини",4,"Вид машини","Гладачна техника","наименование на групата","Гладачна преса","описание","подмишница сако","характеристики",)-M200-P200-S200</f>
        <v>2</v>
      </c>
      <c r="X200" s="217">
        <f t="shared" si="8"/>
        <v>56658</v>
      </c>
    </row>
    <row r="201" spans="1:24" x14ac:dyDescent="0.3">
      <c r="A201" s="308"/>
      <c r="B201" s="308"/>
      <c r="C201" s="308"/>
      <c r="D201" s="308"/>
      <c r="E201" s="78" t="s">
        <v>1325</v>
      </c>
      <c r="F201" s="78" t="s">
        <v>1639</v>
      </c>
      <c r="G201" s="63">
        <v>2</v>
      </c>
      <c r="H201" s="102">
        <v>280900</v>
      </c>
      <c r="I201" s="145">
        <f>GETPIVOTDATA("Сума от Първоначална стойност",$A$3,"група",17,"№ Вид машини",4,"Вид машини","Гладачна техника","наименование на групата","Гладачна преса","описание","предни части","характеристики",)/GETPIVOTDATA("Брой от име",$A$3,"група",17,"№ Вид машини",4,"Вид машини","Гладачна техника","наименование на групата","Гладачна преса","описание","предни части","характеристики",)</f>
        <v>140450</v>
      </c>
      <c r="J201"/>
      <c r="K201" s="309"/>
      <c r="L201" s="100" t="s">
        <v>1325</v>
      </c>
      <c r="M201" s="91">
        <v>1</v>
      </c>
      <c r="N201" s="149">
        <f t="shared" si="9"/>
        <v>140450</v>
      </c>
      <c r="O201" s="92" t="s">
        <v>1371</v>
      </c>
      <c r="P201" s="91"/>
      <c r="Q201" s="147"/>
      <c r="R201" s="92"/>
      <c r="S201" s="90"/>
      <c r="T201" s="147"/>
      <c r="U201" s="92"/>
      <c r="W201" s="212">
        <f>GETPIVOTDATA("Брой от име",$A$3,"група",17,"№ Вид машини",4,"Вид машини","Гладачна техника","наименование на групата","Гладачна преса","описание","предни части","характеристики",)-M201-P201-S201</f>
        <v>1</v>
      </c>
      <c r="X201" s="217">
        <f t="shared" si="8"/>
        <v>140450</v>
      </c>
    </row>
    <row r="202" spans="1:24" x14ac:dyDescent="0.3">
      <c r="A202" s="308"/>
      <c r="B202" s="308"/>
      <c r="C202" s="308"/>
      <c r="D202" s="307" t="s">
        <v>2054</v>
      </c>
      <c r="E202" s="308"/>
      <c r="F202" s="308"/>
      <c r="G202" s="63">
        <v>25</v>
      </c>
      <c r="H202" s="102">
        <v>1548406.9</v>
      </c>
      <c r="I202" s="145"/>
      <c r="J202"/>
      <c r="K202" s="97" t="s">
        <v>202</v>
      </c>
      <c r="L202" s="101" t="e">
        <f>COUNTIF('Machine park -  BTB 24.04.26'!#REF!,$K202)</f>
        <v>#REF!</v>
      </c>
      <c r="M202" s="200">
        <f>SUM(M190:M201)</f>
        <v>9</v>
      </c>
      <c r="N202" s="159">
        <f>SUM(N190:N201)</f>
        <v>514778.23333333334</v>
      </c>
      <c r="O202" s="202"/>
      <c r="P202" s="200">
        <f>SUM(P190:P201)</f>
        <v>3</v>
      </c>
      <c r="Q202" s="159">
        <f>SUM(Q190:Q201)</f>
        <v>189706.58333333331</v>
      </c>
      <c r="R202" s="202"/>
      <c r="S202" s="203">
        <f>SUM(S190:S201)</f>
        <v>0</v>
      </c>
      <c r="T202" s="201"/>
      <c r="U202" s="95"/>
      <c r="W202" s="213">
        <f>GETPIVOTDATA("Брой от име",$A$3,"група",17,"№ Вид машини",4,"Вид машини","Гладачна техника","наименование на групата","Гладачна преса")-M202-P202-S202</f>
        <v>13</v>
      </c>
      <c r="X202" s="219">
        <f>SUM(X190:X201)</f>
        <v>843922.08333333337</v>
      </c>
    </row>
    <row r="203" spans="1:24" x14ac:dyDescent="0.3">
      <c r="A203" s="308"/>
      <c r="B203" s="308"/>
      <c r="C203" s="307">
        <v>18</v>
      </c>
      <c r="D203" s="307" t="s">
        <v>1157</v>
      </c>
      <c r="E203" s="78" t="s">
        <v>1168</v>
      </c>
      <c r="F203" s="78" t="s">
        <v>1639</v>
      </c>
      <c r="G203" s="63">
        <v>14</v>
      </c>
      <c r="H203" s="102">
        <v>49286.869999999981</v>
      </c>
      <c r="I203" s="145">
        <f>GETPIVOTDATA("Сума от Първоначална стойност",$A$3,"група",18,"№ Вид машини",4,"Вид машини","Гладачна техника","наименование на групата","Парогенератор","описание","за две ютии","характеристики",)/GETPIVOTDATA("Брой от име",$A$3,"група",18,"№ Вид машини",4,"Вид машини","Гладачна техника","наименование на групата","Парогенератор","описание","за две ютии","характеристики",)</f>
        <v>3520.4907142857128</v>
      </c>
      <c r="J203"/>
      <c r="K203" s="309" t="s">
        <v>1157</v>
      </c>
      <c r="L203" s="100" t="s">
        <v>1168</v>
      </c>
      <c r="M203" s="91">
        <v>4</v>
      </c>
      <c r="N203" s="149">
        <f>M203*I203</f>
        <v>14081.962857142851</v>
      </c>
      <c r="O203" s="92"/>
      <c r="P203" s="91">
        <v>3</v>
      </c>
      <c r="Q203" s="149">
        <f>P203*I203</f>
        <v>10561.472142857139</v>
      </c>
      <c r="R203" s="92"/>
      <c r="S203" s="90">
        <v>6</v>
      </c>
      <c r="T203" s="149">
        <f>S203*I203</f>
        <v>21122.944285714279</v>
      </c>
      <c r="U203" s="92"/>
      <c r="W203" s="212">
        <f>GETPIVOTDATA("Брой от име",$A$3,"група",18,"№ Вид машини",4,"Вид машини","Гладачна техника","наименование на групата","Парогенератор","описание","за две ютии","характеристики",)-M203-P203-S203</f>
        <v>1</v>
      </c>
      <c r="X203" s="217">
        <f t="shared" si="8"/>
        <v>3520.4907142857128</v>
      </c>
    </row>
    <row r="204" spans="1:24" x14ac:dyDescent="0.3">
      <c r="A204" s="308"/>
      <c r="B204" s="308"/>
      <c r="C204" s="308"/>
      <c r="D204" s="308"/>
      <c r="E204" s="78" t="s">
        <v>1167</v>
      </c>
      <c r="F204" s="78" t="s">
        <v>1639</v>
      </c>
      <c r="G204" s="63">
        <v>6</v>
      </c>
      <c r="H204" s="102">
        <v>15000</v>
      </c>
      <c r="I204" s="145">
        <f>GETPIVOTDATA("Сума от Първоначална стойност",$A$3,"група",18,"№ Вид машини",4,"Вид машини","Гладачна техника","наименование на групата","Парогенератор","описание","за една ютия","характеристики",)/GETPIVOTDATA("Брой от име",$A$3,"група",18,"№ Вид машини",4,"Вид машини","Гладачна техника","наименование на групата","Парогенератор","описание","за една ютия","характеристики",)</f>
        <v>2500</v>
      </c>
      <c r="J204"/>
      <c r="K204" s="309"/>
      <c r="L204" s="100" t="s">
        <v>1167</v>
      </c>
      <c r="M204" s="91">
        <v>6</v>
      </c>
      <c r="N204" s="149">
        <f>M204*I204</f>
        <v>15000</v>
      </c>
      <c r="O204" s="92"/>
      <c r="P204" s="91"/>
      <c r="Q204" s="147"/>
      <c r="R204" s="92"/>
      <c r="S204" s="90"/>
      <c r="T204" s="147"/>
      <c r="U204" s="92"/>
      <c r="W204" s="212">
        <f>GETPIVOTDATA("Брой от име",$A$3,"група",18,"№ Вид машини",4,"Вид машини","Гладачна техника","наименование на групата","Парогенератор","описание","за една ютия","характеристики",)-M204-P204-S204</f>
        <v>0</v>
      </c>
      <c r="X204" s="217">
        <f t="shared" si="8"/>
        <v>0</v>
      </c>
    </row>
    <row r="205" spans="1:24" x14ac:dyDescent="0.3">
      <c r="A205" s="308"/>
      <c r="B205" s="308"/>
      <c r="C205" s="308"/>
      <c r="D205" s="307" t="s">
        <v>2055</v>
      </c>
      <c r="E205" s="308"/>
      <c r="F205" s="308"/>
      <c r="G205" s="63">
        <v>20</v>
      </c>
      <c r="H205" s="102">
        <v>64286.869999999981</v>
      </c>
      <c r="I205" s="145"/>
      <c r="J205"/>
      <c r="K205" s="97" t="s">
        <v>1157</v>
      </c>
      <c r="L205" s="101" t="e">
        <f>COUNTIF('Machine park -  BTB 24.04.26'!#REF!,$K205)</f>
        <v>#REF!</v>
      </c>
      <c r="M205" s="200">
        <f>SUM(M203:M204)</f>
        <v>10</v>
      </c>
      <c r="N205" s="159">
        <f>SUM(N203:N204)</f>
        <v>29081.962857142851</v>
      </c>
      <c r="O205" s="202"/>
      <c r="P205" s="200">
        <f>SUM(P203:P204)</f>
        <v>3</v>
      </c>
      <c r="Q205" s="159">
        <f>SUM(Q203:Q204)</f>
        <v>10561.472142857139</v>
      </c>
      <c r="R205" s="202"/>
      <c r="S205" s="203">
        <f>SUM(S203:S204)</f>
        <v>6</v>
      </c>
      <c r="T205" s="159">
        <f>SUM(T203:T204)</f>
        <v>21122.944285714279</v>
      </c>
      <c r="U205" s="95"/>
      <c r="W205" s="213">
        <f>GETPIVOTDATA("Брой от име",$A$3,"група",18,"№ Вид машини",4,"Вид машини","Гладачна техника","наименование на групата","Парогенератор")-M205-P205-S205</f>
        <v>1</v>
      </c>
      <c r="X205" s="219">
        <f>SUM(X203:X204)</f>
        <v>3520.4907142857128</v>
      </c>
    </row>
    <row r="206" spans="1:24" x14ac:dyDescent="0.3">
      <c r="A206" s="307">
        <v>5</v>
      </c>
      <c r="B206" s="307" t="s">
        <v>1152</v>
      </c>
      <c r="C206" s="307">
        <v>26</v>
      </c>
      <c r="D206" s="307" t="s">
        <v>1354</v>
      </c>
      <c r="E206" s="78" t="s">
        <v>1330</v>
      </c>
      <c r="F206" s="78" t="s">
        <v>1639</v>
      </c>
      <c r="G206" s="63">
        <v>1</v>
      </c>
      <c r="H206" s="102">
        <v>1834.47</v>
      </c>
      <c r="I206" s="145">
        <f>GETPIVOTDATA("Сума от Първоначална стойност",$A$3,"група",26,"№ Вид машини",5,"Вид машини","Друго оборудване","наименование на групата","оборудване Входящ контрол","описание","Ръчен крокметър","характеристики",)/GETPIVOTDATA("Брой от име",$A$3,"група",26,"№ Вид машини",5,"Вид машини","Друго оборудване","наименование на групата","оборудване Входящ контрол","описание","Ръчен крокметър","характеристики",)</f>
        <v>1834.47</v>
      </c>
      <c r="J206"/>
      <c r="K206" s="318" t="s">
        <v>1354</v>
      </c>
      <c r="L206" s="100" t="s">
        <v>1330</v>
      </c>
      <c r="M206" s="91"/>
      <c r="N206" s="149"/>
      <c r="O206" s="92"/>
      <c r="P206" s="91"/>
      <c r="Q206" s="147"/>
      <c r="R206" s="92"/>
      <c r="S206" s="90"/>
      <c r="T206" s="147"/>
      <c r="U206" s="92"/>
      <c r="W206" s="212">
        <f>GETPIVOTDATA("Брой от име",$A$3,"група",26,"№ Вид машини",5,"Вид машини","Друго оборудване","наименование на групата","оборудване Входящ контрол","описание","Ръчен крокметър","характеристики",)-M206-P206-S206</f>
        <v>1</v>
      </c>
      <c r="X206" s="217">
        <f t="shared" si="8"/>
        <v>1834.47</v>
      </c>
    </row>
    <row r="207" spans="1:24" ht="28.8" x14ac:dyDescent="0.3">
      <c r="A207" s="308"/>
      <c r="B207" s="308"/>
      <c r="C207" s="308"/>
      <c r="D207" s="308"/>
      <c r="E207" s="78" t="s">
        <v>1332</v>
      </c>
      <c r="F207" s="78" t="s">
        <v>1639</v>
      </c>
      <c r="G207" s="63">
        <v>1</v>
      </c>
      <c r="H207" s="102">
        <v>1387.62</v>
      </c>
      <c r="I207" s="145">
        <f>GETPIVOTDATA("Сума от Първоначална стойност",$A$3,"група",26,"№ Вид машини",5,"Вид машини","Друго оборудване","наименование на групата","оборудване Входящ контрол","описание","Преса за контрол на свиваемост","характеристики",)/GETPIVOTDATA("Брой от име",$A$3,"група",26,"№ Вид машини",5,"Вид машини","Друго оборудване","наименование на групата","оборудване Входящ контрол","описание","Преса за контрол на свиваемост","характеристики",)</f>
        <v>1387.62</v>
      </c>
      <c r="J207"/>
      <c r="K207" s="318"/>
      <c r="L207" s="163" t="s">
        <v>1332</v>
      </c>
      <c r="M207" s="164">
        <v>1</v>
      </c>
      <c r="N207" s="165">
        <f t="shared" si="9"/>
        <v>1387.62</v>
      </c>
      <c r="O207" s="92"/>
      <c r="P207" s="91"/>
      <c r="Q207" s="147"/>
      <c r="R207" s="92"/>
      <c r="S207" s="90"/>
      <c r="T207" s="147"/>
      <c r="U207" s="92"/>
      <c r="W207" s="212">
        <f>GETPIVOTDATA("Брой от име",$A$3,"група",26,"№ Вид машини",5,"Вид машини","Друго оборудване","наименование на групата","оборудване Входящ контрол","описание","Преса за контрол на свиваемост","характеристики",)-M207-P207-S207</f>
        <v>0</v>
      </c>
      <c r="X207" s="217">
        <f t="shared" si="8"/>
        <v>0</v>
      </c>
    </row>
    <row r="208" spans="1:24" ht="28.8" x14ac:dyDescent="0.3">
      <c r="A208" s="308"/>
      <c r="B208" s="308"/>
      <c r="C208" s="308"/>
      <c r="D208" s="308"/>
      <c r="E208" s="78" t="s">
        <v>1333</v>
      </c>
      <c r="F208" s="78" t="s">
        <v>1639</v>
      </c>
      <c r="G208" s="63">
        <v>1</v>
      </c>
      <c r="H208" s="102">
        <v>4014.09</v>
      </c>
      <c r="I208" s="145">
        <f>GETPIVOTDATA("Сума от Първоначална стойност",$A$3,"група",26,"№ Вид машини",5,"Вид машини","Друго оборудване","наименование на групата","оборудване Входящ контрол","описание","Машина за контрол здравината на шевовете","характеристики",)/GETPIVOTDATA("Брой от име",$A$3,"група",26,"№ Вид машини",5,"Вид машини","Друго оборудване","наименование на групата","оборудване Входящ контрол","описание","Машина за контрол здравината на шевовете","характеристики",)</f>
        <v>4014.09</v>
      </c>
      <c r="J208"/>
      <c r="K208" s="318"/>
      <c r="L208" s="163" t="s">
        <v>1333</v>
      </c>
      <c r="M208" s="164">
        <v>1</v>
      </c>
      <c r="N208" s="165">
        <f t="shared" si="9"/>
        <v>4014.09</v>
      </c>
      <c r="O208" s="92"/>
      <c r="P208" s="91"/>
      <c r="Q208" s="147"/>
      <c r="R208" s="92"/>
      <c r="S208" s="90"/>
      <c r="T208" s="147"/>
      <c r="U208" s="92"/>
      <c r="W208" s="212">
        <f>GETPIVOTDATA("Брой от име",$A$3,"група",26,"№ Вид машини",5,"Вид машини","Друго оборудване","наименование на групата","оборудване Входящ контрол","описание","Машина за контрол здравината на шевовете","характеристики",)-M208-P208-S208</f>
        <v>0</v>
      </c>
      <c r="X208" s="217">
        <f t="shared" si="8"/>
        <v>0</v>
      </c>
    </row>
    <row r="209" spans="1:25" ht="28.8" x14ac:dyDescent="0.3">
      <c r="A209" s="308"/>
      <c r="B209" s="308"/>
      <c r="C209" s="308"/>
      <c r="D209" s="308"/>
      <c r="E209" s="78" t="s">
        <v>1334</v>
      </c>
      <c r="F209" s="78" t="s">
        <v>1639</v>
      </c>
      <c r="G209" s="63">
        <v>1</v>
      </c>
      <c r="H209" s="102">
        <v>4001.28</v>
      </c>
      <c r="I209" s="145">
        <f>GETPIVOTDATA("Сума от Първоначална стойност",$A$3,"група",26,"№ Вид машини",5,"Вид машини","Друго оборудване","наименование на групата","оборудване Входящ контрол","описание","Машина за контрол износването на плата","характеристики",)/GETPIVOTDATA("Брой от име",$A$3,"група",26,"№ Вид машини",5,"Вид машини","Друго оборудване","наименование на групата","оборудване Входящ контрол","описание","Машина за контрол износването на плата","характеристики",)</f>
        <v>4001.28</v>
      </c>
      <c r="J209"/>
      <c r="K209" s="318"/>
      <c r="L209" s="163" t="s">
        <v>1334</v>
      </c>
      <c r="M209" s="164">
        <v>1</v>
      </c>
      <c r="N209" s="165">
        <f t="shared" si="9"/>
        <v>4001.28</v>
      </c>
      <c r="O209" s="92"/>
      <c r="P209" s="91"/>
      <c r="Q209" s="147"/>
      <c r="R209" s="92"/>
      <c r="S209" s="90"/>
      <c r="T209" s="147"/>
      <c r="U209" s="92"/>
      <c r="W209" s="212">
        <f>GETPIVOTDATA("Брой от име",$A$3,"група",26,"№ Вид машини",5,"Вид машини","Друго оборудване","наименование на групата","оборудване Входящ контрол","описание","Машина за контрол износването на плата","характеристики",)-M209-P209-S209</f>
        <v>0</v>
      </c>
      <c r="X209" s="217">
        <f t="shared" si="8"/>
        <v>0</v>
      </c>
    </row>
    <row r="210" spans="1:25" ht="28.8" x14ac:dyDescent="0.3">
      <c r="A210" s="308"/>
      <c r="B210" s="308"/>
      <c r="C210" s="308"/>
      <c r="D210" s="308"/>
      <c r="E210" s="78" t="s">
        <v>1329</v>
      </c>
      <c r="F210" s="78" t="s">
        <v>1639</v>
      </c>
      <c r="G210" s="63">
        <v>2</v>
      </c>
      <c r="H210" s="102">
        <v>75489.31</v>
      </c>
      <c r="I210" s="145">
        <f>GETPIVOTDATA("Сума от Първоначална стойност",$A$3,"група",26,"№ Вид машини",5,"Вид машини","Друго оборудване","наименование на групата","оборудване Входящ контрол","описание","Машина за контрол и навиване на платове","характеристики",)/GETPIVOTDATA("Брой от име",$A$3,"група",26,"№ Вид машини",5,"Вид машини","Друго оборудване","наименование на групата","оборудване Входящ контрол","описание","Машина за контрол и навиване на платове","характеристики",)</f>
        <v>37744.654999999999</v>
      </c>
      <c r="J210"/>
      <c r="K210" s="318"/>
      <c r="L210" s="163" t="s">
        <v>1329</v>
      </c>
      <c r="M210" s="164">
        <v>2</v>
      </c>
      <c r="N210" s="165">
        <f t="shared" si="9"/>
        <v>75489.31</v>
      </c>
      <c r="O210" s="92"/>
      <c r="P210" s="91"/>
      <c r="Q210" s="147"/>
      <c r="R210" s="92"/>
      <c r="S210" s="90"/>
      <c r="T210" s="147"/>
      <c r="U210" s="92"/>
      <c r="W210" s="212">
        <f>GETPIVOTDATA("Брой от име",$A$3,"група",26,"№ Вид машини",5,"Вид машини","Друго оборудване","наименование на групата","оборудване Входящ контрол","описание","Машина за контрол и навиване на платове","характеристики",)-M210-P210-S210</f>
        <v>0</v>
      </c>
      <c r="X210" s="217">
        <f t="shared" si="8"/>
        <v>0</v>
      </c>
    </row>
    <row r="211" spans="1:25" x14ac:dyDescent="0.3">
      <c r="A211" s="308"/>
      <c r="B211" s="308"/>
      <c r="C211" s="308"/>
      <c r="D211" s="308"/>
      <c r="E211" s="78" t="s">
        <v>1328</v>
      </c>
      <c r="F211" s="78" t="s">
        <v>1639</v>
      </c>
      <c r="G211" s="63">
        <v>3</v>
      </c>
      <c r="H211" s="102">
        <v>8324.7899999999991</v>
      </c>
      <c r="I211" s="145">
        <f>GETPIVOTDATA("Сума от Първоначална стойност",$A$3,"група",26,"№ Вид машини",5,"Вид машини","Друго оборудване","наименование на групата","оборудване Входящ контрол","описание","Лайтбокс","характеристики",)/GETPIVOTDATA("Брой от име",$A$3,"група",26,"№ Вид машини",5,"Вид машини","Друго оборудване","наименование на групата","оборудване Входящ контрол","описание","Лайтбокс","характеристики",)</f>
        <v>2774.93</v>
      </c>
      <c r="J211"/>
      <c r="K211" s="318"/>
      <c r="L211" s="163" t="s">
        <v>1328</v>
      </c>
      <c r="M211" s="164">
        <v>1</v>
      </c>
      <c r="N211" s="165">
        <f t="shared" si="9"/>
        <v>2774.93</v>
      </c>
      <c r="O211" s="92"/>
      <c r="P211" s="91"/>
      <c r="Q211" s="147"/>
      <c r="R211" s="92"/>
      <c r="S211" s="90"/>
      <c r="T211" s="147"/>
      <c r="U211" s="92"/>
      <c r="W211" s="212">
        <f>GETPIVOTDATA("Брой от име",$A$3,"група",26,"№ Вид машини",5,"Вид машини","Друго оборудване","наименование на групата","оборудване Входящ контрол","описание","Лайтбокс","характеристики",)-M211-P211-S211</f>
        <v>2</v>
      </c>
      <c r="X211" s="217">
        <f t="shared" si="8"/>
        <v>5549.86</v>
      </c>
    </row>
    <row r="212" spans="1:25" x14ac:dyDescent="0.3">
      <c r="A212" s="308"/>
      <c r="B212" s="308"/>
      <c r="C212" s="308"/>
      <c r="D212" s="308"/>
      <c r="E212" s="78" t="s">
        <v>1335</v>
      </c>
      <c r="F212" s="78" t="s">
        <v>1639</v>
      </c>
      <c r="G212" s="63">
        <v>1</v>
      </c>
      <c r="H212" s="102">
        <v>172</v>
      </c>
      <c r="I212" s="145">
        <f>GETPIVOTDATA("Сума от Първоначална стойност",$A$3,"група",26,"№ Вид машини",5,"Вид машини","Друго оборудване","наименование на групата","оборудване Входящ контрол","описание","Комплект щанца и везна","характеристики",)/GETPIVOTDATA("Брой от име",$A$3,"група",26,"№ Вид машини",5,"Вид машини","Друго оборудване","наименование на групата","оборудване Входящ контрол","описание","Комплект щанца и везна","характеристики",)</f>
        <v>172</v>
      </c>
      <c r="J212"/>
      <c r="K212" s="318"/>
      <c r="L212" s="163" t="s">
        <v>1335</v>
      </c>
      <c r="M212" s="164">
        <v>1</v>
      </c>
      <c r="N212" s="165">
        <f t="shared" si="9"/>
        <v>172</v>
      </c>
      <c r="O212" s="92"/>
      <c r="P212" s="91"/>
      <c r="Q212" s="147"/>
      <c r="R212" s="92"/>
      <c r="S212" s="90"/>
      <c r="T212" s="147"/>
      <c r="U212" s="92"/>
      <c r="W212" s="212">
        <f>GETPIVOTDATA("Брой от име",$A$3,"група",26,"№ Вид машини",5,"Вид машини","Друго оборудване","наименование на групата","оборудване Входящ контрол","описание","Комплект щанца и везна","характеристики",)-M212-P212-S212</f>
        <v>0</v>
      </c>
      <c r="X212" s="217">
        <f t="shared" si="8"/>
        <v>0</v>
      </c>
    </row>
    <row r="213" spans="1:25" ht="51.6" customHeight="1" x14ac:dyDescent="0.3">
      <c r="A213" s="308"/>
      <c r="B213" s="308"/>
      <c r="C213" s="308"/>
      <c r="D213" s="308"/>
      <c r="E213" s="307" t="s">
        <v>627</v>
      </c>
      <c r="F213" s="78" t="s">
        <v>626</v>
      </c>
      <c r="G213" s="63">
        <v>1</v>
      </c>
      <c r="H213" s="102">
        <v>469</v>
      </c>
      <c r="I213" s="145">
        <f>GETPIVOTDATA("Сума от Първоначална стойност",$A$3,"група",26,"№ Вид машини",5,"Вид машини","Друго оборудване","наименование на групата","оборудване Входящ контрол","описание","Комплект за измерване на свиваемост ","характеристики","за 3 размера")/GETPIVOTDATA("Брой от име",$A$3,"група",26,"№ Вид машини",5,"Вид машини","Друго оборудване","наименование на групата","оборудване Входящ контрол","описание","Комплект за измерване на свиваемост ","характеристики","за 3 размера")</f>
        <v>469</v>
      </c>
      <c r="J213"/>
      <c r="K213" s="318"/>
      <c r="L213" s="163" t="s">
        <v>1454</v>
      </c>
      <c r="M213" s="164">
        <v>1</v>
      </c>
      <c r="N213" s="165">
        <f>M213*I213</f>
        <v>469</v>
      </c>
      <c r="O213" s="92"/>
      <c r="P213" s="91"/>
      <c r="Q213" s="147"/>
      <c r="R213" s="92"/>
      <c r="S213" s="90"/>
      <c r="T213" s="147"/>
      <c r="U213" s="92"/>
      <c r="W213" s="212">
        <f>GETPIVOTDATA("Брой от име",$A$3,"група",26,"№ Вид машини",5,"Вид машини","Друго оборудване","наименование на групата","оборудване Входящ контрол","описание","Комплект за измерване на свиваемост ","характеристики","за 3 размера")-M213-P213-S213</f>
        <v>0</v>
      </c>
      <c r="X213" s="217">
        <f t="shared" si="8"/>
        <v>0</v>
      </c>
    </row>
    <row r="214" spans="1:25" ht="48" customHeight="1" x14ac:dyDescent="0.3">
      <c r="A214" s="308"/>
      <c r="B214" s="308"/>
      <c r="C214" s="308"/>
      <c r="D214" s="308"/>
      <c r="E214" s="308"/>
      <c r="F214" s="78" t="s">
        <v>628</v>
      </c>
      <c r="G214" s="63">
        <v>1</v>
      </c>
      <c r="H214" s="102">
        <v>195.583</v>
      </c>
      <c r="I214" s="145">
        <f>GETPIVOTDATA("Сума от Първоначална стойност",$A$3,"група",26,"№ Вид машини",5,"Вид машини","Друго оборудване","наименование на групата","оборудване Входящ контрол","описание","Комплект за измерване на свиваемост ","характеристики","за 1 размер")/GETPIVOTDATA("Брой от име",$A$3,"група",26,"№ Вид машини",5,"Вид машини","Друго оборудване","наименование на групата","оборудване Входящ контрол","описание","Комплект за измерване на свиваемост ","характеристики","за 1 размер")</f>
        <v>195.583</v>
      </c>
      <c r="J214"/>
      <c r="K214" s="318"/>
      <c r="L214" s="163" t="s">
        <v>1455</v>
      </c>
      <c r="M214" s="164">
        <v>1</v>
      </c>
      <c r="N214" s="165">
        <f t="shared" si="9"/>
        <v>195.583</v>
      </c>
      <c r="O214" s="92"/>
      <c r="P214" s="91"/>
      <c r="Q214" s="147"/>
      <c r="R214" s="92"/>
      <c r="S214" s="90"/>
      <c r="T214" s="147"/>
      <c r="U214" s="92"/>
      <c r="W214" s="212">
        <f>GETPIVOTDATA("Брой от име",$A$3,"група",26,"№ Вид машини",5,"Вид машини","Друго оборудване","наименование на групата","оборудване Входящ контрол","описание","Комплект за измерване на свиваемост ","характеристики","за 1 размер")-M214-P214-S214</f>
        <v>0</v>
      </c>
      <c r="X214" s="217">
        <f t="shared" si="8"/>
        <v>0</v>
      </c>
    </row>
    <row r="215" spans="1:25" ht="43.2" x14ac:dyDescent="0.3">
      <c r="A215" s="308"/>
      <c r="B215" s="308"/>
      <c r="C215" s="308"/>
      <c r="D215" s="307" t="s">
        <v>2056</v>
      </c>
      <c r="E215" s="308"/>
      <c r="F215" s="308"/>
      <c r="G215" s="63">
        <v>12</v>
      </c>
      <c r="H215" s="102">
        <v>95888.142999999967</v>
      </c>
      <c r="I215" s="145"/>
      <c r="J215"/>
      <c r="K215" s="97" t="s">
        <v>1354</v>
      </c>
      <c r="L215" s="101" t="e">
        <f>COUNTIF('Machine park -  BTB 24.04.26'!#REF!,$K215)</f>
        <v>#REF!</v>
      </c>
      <c r="M215" s="94">
        <f>SUM(M206:M214)</f>
        <v>9</v>
      </c>
      <c r="N215" s="166">
        <f>SUM(N206:N214)</f>
        <v>88503.812999999995</v>
      </c>
      <c r="O215" s="95"/>
      <c r="P215" s="94">
        <f>SUM(P206:P214)</f>
        <v>0</v>
      </c>
      <c r="Q215" s="148"/>
      <c r="R215" s="95"/>
      <c r="S215" s="93">
        <f>SUM(S206:S214)</f>
        <v>0</v>
      </c>
      <c r="T215" s="148"/>
      <c r="U215" s="95"/>
      <c r="W215" s="213">
        <f>SUM(W206:W214)</f>
        <v>3</v>
      </c>
      <c r="X215" s="219">
        <f>SUM(X206:X214)</f>
        <v>7384.33</v>
      </c>
      <c r="Y215" s="145">
        <f>X215+T215+Q215+N215</f>
        <v>95888.142999999996</v>
      </c>
    </row>
    <row r="216" spans="1:25" ht="28.8" x14ac:dyDescent="0.3">
      <c r="A216" s="308"/>
      <c r="B216" s="308"/>
      <c r="C216" s="307">
        <v>36</v>
      </c>
      <c r="D216" s="78" t="s">
        <v>211</v>
      </c>
      <c r="E216" s="78" t="s">
        <v>1639</v>
      </c>
      <c r="F216" s="78" t="s">
        <v>1639</v>
      </c>
      <c r="G216" s="63">
        <v>2</v>
      </c>
      <c r="H216" s="102">
        <v>402097.4</v>
      </c>
      <c r="I216" s="145">
        <f>GETPIVOTDATA("Сума от Първоначална стойност",$A$3,"група",36,"№ Вид машини",5,"Вид машини","Друго оборудване","наименование на групата","Опаковъчни машини","описание",,"характеристики",)/GETPIVOTDATA("Брой от име",$A$3,"група",36,"№ Вид машини",5,"Вид машини","Друго оборудване","наименование на групата","Опаковъчни машини","описание",,"характеристики",)</f>
        <v>201048.7</v>
      </c>
      <c r="J216"/>
      <c r="K216" s="98" t="s">
        <v>211</v>
      </c>
      <c r="L216" s="100"/>
      <c r="M216" s="91">
        <v>1</v>
      </c>
      <c r="N216" s="149">
        <f t="shared" si="9"/>
        <v>201048.7</v>
      </c>
      <c r="O216" s="92"/>
      <c r="P216" s="91"/>
      <c r="Q216" s="147"/>
      <c r="R216" s="92"/>
      <c r="S216" s="90"/>
      <c r="T216" s="147"/>
      <c r="U216" s="92"/>
      <c r="W216" s="212">
        <f>GETPIVOTDATA("Брой от име",$A$3,"група",36,"№ Вид машини",5,"Вид машини","Друго оборудване","наименование на групата","Опаковъчни машини","описание",,"характеристики",)-M216-P216-S216</f>
        <v>1</v>
      </c>
      <c r="X216" s="217">
        <f t="shared" si="8"/>
        <v>201048.7</v>
      </c>
    </row>
    <row r="217" spans="1:25" ht="28.8" x14ac:dyDescent="0.3">
      <c r="A217" s="308"/>
      <c r="B217" s="308"/>
      <c r="C217" s="308"/>
      <c r="D217" s="307" t="s">
        <v>2057</v>
      </c>
      <c r="E217" s="308"/>
      <c r="F217" s="308"/>
      <c r="G217" s="63">
        <v>2</v>
      </c>
      <c r="H217" s="102">
        <v>402097.4</v>
      </c>
      <c r="I217" s="145"/>
      <c r="J217"/>
      <c r="K217" s="97" t="s">
        <v>211</v>
      </c>
      <c r="L217" s="101" t="e">
        <f>COUNTIF('Machine park -  BTB 24.04.26'!#REF!,$K217)</f>
        <v>#REF!</v>
      </c>
      <c r="M217" s="94">
        <f>M216</f>
        <v>1</v>
      </c>
      <c r="N217" s="159">
        <f>N216</f>
        <v>201048.7</v>
      </c>
      <c r="O217" s="95"/>
      <c r="P217" s="94">
        <f>P216</f>
        <v>0</v>
      </c>
      <c r="Q217" s="148"/>
      <c r="R217" s="95"/>
      <c r="S217" s="93">
        <f>S216</f>
        <v>0</v>
      </c>
      <c r="T217" s="148"/>
      <c r="U217" s="95"/>
      <c r="W217" s="213">
        <f>GETPIVOTDATA("Брой от име",$A$3,"група",36,"№ Вид машини",5,"Вид машини","Друго оборудване","наименование на групата","Опаковъчни машини")-M217-P217-S217</f>
        <v>1</v>
      </c>
      <c r="X217" s="219">
        <f>SUM(X216)</f>
        <v>201048.7</v>
      </c>
    </row>
    <row r="218" spans="1:25" ht="28.8" x14ac:dyDescent="0.3">
      <c r="A218" s="308"/>
      <c r="B218" s="308"/>
      <c r="C218" s="307">
        <v>40</v>
      </c>
      <c r="D218" s="78" t="s">
        <v>229</v>
      </c>
      <c r="E218" s="78" t="s">
        <v>1323</v>
      </c>
      <c r="F218" s="78" t="s">
        <v>1639</v>
      </c>
      <c r="G218" s="63">
        <v>1</v>
      </c>
      <c r="H218" s="102">
        <v>22891.25</v>
      </c>
      <c r="I218" s="145">
        <f>GETPIVOTDATA("Сума от Първоначална стойност",$A$3,"група",40,"№ Вид машини",5,"Вид машини","Друго оборудване","наименование на групата","Лазерни машини","описание","работно поле 900 м х 1300 мм","характеристики",)/GETPIVOTDATA("Брой от име",$A$3,"група",40,"№ Вид машини",5,"Вид машини","Друго оборудване","наименование на групата","Лазерни машини","описание","работно поле 900 м х 1300 мм","характеристики",)</f>
        <v>22891.25</v>
      </c>
      <c r="J218"/>
      <c r="K218" s="167" t="s">
        <v>229</v>
      </c>
      <c r="L218" s="168" t="s">
        <v>1323</v>
      </c>
      <c r="M218" s="169">
        <v>1</v>
      </c>
      <c r="N218" s="170">
        <f t="shared" si="9"/>
        <v>22891.25</v>
      </c>
      <c r="O218" s="92"/>
      <c r="P218" s="91"/>
      <c r="Q218" s="147"/>
      <c r="R218" s="92"/>
      <c r="S218" s="90"/>
      <c r="T218" s="147"/>
      <c r="U218" s="92"/>
      <c r="W218" s="212">
        <f>GETPIVOTDATA("Брой от име",$A$3,"група",40,"№ Вид машини",5,"Вид машини","Друго оборудване","наименование на групата","Лазерни машини","описание","работно поле 900 м х 1300 мм","характеристики",)-M218-P218-S218</f>
        <v>0</v>
      </c>
      <c r="X218" s="217">
        <f t="shared" ref="X218:X232" si="10">W218*I218</f>
        <v>0</v>
      </c>
    </row>
    <row r="219" spans="1:25" ht="28.8" x14ac:dyDescent="0.3">
      <c r="A219" s="308"/>
      <c r="B219" s="308"/>
      <c r="C219" s="308"/>
      <c r="D219" s="307" t="s">
        <v>2058</v>
      </c>
      <c r="E219" s="308"/>
      <c r="F219" s="308"/>
      <c r="G219" s="63">
        <v>1</v>
      </c>
      <c r="H219" s="102">
        <v>22891.25</v>
      </c>
      <c r="I219" s="145"/>
      <c r="J219"/>
      <c r="K219" s="97" t="s">
        <v>229</v>
      </c>
      <c r="L219" s="101" t="e">
        <f>COUNTIF('Machine park -  BTB 24.04.26'!#REF!,$K219)</f>
        <v>#REF!</v>
      </c>
      <c r="M219" s="94">
        <f>M218</f>
        <v>1</v>
      </c>
      <c r="N219" s="171">
        <f>N218</f>
        <v>22891.25</v>
      </c>
      <c r="O219" s="95"/>
      <c r="P219" s="94">
        <f>P218</f>
        <v>0</v>
      </c>
      <c r="Q219" s="148"/>
      <c r="R219" s="95"/>
      <c r="S219" s="93">
        <f>S218</f>
        <v>0</v>
      </c>
      <c r="T219" s="148"/>
      <c r="U219" s="95"/>
      <c r="W219" s="213">
        <f>GETPIVOTDATA("Брой от име",$A$3,"група",40,"№ Вид машини",5,"Вид машини","Друго оборудване","наименование на групата","Лазерни машини")-M219-P219-S219</f>
        <v>0</v>
      </c>
      <c r="X219" s="219">
        <f>SUM(X218)</f>
        <v>0</v>
      </c>
    </row>
    <row r="220" spans="1:25" ht="43.2" x14ac:dyDescent="0.3">
      <c r="A220" s="308"/>
      <c r="B220" s="308"/>
      <c r="C220" s="307">
        <v>49</v>
      </c>
      <c r="D220" s="78" t="s">
        <v>587</v>
      </c>
      <c r="E220" s="78" t="s">
        <v>1639</v>
      </c>
      <c r="F220" s="78" t="s">
        <v>1639</v>
      </c>
      <c r="G220" s="63">
        <v>2</v>
      </c>
      <c r="H220" s="102">
        <v>16091.36</v>
      </c>
      <c r="I220" s="145">
        <f>GETPIVOTDATA("Сума от Първоначална стойност",$A$3,"група",49,"№ Вид машини",5,"Вид машини","Друго оборудване","наименование на групата","Машина за разкрояване на текстил","описание",,"характеристики",)/GETPIVOTDATA("Брой от име",$A$3,"група",49,"№ Вид машини",5,"Вид машини","Друго оборудване","наименование на групата","Машина за разкрояване на текстил","описание",,"характеристики",)</f>
        <v>8045.68</v>
      </c>
      <c r="J220"/>
      <c r="K220" s="155" t="s">
        <v>587</v>
      </c>
      <c r="L220" s="152"/>
      <c r="M220" s="153">
        <v>1</v>
      </c>
      <c r="N220" s="154">
        <f t="shared" si="9"/>
        <v>8045.68</v>
      </c>
      <c r="O220" s="92"/>
      <c r="P220" s="91"/>
      <c r="Q220" s="147"/>
      <c r="R220" s="92"/>
      <c r="S220" s="90"/>
      <c r="T220" s="147"/>
      <c r="U220" s="92"/>
      <c r="W220" s="212">
        <f>GETPIVOTDATA("Брой от име",$A$3,"група",49,"№ Вид машини",5,"Вид машини","Друго оборудване","наименование на групата","Машина за разкрояване на текстил","описание",,"характеристики",)-M220-P220-S220</f>
        <v>1</v>
      </c>
      <c r="X220" s="217">
        <f t="shared" si="10"/>
        <v>8045.68</v>
      </c>
    </row>
    <row r="221" spans="1:25" ht="43.2" x14ac:dyDescent="0.3">
      <c r="A221" s="308"/>
      <c r="B221" s="308"/>
      <c r="C221" s="308"/>
      <c r="D221" s="307" t="s">
        <v>2059</v>
      </c>
      <c r="E221" s="308"/>
      <c r="F221" s="308"/>
      <c r="G221" s="63">
        <v>2</v>
      </c>
      <c r="H221" s="102">
        <v>16091.36</v>
      </c>
      <c r="I221" s="145"/>
      <c r="J221"/>
      <c r="K221" s="97" t="s">
        <v>587</v>
      </c>
      <c r="L221" s="101" t="e">
        <f>COUNTIF('Machine park -  BTB 24.04.26'!#REF!,$K221)</f>
        <v>#REF!</v>
      </c>
      <c r="M221" s="94">
        <f>M220</f>
        <v>1</v>
      </c>
      <c r="N221" s="160">
        <f>N220</f>
        <v>8045.68</v>
      </c>
      <c r="O221" s="95"/>
      <c r="P221" s="94">
        <f>P220</f>
        <v>0</v>
      </c>
      <c r="Q221" s="148"/>
      <c r="R221" s="95"/>
      <c r="S221" s="93">
        <f>S220</f>
        <v>0</v>
      </c>
      <c r="T221" s="148"/>
      <c r="U221" s="95"/>
      <c r="W221" s="213">
        <f>GETPIVOTDATA("Брой от име",$A$3,"група",49,"№ Вид машини",5,"Вид машини","Друго оборудване","наименование на групата","Машина за разкрояване на текстил")-M221-P221-S221</f>
        <v>1</v>
      </c>
      <c r="X221" s="219">
        <f>SUM(X220)</f>
        <v>8045.68</v>
      </c>
    </row>
    <row r="222" spans="1:25" x14ac:dyDescent="0.3">
      <c r="A222" s="308"/>
      <c r="B222" s="308"/>
      <c r="C222" s="307">
        <v>53</v>
      </c>
      <c r="D222" s="78" t="s">
        <v>618</v>
      </c>
      <c r="E222" s="78" t="s">
        <v>1639</v>
      </c>
      <c r="F222" s="78" t="s">
        <v>1639</v>
      </c>
      <c r="G222" s="63">
        <v>1</v>
      </c>
      <c r="H222" s="102">
        <v>5029.7700000000004</v>
      </c>
      <c r="I222" s="145">
        <f>GETPIVOTDATA("Сума от Първоначална стойност",$A$3,"група",53,"№ Вид машини",5,"Вид машини","Друго оборудване","наименование на групата","Влагомер","описание",,"характеристики",)/GETPIVOTDATA("Брой от име",$A$3,"група",53,"№ Вид машини",5,"Вид машини","Друго оборудване","наименование на групата","Влагомер","описание",,"характеристики",)</f>
        <v>5029.7700000000004</v>
      </c>
      <c r="J222"/>
      <c r="K222" s="98" t="s">
        <v>618</v>
      </c>
      <c r="L222" s="100"/>
      <c r="M222" s="91">
        <v>1</v>
      </c>
      <c r="N222" s="149">
        <f t="shared" si="9"/>
        <v>5029.7700000000004</v>
      </c>
      <c r="O222" s="92"/>
      <c r="P222" s="91"/>
      <c r="Q222" s="147"/>
      <c r="R222" s="92"/>
      <c r="S222" s="90"/>
      <c r="T222" s="147"/>
      <c r="U222" s="92"/>
      <c r="W222" s="212">
        <f>GETPIVOTDATA("Брой от име",$A$3,"група",53,"№ Вид машини",5,"Вид машини","Друго оборудване","наименование на групата","Влагомер","описание",,"характеристики",)-M222-P222-S222</f>
        <v>0</v>
      </c>
      <c r="X222" s="217">
        <f t="shared" si="10"/>
        <v>0</v>
      </c>
    </row>
    <row r="223" spans="1:25" x14ac:dyDescent="0.3">
      <c r="A223" s="308"/>
      <c r="B223" s="308"/>
      <c r="C223" s="308"/>
      <c r="D223" s="307" t="s">
        <v>2060</v>
      </c>
      <c r="E223" s="308"/>
      <c r="F223" s="308"/>
      <c r="G223" s="63">
        <v>1</v>
      </c>
      <c r="H223" s="102">
        <v>5029.7700000000004</v>
      </c>
      <c r="I223" s="145"/>
      <c r="J223"/>
      <c r="K223" s="97" t="s">
        <v>618</v>
      </c>
      <c r="L223" s="101" t="e">
        <f>COUNTIF('Machine park -  BTB 24.04.26'!#REF!,$K223)</f>
        <v>#REF!</v>
      </c>
      <c r="M223" s="94">
        <f>M222</f>
        <v>1</v>
      </c>
      <c r="N223" s="159">
        <f>N222</f>
        <v>5029.7700000000004</v>
      </c>
      <c r="O223" s="95"/>
      <c r="P223" s="94">
        <f>P222</f>
        <v>0</v>
      </c>
      <c r="Q223" s="148"/>
      <c r="R223" s="95"/>
      <c r="S223" s="93">
        <f>S222</f>
        <v>0</v>
      </c>
      <c r="T223" s="148"/>
      <c r="U223" s="95"/>
      <c r="W223" s="213">
        <f>GETPIVOTDATA("Брой от име",$A$3,"група",53,"№ Вид машини",5,"Вид машини","Друго оборудване","наименование на групата","Влагомер")-M223-P223-S223</f>
        <v>0</v>
      </c>
      <c r="X223" s="219">
        <f>SUM(X222)</f>
        <v>0</v>
      </c>
    </row>
    <row r="224" spans="1:25" x14ac:dyDescent="0.3">
      <c r="A224" s="307">
        <v>6</v>
      </c>
      <c r="B224" s="307" t="s">
        <v>1158</v>
      </c>
      <c r="C224" s="307">
        <v>33</v>
      </c>
      <c r="D224" s="307" t="s">
        <v>1053</v>
      </c>
      <c r="E224" s="307" t="s">
        <v>1311</v>
      </c>
      <c r="F224" s="78" t="s">
        <v>1312</v>
      </c>
      <c r="G224" s="63">
        <v>2</v>
      </c>
      <c r="H224" s="102">
        <v>7314.67</v>
      </c>
      <c r="I224" s="145">
        <f>GETPIVOTDATA("Сума от Първоначална стойност",$A$3,"група",33,"№ Вид машини",6,"Вид машини","Съоръжения под налягане и вакуум помпи","наименование на групата","Компресор + охладител+ ресивер","описание","компресор","характеристики","бутален")/GETPIVOTDATA("Брой от име",$A$3,"група",33,"№ Вид машини",6,"Вид машини","Съоръжения под налягане и вакуум помпи","наименование на групата","Компресор + охладител+ ресивер","описание","компресор","характеристики","бутален")</f>
        <v>3657.335</v>
      </c>
      <c r="J224"/>
      <c r="K224" s="309" t="s">
        <v>1053</v>
      </c>
      <c r="L224" s="100" t="s">
        <v>1456</v>
      </c>
      <c r="M224" s="91"/>
      <c r="N224" s="149"/>
      <c r="O224" s="92"/>
      <c r="P224" s="91"/>
      <c r="Q224" s="147"/>
      <c r="R224" s="92"/>
      <c r="S224" s="90"/>
      <c r="T224" s="147"/>
      <c r="U224" s="92"/>
      <c r="W224" s="212">
        <f>GETPIVOTDATA("Брой от име",$A$3,"група",33,"№ Вид машини",6,"Вид машини","Съоръжения под налягане и вакуум помпи","наименование на групата","Компресор + охладител+ ресивер","описание","компресор","характеристики","бутален")-M224-P224-S224</f>
        <v>2</v>
      </c>
      <c r="X224" s="217">
        <f t="shared" si="10"/>
        <v>7314.67</v>
      </c>
    </row>
    <row r="225" spans="1:25" x14ac:dyDescent="0.3">
      <c r="A225" s="308"/>
      <c r="B225" s="308"/>
      <c r="C225" s="308"/>
      <c r="D225" s="308"/>
      <c r="E225" s="308"/>
      <c r="F225" s="78" t="s">
        <v>1313</v>
      </c>
      <c r="G225" s="63">
        <v>5</v>
      </c>
      <c r="H225" s="102">
        <v>58986</v>
      </c>
      <c r="I225" s="145">
        <f>GETPIVOTDATA("Сума от Първоначална стойност",$A$3,"група",33,"№ Вид машини",6,"Вид машини","Съоръжения под налягане и вакуум помпи","наименование на групата","Компресор + охладител+ ресивер","описание","компресор","характеристики","винтов")/GETPIVOTDATA("Брой от име",$A$3,"група",33,"№ Вид машини",6,"Вид машини","Съоръжения под налягане и вакуум помпи","наименование на групата","Компресор + охладител+ ресивер","описание","компресор","характеристики","винтов")</f>
        <v>11797.2</v>
      </c>
      <c r="J225"/>
      <c r="K225" s="309"/>
      <c r="L225" s="100" t="s">
        <v>1457</v>
      </c>
      <c r="M225" s="91">
        <v>1</v>
      </c>
      <c r="N225" s="149">
        <f t="shared" si="9"/>
        <v>11797.2</v>
      </c>
      <c r="O225" s="92"/>
      <c r="P225" s="91"/>
      <c r="Q225" s="147"/>
      <c r="R225" s="92"/>
      <c r="S225" s="90"/>
      <c r="T225" s="147"/>
      <c r="U225" s="92"/>
      <c r="W225" s="212">
        <f>GETPIVOTDATA("Брой от име",$A$3,"група",33,"№ Вид машини",6,"Вид машини","Съоръжения под налягане и вакуум помпи","наименование на групата","Компресор + охладител+ ресивер","описание","компресор","характеристики","винтов")-M225-P225-S225</f>
        <v>4</v>
      </c>
      <c r="X225" s="217">
        <f t="shared" si="10"/>
        <v>47188.800000000003</v>
      </c>
    </row>
    <row r="226" spans="1:25" x14ac:dyDescent="0.3">
      <c r="A226" s="308"/>
      <c r="B226" s="308"/>
      <c r="C226" s="308"/>
      <c r="D226" s="308"/>
      <c r="E226" s="307" t="s">
        <v>1316</v>
      </c>
      <c r="F226" s="78" t="s">
        <v>1317</v>
      </c>
      <c r="G226" s="63">
        <v>2</v>
      </c>
      <c r="H226" s="102">
        <v>3390</v>
      </c>
      <c r="I226" s="145">
        <f>GETPIVOTDATA("Сума от Първоначална стойност",$A$3,"група",33,"№ Вид машини",6,"Вид машини","Съоръжения под налягане и вакуум помпи","наименование на групата","Компресор + охладител+ ресивер","описание","Резервоар напорен","характеристики","500 л")/GETPIVOTDATA("Брой от име",$A$3,"група",33,"№ Вид машини",6,"Вид машини","Съоръжения под налягане и вакуум помпи","наименование на групата","Компресор + охладител+ ресивер","описание","Резервоар напорен","характеристики","500 л")</f>
        <v>1695</v>
      </c>
      <c r="J226"/>
      <c r="K226" s="309"/>
      <c r="L226" s="100" t="s">
        <v>1458</v>
      </c>
      <c r="M226" s="91"/>
      <c r="N226" s="149"/>
      <c r="O226" s="92"/>
      <c r="P226" s="91"/>
      <c r="Q226" s="147"/>
      <c r="R226" s="92"/>
      <c r="S226" s="90"/>
      <c r="T226" s="147"/>
      <c r="U226" s="92"/>
      <c r="W226" s="212">
        <f>GETPIVOTDATA("Брой от име",$A$3,"група",33,"№ Вид машини",6,"Вид машини","Съоръжения под налягане и вакуум помпи","наименование на групата","Компресор + охладител+ ресивер","описание","Резервоар напорен","характеристики","500 л")-M226-P226-S226</f>
        <v>2</v>
      </c>
      <c r="X226" s="217">
        <f t="shared" si="10"/>
        <v>3390</v>
      </c>
    </row>
    <row r="227" spans="1:25" x14ac:dyDescent="0.3">
      <c r="A227" s="308"/>
      <c r="B227" s="308"/>
      <c r="C227" s="308"/>
      <c r="D227" s="308"/>
      <c r="E227" s="308"/>
      <c r="F227" s="78" t="s">
        <v>1318</v>
      </c>
      <c r="G227" s="63">
        <v>2</v>
      </c>
      <c r="H227" s="102">
        <v>4570</v>
      </c>
      <c r="I227" s="145">
        <f>GETPIVOTDATA("Сума от Първоначална стойност",$A$3,"група",33,"№ Вид машини",6,"Вид машини","Съоръжения под налягане и вакуум помпи","наименование на групата","Компресор + охладител+ ресивер","описание","Резервоар напорен","характеристики","1000 л")/GETPIVOTDATA("Брой от име",$A$3,"група",33,"№ Вид машини",6,"Вид машини","Съоръжения под налягане и вакуум помпи","наименование на групата","Компресор + охладител+ ресивер","описание","Резервоар напорен","характеристики","1000 л")</f>
        <v>2285</v>
      </c>
      <c r="J227"/>
      <c r="K227" s="309"/>
      <c r="L227" s="100" t="s">
        <v>1459</v>
      </c>
      <c r="M227" s="91">
        <v>1</v>
      </c>
      <c r="N227" s="149">
        <f t="shared" si="9"/>
        <v>2285</v>
      </c>
      <c r="O227" s="92"/>
      <c r="P227" s="91"/>
      <c r="Q227" s="147"/>
      <c r="R227" s="92"/>
      <c r="S227" s="90"/>
      <c r="T227" s="147"/>
      <c r="U227" s="92"/>
      <c r="W227" s="212">
        <f>GETPIVOTDATA("Брой от име",$A$3,"група",33,"№ Вид машини",6,"Вид машини","Съоръжения под налягане и вакуум помпи","наименование на групата","Компресор + охладител+ ресивер","описание","Резервоар напорен","характеристики","1000 л")-M227-P227-S227</f>
        <v>1</v>
      </c>
      <c r="X227" s="217">
        <f t="shared" si="10"/>
        <v>2285</v>
      </c>
    </row>
    <row r="228" spans="1:25" x14ac:dyDescent="0.3">
      <c r="A228" s="308"/>
      <c r="B228" s="308"/>
      <c r="C228" s="308"/>
      <c r="D228" s="308"/>
      <c r="E228" s="78" t="s">
        <v>1319</v>
      </c>
      <c r="F228" s="78" t="s">
        <v>1639</v>
      </c>
      <c r="G228" s="63">
        <v>4</v>
      </c>
      <c r="H228" s="102">
        <v>14778</v>
      </c>
      <c r="I228" s="145">
        <f>GETPIVOTDATA("Сума от Първоначална стойност",$A$3,"група",33,"№ Вид машини",6,"Вид машини","Съоръжения под налягане и вакуум помпи","наименование на групата","Компресор + охладител+ ресивер","описание","Хладилен изсушител","характеристики",)/GETPIVOTDATA("Брой от име",$A$3,"група",33,"№ Вид машини",6,"Вид машини","Съоръжения под налягане и вакуум помпи","наименование на групата","Компресор + охладител+ ресивер","описание","Хладилен изсушител","характеристики",)</f>
        <v>3694.5</v>
      </c>
      <c r="J228"/>
      <c r="K228" s="309"/>
      <c r="L228" s="100" t="s">
        <v>1319</v>
      </c>
      <c r="M228" s="91">
        <v>1</v>
      </c>
      <c r="N228" s="149">
        <f t="shared" si="9"/>
        <v>3694.5</v>
      </c>
      <c r="O228" s="92"/>
      <c r="P228" s="91"/>
      <c r="Q228" s="147"/>
      <c r="R228" s="92"/>
      <c r="S228" s="90"/>
      <c r="T228" s="147"/>
      <c r="U228" s="92"/>
      <c r="W228" s="212">
        <f>GETPIVOTDATA("Брой от име",$A$3,"група",33,"№ Вид машини",6,"Вид машини","Съоръжения под налягане и вакуум помпи","наименование на групата","Компресор + охладител+ ресивер","описание","Хладилен изсушител","характеристики",)-M228-P228-S228</f>
        <v>3</v>
      </c>
      <c r="X228" s="217">
        <f t="shared" si="10"/>
        <v>11083.5</v>
      </c>
    </row>
    <row r="229" spans="1:25" ht="43.2" x14ac:dyDescent="0.3">
      <c r="A229" s="308"/>
      <c r="B229" s="308"/>
      <c r="C229" s="308"/>
      <c r="D229" s="307" t="s">
        <v>2017</v>
      </c>
      <c r="E229" s="308"/>
      <c r="F229" s="308"/>
      <c r="G229" s="63">
        <v>15</v>
      </c>
      <c r="H229" s="102">
        <v>89038.67</v>
      </c>
      <c r="I229" s="145"/>
      <c r="J229"/>
      <c r="K229" s="97" t="s">
        <v>1053</v>
      </c>
      <c r="L229" s="101" t="e">
        <f>COUNTIF('Machine park -  BTB 24.04.26'!#REF!,$K229)</f>
        <v>#REF!</v>
      </c>
      <c r="M229" s="94">
        <f>SUM(M224:M228)</f>
        <v>3</v>
      </c>
      <c r="N229" s="159">
        <f>SUM(N224:N228)</f>
        <v>17776.7</v>
      </c>
      <c r="O229" s="95"/>
      <c r="P229" s="94">
        <f>SUM(P224:P228)</f>
        <v>0</v>
      </c>
      <c r="Q229" s="148"/>
      <c r="R229" s="95"/>
      <c r="S229" s="93">
        <f>SUM(S224:S228)</f>
        <v>0</v>
      </c>
      <c r="T229" s="148"/>
      <c r="U229" s="95"/>
      <c r="W229" s="213">
        <f>SUM(W224:W228)</f>
        <v>12</v>
      </c>
      <c r="X229" s="219">
        <f>SUM(X224:X228)</f>
        <v>71261.97</v>
      </c>
      <c r="Y229" s="145">
        <f>X229+T229+Q229+N229</f>
        <v>89038.67</v>
      </c>
    </row>
    <row r="230" spans="1:25" x14ac:dyDescent="0.3">
      <c r="A230" s="308"/>
      <c r="B230" s="308"/>
      <c r="C230" s="307">
        <v>34</v>
      </c>
      <c r="D230" s="78" t="s">
        <v>210</v>
      </c>
      <c r="E230" s="78" t="s">
        <v>1639</v>
      </c>
      <c r="F230" s="78" t="s">
        <v>1639</v>
      </c>
      <c r="G230" s="63">
        <v>3</v>
      </c>
      <c r="H230" s="102">
        <v>15214.41</v>
      </c>
      <c r="I230" s="145">
        <f>GETPIVOTDATA("Сума от Първоначална стойност",$A$3,"група",34,"№ Вид машини",6,"Вид машини","Съоръжения под налягане и вакуум помпи","наименование на групата","Вакуум помпа","описание",,"характеристики",)/GETPIVOTDATA("Брой от име",$A$3,"група",34,"№ Вид машини",6,"Вид машини","Съоръжения под налягане и вакуум помпи","наименование на групата","Вакуум помпа","описание",,"характеристики",)</f>
        <v>5071.47</v>
      </c>
      <c r="J230"/>
      <c r="K230" s="98" t="s">
        <v>210</v>
      </c>
      <c r="L230" s="100"/>
      <c r="M230" s="91">
        <v>1</v>
      </c>
      <c r="N230" s="149">
        <f t="shared" si="9"/>
        <v>5071.47</v>
      </c>
      <c r="O230" s="92"/>
      <c r="P230" s="91"/>
      <c r="Q230" s="147"/>
      <c r="R230" s="92"/>
      <c r="S230" s="90"/>
      <c r="T230" s="147"/>
      <c r="U230" s="92"/>
      <c r="W230" s="212">
        <f>GETPIVOTDATA("Брой от име",$A$3,"група",34,"№ Вид машини",6,"Вид машини","Съоръжения под налягане и вакуум помпи","наименование на групата","Вакуум помпа","описание",,"характеристики",)-M230-P230-S230</f>
        <v>2</v>
      </c>
      <c r="X230" s="217">
        <f t="shared" si="10"/>
        <v>10142.94</v>
      </c>
    </row>
    <row r="231" spans="1:25" x14ac:dyDescent="0.3">
      <c r="A231" s="308"/>
      <c r="B231" s="308"/>
      <c r="C231" s="308"/>
      <c r="D231" s="307" t="s">
        <v>2061</v>
      </c>
      <c r="E231" s="308"/>
      <c r="F231" s="308"/>
      <c r="G231" s="63">
        <v>3</v>
      </c>
      <c r="H231" s="102">
        <v>15214.41</v>
      </c>
      <c r="I231" s="145"/>
      <c r="J231"/>
      <c r="K231" s="97" t="s">
        <v>210</v>
      </c>
      <c r="L231" s="101" t="e">
        <f>COUNTIF('Machine park -  BTB 24.04.26'!#REF!,$K231)</f>
        <v>#REF!</v>
      </c>
      <c r="M231" s="94">
        <f>M230</f>
        <v>1</v>
      </c>
      <c r="N231" s="159">
        <f>N230</f>
        <v>5071.47</v>
      </c>
      <c r="O231" s="95"/>
      <c r="P231" s="94">
        <f>P230</f>
        <v>0</v>
      </c>
      <c r="Q231" s="148"/>
      <c r="R231" s="95"/>
      <c r="S231" s="93">
        <f>S230</f>
        <v>0</v>
      </c>
      <c r="T231" s="148"/>
      <c r="U231" s="95"/>
      <c r="W231" s="213">
        <f>GETPIVOTDATA("Брой от име",$A$3,"група",34,"№ Вид машини",6,"Вид машини","Съоръжения под налягане и вакуум помпи","наименование на групата","Вакуум помпа")-M231-P231-S231</f>
        <v>2</v>
      </c>
      <c r="X231" s="219">
        <f>SUM(X230)</f>
        <v>10142.94</v>
      </c>
    </row>
    <row r="232" spans="1:25" ht="43.2" x14ac:dyDescent="0.3">
      <c r="A232" s="308"/>
      <c r="B232" s="308"/>
      <c r="C232" s="307">
        <v>55</v>
      </c>
      <c r="D232" s="78" t="s">
        <v>1156</v>
      </c>
      <c r="E232" s="78" t="s">
        <v>1639</v>
      </c>
      <c r="F232" s="78" t="s">
        <v>1639</v>
      </c>
      <c r="G232" s="63">
        <v>3</v>
      </c>
      <c r="H232" s="102">
        <v>387522.1</v>
      </c>
      <c r="I232" s="145">
        <f>GETPIVOTDATA("Сума от Първоначална стойност",$A$3,"група",55,"№ Вид машини",6,"Вид машини","Съоръжения под налягане и вакуум помпи","наименование на групата","Парогенератор под специален контрол","описание",,"характеристики",)/GETPIVOTDATA("Брой от име",$A$3,"група",55,"№ Вид машини",6,"Вид машини","Съоръжения под налягане и вакуум помпи","наименование на групата","Парогенератор под специален контрол","описание",,"характеристики",)</f>
        <v>129174.03333333333</v>
      </c>
      <c r="J232"/>
      <c r="K232" s="98" t="s">
        <v>1156</v>
      </c>
      <c r="L232" s="100"/>
      <c r="M232" s="91">
        <v>1</v>
      </c>
      <c r="N232" s="149">
        <f t="shared" si="9"/>
        <v>129174.03333333333</v>
      </c>
      <c r="O232" s="92"/>
      <c r="P232" s="91"/>
      <c r="Q232" s="147"/>
      <c r="R232" s="92"/>
      <c r="S232" s="90"/>
      <c r="T232" s="147"/>
      <c r="U232" s="92"/>
      <c r="W232" s="212">
        <f>GETPIVOTDATA("Брой от име",$A$3,"група",55,"№ Вид машини",6,"Вид машини","Съоръжения под налягане и вакуум помпи","наименование на групата","Парогенератор под специален контрол","описание",,"характеристики",)-M232-P232-S232</f>
        <v>2</v>
      </c>
      <c r="X232" s="217">
        <f t="shared" si="10"/>
        <v>258348.06666666665</v>
      </c>
    </row>
    <row r="233" spans="1:25" ht="43.2" x14ac:dyDescent="0.3">
      <c r="A233" s="308"/>
      <c r="B233" s="308"/>
      <c r="C233" s="308"/>
      <c r="D233" s="307" t="s">
        <v>2062</v>
      </c>
      <c r="E233" s="308"/>
      <c r="F233" s="308"/>
      <c r="G233" s="63">
        <v>3</v>
      </c>
      <c r="H233" s="102">
        <v>387522.1</v>
      </c>
      <c r="I233" s="145"/>
      <c r="J233"/>
      <c r="K233" s="97" t="s">
        <v>1156</v>
      </c>
      <c r="L233" s="101" t="e">
        <f>COUNTIF('Machine park -  BTB 24.04.26'!#REF!,$K233)</f>
        <v>#REF!</v>
      </c>
      <c r="M233" s="94">
        <f>M232</f>
        <v>1</v>
      </c>
      <c r="N233" s="159">
        <f>N232</f>
        <v>129174.03333333333</v>
      </c>
      <c r="O233" s="95"/>
      <c r="P233" s="94">
        <f>P232</f>
        <v>0</v>
      </c>
      <c r="Q233" s="148"/>
      <c r="R233" s="95"/>
      <c r="S233" s="93">
        <f>S232</f>
        <v>0</v>
      </c>
      <c r="T233" s="148"/>
      <c r="U233" s="95"/>
      <c r="W233" s="213">
        <f>GETPIVOTDATA("Брой от име",$A$3,"група",55,"№ Вид машини",6,"Вид машини","Съоръжения под налягане и вакуум помпи","наименование на групата","Парогенератор под специален контрол")-M233-P233-S233</f>
        <v>2</v>
      </c>
      <c r="X233" s="219">
        <f>SUM(X232)</f>
        <v>258348.06666666665</v>
      </c>
      <c r="Y233" s="145">
        <f>X233+T233+Q233+N233</f>
        <v>387522.1</v>
      </c>
    </row>
    <row r="234" spans="1:25" ht="15" thickBot="1" x14ac:dyDescent="0.35">
      <c r="A234" s="307" t="s">
        <v>1629</v>
      </c>
      <c r="B234" s="308"/>
      <c r="C234" s="308"/>
      <c r="D234" s="308"/>
      <c r="E234" s="308"/>
      <c r="F234" s="308"/>
      <c r="G234" s="63">
        <v>902</v>
      </c>
      <c r="H234" s="102">
        <v>8950492.7471033353</v>
      </c>
      <c r="I234" s="145"/>
      <c r="J234"/>
      <c r="K234" s="316" t="s">
        <v>1480</v>
      </c>
      <c r="L234" s="317"/>
      <c r="M234" s="208">
        <f>M233+M231+M229+M223+M221+M219+M217+M215+M205+M202+M189+M172+M170+M168+M166+M164+M161+M157+M154+M152+M147+M145+M143+M138+M131+M129+M126+M124+M121+M119+M117+M115+M111+M109+M107+M104+M99+M87+M76+M72+M66+M64+M61+M58+M51+M49+M44+M42+M24</f>
        <v>153</v>
      </c>
      <c r="N234" s="209">
        <f>N233+N231+N229+N223+N221+N219+N217+N215+N205+N202+N189+N172+N170+N168+N166+N164+N161+N157+N154+N152+N147+N145+N143+N138+N131+N129+N126+N124+N121+N119+N117+N115+N111+N109+N107+N104+N99+N87+N76+N72+N66+N64+N61+N58+N51+N49+N44+N42+N24+N159</f>
        <v>2423646.3562861285</v>
      </c>
      <c r="O234" s="208"/>
      <c r="P234" s="208">
        <f>P233+P231+P229+P223+P221+P219+P217+P215+P205+P202+P189+P172+P170+P168+P166+P164+P161+P157+P154+P152+P147+P145+P143+P138+P131+P129+P126+P124+P121+P119+P117+P115+P111+P109+P107+P104+P99+P87+P76+P72+P66+P64+P61+P58+P51+P49+P44+P42+P24+P159</f>
        <v>78</v>
      </c>
      <c r="Q234" s="221">
        <f>Q233+Q231+Q229+Q223+Q221+Q219+Q217+Q215+Q205+Q202+Q189+Q172+Q170+Q168+Q166+Q164+Q161+Q157+Q154+Q152+Q147+Q145+Q143+Q138+Q131+Q129+Q126+Q124+Q121+Q119+Q117+Q115+Q111+Q109+Q107+Q104+Q99+Q87+Q76+Q72+Q66+Q64+Q61+Q58+Q51+Q49+Q44+Q42+Q24+Q159</f>
        <v>879193.45668233919</v>
      </c>
      <c r="R234" s="208"/>
      <c r="S234" s="208">
        <f>S233+S231+S229+S223+S221+S219+S217+S215+S205+S202+S189+S172+S170+S168+S166+S164+S161+S157+S154+S152+S147+S145+S143+S138+S131+S129+S126+S124+S121+S119+S117+S115+S111+S109+S107+S104+S99+S87+S76+S72+S66+S64+S61+S58+S51+S49+S44+S42+S24</f>
        <v>74</v>
      </c>
      <c r="T234" s="209">
        <f>T233+T231+T229+T223+T221+T219+T217+T215+T205+T202+T189+T172+T170+T168+T166+T164+T161+T157+T154+T152+T147+T145+T143+T138+T131+T129+T126+T124+T121+T119+T117+T115+T111+T109+T107+T104+T99+T87+T76+T72+T66+T64+T61+T58+T51+T49+T44+T42+T24</f>
        <v>515475.62852601992</v>
      </c>
      <c r="U234" s="209"/>
      <c r="V234" s="209"/>
      <c r="W234" s="208">
        <f>W233+W231+W229+W223+W221+W219+W217+W215+W205+W202+W189+W172+W170+W168+W166+W164+W161+W157+W154+W152+W147+W145+W143+W138+W131+W129+W126+W124+W121+W119+W117+W115+W111+W109+W107+W104+W99+W87+W76+W72+W66+W64+W61+W58+W51+W49+W44+W42+W24</f>
        <v>597</v>
      </c>
      <c r="X234" s="220">
        <f>X233+X231+X229+X223+X221+X219+X217+X215+X205+X202+X189+X172+X170+X168+X166+X164+X161+X157+X154+X152+X147+X145+X143+X138+X131+X129+X126+X124+X121+X119+X117+X115+X111+X109+X107+X104+X99+X87+X76+X72+X66+X64+X61+X58+X51+X49+X44+X42+X24</f>
        <v>5132177.3056088462</v>
      </c>
      <c r="Y234" s="222">
        <f>X234+T234+Q234+N234</f>
        <v>8950492.7471033335</v>
      </c>
    </row>
    <row r="235" spans="1:25" ht="15.6" x14ac:dyDescent="0.3">
      <c r="A235"/>
      <c r="B235"/>
      <c r="C235"/>
      <c r="D235"/>
      <c r="E235"/>
      <c r="F235"/>
      <c r="G235"/>
      <c r="H235"/>
      <c r="I235"/>
      <c r="J235"/>
      <c r="N235" s="179">
        <f>SUBTOTAL(9,N5:N234)</f>
        <v>7270939.0688583832</v>
      </c>
      <c r="O235" s="179"/>
      <c r="P235" s="179"/>
      <c r="Q235" s="179">
        <f>SUBTOTAL(9,Q5:Q234)</f>
        <v>2637580.3700470175</v>
      </c>
      <c r="R235" s="179"/>
      <c r="S235" s="179"/>
      <c r="T235" s="179">
        <f>SUBTOTAL(9,T5:T234)</f>
        <v>1546426.8855780601</v>
      </c>
      <c r="X235" s="222"/>
    </row>
    <row r="236" spans="1:25" x14ac:dyDescent="0.3">
      <c r="A236"/>
      <c r="B236"/>
      <c r="C236"/>
      <c r="D236"/>
      <c r="E236"/>
      <c r="F236"/>
      <c r="G236"/>
      <c r="H236"/>
      <c r="I236"/>
      <c r="J236"/>
    </row>
    <row r="237" spans="1:25" x14ac:dyDescent="0.3">
      <c r="A237"/>
      <c r="B237"/>
      <c r="C237"/>
      <c r="D237" s="85"/>
      <c r="E237" s="85"/>
      <c r="F237"/>
      <c r="G237"/>
      <c r="H237"/>
      <c r="I237"/>
      <c r="J237"/>
      <c r="K237" s="313" t="s">
        <v>1466</v>
      </c>
      <c r="L237" s="313"/>
      <c r="M237" s="313"/>
      <c r="N237" s="178">
        <v>2383434.13</v>
      </c>
    </row>
    <row r="238" spans="1:25" x14ac:dyDescent="0.3">
      <c r="A238"/>
      <c r="B238"/>
      <c r="C238"/>
      <c r="D238" s="85"/>
      <c r="E238" s="85"/>
      <c r="F238"/>
      <c r="G238"/>
      <c r="H238"/>
      <c r="I238"/>
      <c r="J238"/>
      <c r="K238" s="180"/>
      <c r="L238" s="180"/>
      <c r="M238" s="180"/>
      <c r="N238" s="178" t="s">
        <v>1471</v>
      </c>
      <c r="Q238" s="74" t="s">
        <v>1472</v>
      </c>
      <c r="T238" s="74" t="s">
        <v>1473</v>
      </c>
    </row>
    <row r="239" spans="1:25" x14ac:dyDescent="0.3">
      <c r="A239"/>
      <c r="B239"/>
      <c r="C239"/>
      <c r="D239" s="85"/>
      <c r="E239" s="85"/>
      <c r="F239"/>
      <c r="G239"/>
      <c r="H239"/>
      <c r="I239"/>
      <c r="J239"/>
      <c r="K239" s="313" t="s">
        <v>1467</v>
      </c>
      <c r="L239" s="313"/>
      <c r="M239" s="313"/>
      <c r="N239" s="183">
        <f>N233+N231+N229+N223+N217+N205+N202+N189+N172+N161+N147+N143+N131+N129+N126+N124+N121+N119+N111+N107+N104+N99+N87+N76+N72+N44+N42+N24</f>
        <v>1789443.9557861283</v>
      </c>
      <c r="O239" s="184"/>
      <c r="P239" s="184"/>
      <c r="Q239" s="183">
        <f>Q234</f>
        <v>879193.45668233919</v>
      </c>
      <c r="R239" s="183"/>
      <c r="S239" s="183"/>
      <c r="T239" s="183">
        <f>T234</f>
        <v>515475.62852601992</v>
      </c>
      <c r="U239" s="178"/>
    </row>
    <row r="240" spans="1:25" x14ac:dyDescent="0.3">
      <c r="A240"/>
      <c r="B240"/>
      <c r="C240"/>
      <c r="D240" s="85"/>
      <c r="E240" s="85"/>
      <c r="F240"/>
      <c r="G240"/>
      <c r="H240"/>
      <c r="I240"/>
      <c r="J240"/>
      <c r="K240" s="180"/>
      <c r="L240" s="180"/>
      <c r="M240" s="180"/>
      <c r="N240" s="223">
        <f>N239/1.95583</f>
        <v>914928.16644909233</v>
      </c>
      <c r="O240" s="224"/>
      <c r="P240" s="224"/>
      <c r="Q240" s="223">
        <f>Q239/1.95583</f>
        <v>449524.47640251927</v>
      </c>
      <c r="R240" s="223"/>
      <c r="S240" s="223"/>
      <c r="T240" s="223">
        <f>T239/1.95583</f>
        <v>263558.50381987181</v>
      </c>
      <c r="U240" s="178"/>
      <c r="X240" s="223">
        <f>X234/1.95583</f>
        <v>2624040.589217287</v>
      </c>
      <c r="Y240" s="223">
        <f>Y234/1.95583</f>
        <v>4576314.2742995732</v>
      </c>
    </row>
    <row r="241" spans="1:25" ht="15" thickBot="1" x14ac:dyDescent="0.35">
      <c r="A241"/>
      <c r="B241"/>
      <c r="C241"/>
      <c r="D241" s="85"/>
      <c r="E241" s="85"/>
      <c r="F241"/>
      <c r="G241"/>
      <c r="H241"/>
      <c r="I241"/>
      <c r="J241"/>
      <c r="K241" s="180"/>
      <c r="L241" s="180"/>
      <c r="M241" s="180"/>
      <c r="N241" s="183"/>
      <c r="O241" s="184"/>
      <c r="P241" s="184"/>
      <c r="Q241" s="183"/>
      <c r="R241" s="183"/>
      <c r="S241" s="183"/>
      <c r="T241" s="183"/>
      <c r="U241" s="178"/>
    </row>
    <row r="242" spans="1:25" x14ac:dyDescent="0.3">
      <c r="A242"/>
      <c r="B242"/>
      <c r="C242"/>
      <c r="D242" s="85"/>
      <c r="E242" s="85"/>
      <c r="F242"/>
      <c r="G242"/>
      <c r="H242"/>
      <c r="I242"/>
      <c r="J242"/>
      <c r="K242" s="314" t="s">
        <v>1476</v>
      </c>
      <c r="L242" s="315"/>
      <c r="M242" s="315"/>
      <c r="N242" s="188">
        <f>N239/1.95583</f>
        <v>914928.16644909233</v>
      </c>
      <c r="O242" s="189" t="s">
        <v>1471</v>
      </c>
      <c r="P242" s="186"/>
      <c r="Q242" s="185"/>
      <c r="R242" s="185"/>
      <c r="S242" s="185"/>
      <c r="T242" s="185"/>
      <c r="U242" s="178"/>
    </row>
    <row r="243" spans="1:25" x14ac:dyDescent="0.3">
      <c r="A243"/>
      <c r="B243"/>
      <c r="C243"/>
      <c r="D243" s="85"/>
      <c r="E243" s="85"/>
      <c r="F243"/>
      <c r="G243"/>
      <c r="H243"/>
      <c r="I243"/>
      <c r="J243"/>
      <c r="K243" s="312" t="s">
        <v>1476</v>
      </c>
      <c r="L243" s="313"/>
      <c r="M243" s="313"/>
      <c r="N243" s="185">
        <f>Q240</f>
        <v>449524.47640251927</v>
      </c>
      <c r="O243" s="191" t="s">
        <v>1472</v>
      </c>
      <c r="P243" s="186"/>
      <c r="Q243" s="185"/>
      <c r="R243" s="185"/>
      <c r="S243" s="185"/>
      <c r="T243" s="185"/>
      <c r="U243" s="178"/>
    </row>
    <row r="244" spans="1:25" ht="15" thickBot="1" x14ac:dyDescent="0.35">
      <c r="A244"/>
      <c r="B244"/>
      <c r="C244"/>
      <c r="D244" s="85"/>
      <c r="E244" s="85"/>
      <c r="F244"/>
      <c r="G244"/>
      <c r="H244"/>
      <c r="I244"/>
      <c r="J244"/>
      <c r="K244" s="312" t="s">
        <v>1476</v>
      </c>
      <c r="L244" s="313"/>
      <c r="M244" s="313"/>
      <c r="N244" s="187">
        <f>T240</f>
        <v>263558.50381987181</v>
      </c>
      <c r="O244" s="191" t="s">
        <v>1473</v>
      </c>
      <c r="P244" s="186"/>
      <c r="Q244" s="185"/>
      <c r="R244" s="185"/>
      <c r="S244" s="185"/>
      <c r="T244" s="185"/>
      <c r="U244" s="178"/>
    </row>
    <row r="245" spans="1:25" ht="15" thickTop="1" x14ac:dyDescent="0.3">
      <c r="A245"/>
      <c r="B245"/>
      <c r="C245"/>
      <c r="D245" s="85"/>
      <c r="E245" s="85"/>
      <c r="F245"/>
      <c r="G245"/>
      <c r="H245"/>
      <c r="I245"/>
      <c r="J245"/>
      <c r="K245" s="312" t="s">
        <v>1478</v>
      </c>
      <c r="L245" s="313"/>
      <c r="M245" s="313"/>
      <c r="N245" s="185">
        <f>N242+N243+N244</f>
        <v>1628011.1466714833</v>
      </c>
      <c r="O245" s="191"/>
      <c r="P245" s="186"/>
      <c r="Q245" s="185"/>
      <c r="R245" s="185"/>
      <c r="S245" s="185"/>
      <c r="T245" s="185"/>
      <c r="U245" s="178"/>
    </row>
    <row r="246" spans="1:25" x14ac:dyDescent="0.3">
      <c r="A246"/>
      <c r="B246"/>
      <c r="C246"/>
      <c r="D246" s="85"/>
      <c r="E246" s="85"/>
      <c r="F246"/>
      <c r="G246"/>
      <c r="H246"/>
      <c r="I246"/>
      <c r="J246"/>
      <c r="K246" s="190"/>
      <c r="L246" s="180"/>
      <c r="M246" s="180"/>
      <c r="N246" s="185"/>
      <c r="O246" s="191"/>
      <c r="P246" s="186"/>
      <c r="Q246" s="185"/>
      <c r="R246" s="185"/>
      <c r="S246" s="185"/>
      <c r="T246" s="185"/>
      <c r="U246" s="178"/>
    </row>
    <row r="247" spans="1:25" x14ac:dyDescent="0.3">
      <c r="A247"/>
      <c r="B247"/>
      <c r="C247"/>
      <c r="D247" s="85"/>
      <c r="E247" s="85"/>
      <c r="F247"/>
      <c r="G247"/>
      <c r="H247"/>
      <c r="I247"/>
      <c r="J247"/>
      <c r="K247" s="190"/>
      <c r="L247" s="313" t="s">
        <v>1474</v>
      </c>
      <c r="M247" s="313"/>
      <c r="N247" s="185">
        <v>60000</v>
      </c>
      <c r="O247" s="191"/>
      <c r="P247" s="186"/>
      <c r="Q247" s="185"/>
      <c r="R247" s="185"/>
      <c r="S247" s="185"/>
      <c r="T247" s="185"/>
      <c r="U247" s="178"/>
      <c r="Y247" s="222"/>
    </row>
    <row r="248" spans="1:25" ht="15" thickBot="1" x14ac:dyDescent="0.35">
      <c r="A248"/>
      <c r="B248"/>
      <c r="C248"/>
      <c r="D248" s="85"/>
      <c r="E248" s="85"/>
      <c r="F248"/>
      <c r="G248"/>
      <c r="H248"/>
      <c r="I248"/>
      <c r="J248"/>
      <c r="K248" s="190"/>
      <c r="L248" s="313" t="s">
        <v>1475</v>
      </c>
      <c r="M248" s="313"/>
      <c r="N248" s="187">
        <v>40000</v>
      </c>
      <c r="O248" s="191"/>
      <c r="P248" s="186"/>
      <c r="Q248" s="185"/>
      <c r="R248" s="185"/>
      <c r="S248" s="185"/>
      <c r="T248" s="185"/>
      <c r="U248" s="178"/>
    </row>
    <row r="249" spans="1:25" ht="29.4" customHeight="1" thickTop="1" x14ac:dyDescent="0.3">
      <c r="A249"/>
      <c r="B249"/>
      <c r="C249"/>
      <c r="D249" s="85"/>
      <c r="E249" s="85"/>
      <c r="F249"/>
      <c r="G249"/>
      <c r="H249"/>
      <c r="I249"/>
      <c r="J249"/>
      <c r="K249" s="312" t="s">
        <v>1477</v>
      </c>
      <c r="L249" s="313"/>
      <c r="M249" s="313"/>
      <c r="N249" s="185">
        <f>N247+N248</f>
        <v>100000</v>
      </c>
      <c r="O249" s="191"/>
      <c r="P249" s="186"/>
      <c r="Q249" s="185"/>
      <c r="R249" s="185"/>
      <c r="S249" s="185"/>
      <c r="T249" s="185"/>
      <c r="U249" s="178"/>
    </row>
    <row r="250" spans="1:25" x14ac:dyDescent="0.3">
      <c r="A250"/>
      <c r="B250"/>
      <c r="C250"/>
      <c r="D250" s="85"/>
      <c r="E250" s="85"/>
      <c r="F250"/>
      <c r="G250"/>
      <c r="H250"/>
      <c r="I250"/>
      <c r="J250"/>
      <c r="K250" s="190"/>
      <c r="L250" s="103"/>
      <c r="M250" s="103"/>
      <c r="N250" s="185"/>
      <c r="O250" s="191"/>
      <c r="P250" s="186"/>
      <c r="Q250" s="185"/>
      <c r="R250" s="185"/>
      <c r="S250" s="185"/>
      <c r="T250" s="185"/>
      <c r="U250" s="178"/>
    </row>
    <row r="251" spans="1:25" x14ac:dyDescent="0.3">
      <c r="A251"/>
      <c r="B251"/>
      <c r="C251"/>
      <c r="D251" s="85"/>
      <c r="E251" s="85"/>
      <c r="F251"/>
      <c r="G251"/>
      <c r="H251"/>
      <c r="I251"/>
      <c r="J251"/>
      <c r="K251" s="312" t="s">
        <v>1469</v>
      </c>
      <c r="L251" s="313"/>
      <c r="M251" s="313"/>
      <c r="N251" s="185">
        <f>(N221+N117+N115+N66+N61+N58+N51+N49)/1.95583</f>
        <v>267307.1470935613</v>
      </c>
      <c r="O251" s="192"/>
      <c r="Q251" s="178"/>
      <c r="R251" s="178"/>
      <c r="S251" s="178"/>
      <c r="T251" s="178"/>
      <c r="U251" s="178"/>
    </row>
    <row r="252" spans="1:25" x14ac:dyDescent="0.3">
      <c r="A252"/>
      <c r="B252"/>
      <c r="C252"/>
      <c r="D252" s="85"/>
      <c r="E252" s="85"/>
      <c r="F252"/>
      <c r="G252"/>
      <c r="H252"/>
      <c r="I252"/>
      <c r="J252"/>
      <c r="K252" s="312" t="s">
        <v>1468</v>
      </c>
      <c r="L252" s="313"/>
      <c r="M252" s="313"/>
      <c r="N252" s="185">
        <f>N215/1.95583</f>
        <v>45251.281041808332</v>
      </c>
      <c r="O252" s="192"/>
      <c r="Q252" s="178"/>
      <c r="R252" s="178"/>
      <c r="S252" s="178"/>
      <c r="T252" s="178"/>
      <c r="U252" s="178"/>
    </row>
    <row r="253" spans="1:25" ht="15" thickBot="1" x14ac:dyDescent="0.35">
      <c r="A253"/>
      <c r="B253"/>
      <c r="C253"/>
      <c r="D253" s="85"/>
      <c r="E253" s="85"/>
      <c r="F253"/>
      <c r="G253"/>
      <c r="H253"/>
      <c r="I253"/>
      <c r="J253"/>
      <c r="K253" s="312" t="s">
        <v>1470</v>
      </c>
      <c r="L253" s="313"/>
      <c r="M253" s="313"/>
      <c r="N253" s="187">
        <f>N219/1.95583</f>
        <v>11704.110275432937</v>
      </c>
      <c r="O253" s="192"/>
      <c r="Q253" s="178"/>
      <c r="R253" s="178"/>
      <c r="S253" s="178"/>
      <c r="T253" s="178"/>
      <c r="U253" s="178"/>
    </row>
    <row r="254" spans="1:25" ht="15" thickTop="1" x14ac:dyDescent="0.3">
      <c r="A254"/>
      <c r="B254"/>
      <c r="C254"/>
      <c r="D254" s="85"/>
      <c r="E254" s="85"/>
      <c r="F254"/>
      <c r="G254"/>
      <c r="H254"/>
      <c r="I254"/>
      <c r="J254"/>
      <c r="K254" s="312" t="s">
        <v>1479</v>
      </c>
      <c r="L254" s="313"/>
      <c r="M254" s="313"/>
      <c r="N254" s="185">
        <f>N251+N252+N253</f>
        <v>324262.53841080255</v>
      </c>
      <c r="O254" s="192"/>
      <c r="Q254" s="178"/>
      <c r="R254" s="178"/>
      <c r="S254" s="178"/>
      <c r="T254" s="178"/>
      <c r="U254" s="178"/>
    </row>
    <row r="255" spans="1:25" x14ac:dyDescent="0.3">
      <c r="A255"/>
      <c r="B255"/>
      <c r="C255"/>
      <c r="D255" s="85"/>
      <c r="E255" s="85"/>
      <c r="F255"/>
      <c r="G255"/>
      <c r="H255"/>
      <c r="I255"/>
      <c r="J255"/>
      <c r="K255" s="193"/>
      <c r="N255" s="178"/>
      <c r="O255" s="192"/>
      <c r="Q255" s="178"/>
      <c r="R255" s="178"/>
      <c r="S255" s="178"/>
      <c r="T255" s="178"/>
      <c r="U255" s="178"/>
    </row>
    <row r="256" spans="1:25" x14ac:dyDescent="0.3">
      <c r="A256"/>
      <c r="B256"/>
      <c r="C256"/>
      <c r="D256" s="85"/>
      <c r="E256" s="85"/>
      <c r="F256"/>
      <c r="G256"/>
      <c r="H256"/>
      <c r="I256"/>
      <c r="J256"/>
      <c r="K256" s="310" t="s">
        <v>1466</v>
      </c>
      <c r="L256" s="311"/>
      <c r="M256" s="311"/>
      <c r="N256" s="185">
        <f>N254+N249+N245</f>
        <v>2052273.6850822859</v>
      </c>
      <c r="O256" s="192"/>
      <c r="Q256" s="178"/>
      <c r="R256" s="178"/>
      <c r="S256" s="178"/>
      <c r="T256" s="178"/>
      <c r="U256" s="178"/>
    </row>
    <row r="257" spans="1:15" ht="15" thickBot="1" x14ac:dyDescent="0.35">
      <c r="A257"/>
      <c r="B257"/>
      <c r="C257"/>
      <c r="D257" s="85"/>
      <c r="E257" s="85"/>
      <c r="F257"/>
      <c r="G257"/>
      <c r="H257"/>
      <c r="I257"/>
      <c r="J257"/>
      <c r="K257" s="194"/>
      <c r="L257" s="195"/>
      <c r="M257" s="196"/>
      <c r="N257" s="197"/>
      <c r="O257" s="198"/>
    </row>
  </sheetData>
  <autoFilter ref="K3:W234" xr:uid="{00000000-0009-0000-0000-000006000000}"/>
  <mergeCells count="205">
    <mergeCell ref="W3:X3"/>
    <mergeCell ref="K100:K103"/>
    <mergeCell ref="K105:K106"/>
    <mergeCell ref="K112:K114"/>
    <mergeCell ref="K122:K123"/>
    <mergeCell ref="K127:K128"/>
    <mergeCell ref="K132:K137"/>
    <mergeCell ref="K203:K204"/>
    <mergeCell ref="K5:K23"/>
    <mergeCell ref="K25:K41"/>
    <mergeCell ref="K45:K48"/>
    <mergeCell ref="K52:K57"/>
    <mergeCell ref="K59:K60"/>
    <mergeCell ref="K62:K63"/>
    <mergeCell ref="K67:K71"/>
    <mergeCell ref="K73:K75"/>
    <mergeCell ref="K77:K86"/>
    <mergeCell ref="K88:K98"/>
    <mergeCell ref="K139:K142"/>
    <mergeCell ref="K148:K151"/>
    <mergeCell ref="K155:K156"/>
    <mergeCell ref="K162:K163"/>
    <mergeCell ref="K173:K188"/>
    <mergeCell ref="K190:K201"/>
    <mergeCell ref="K256:M256"/>
    <mergeCell ref="K245:M245"/>
    <mergeCell ref="K249:M249"/>
    <mergeCell ref="K254:M254"/>
    <mergeCell ref="K237:M237"/>
    <mergeCell ref="K239:M239"/>
    <mergeCell ref="K251:M251"/>
    <mergeCell ref="K252:M252"/>
    <mergeCell ref="K253:M253"/>
    <mergeCell ref="L247:M247"/>
    <mergeCell ref="L248:M248"/>
    <mergeCell ref="K242:M242"/>
    <mergeCell ref="K243:M243"/>
    <mergeCell ref="K244:M244"/>
    <mergeCell ref="K234:L234"/>
    <mergeCell ref="K206:K214"/>
    <mergeCell ref="K224:K228"/>
    <mergeCell ref="C169:C170"/>
    <mergeCell ref="C171:C172"/>
    <mergeCell ref="C173:C189"/>
    <mergeCell ref="C190:C202"/>
    <mergeCell ref="C203:C205"/>
    <mergeCell ref="C206:C215"/>
    <mergeCell ref="C160:C161"/>
    <mergeCell ref="D168:F168"/>
    <mergeCell ref="D145:F145"/>
    <mergeCell ref="D147:F147"/>
    <mergeCell ref="D148:D151"/>
    <mergeCell ref="D152:F152"/>
    <mergeCell ref="D154:F154"/>
    <mergeCell ref="D155:D156"/>
    <mergeCell ref="C162:C164"/>
    <mergeCell ref="C165:C166"/>
    <mergeCell ref="C167:C168"/>
    <mergeCell ref="D205:F205"/>
    <mergeCell ref="D206:D214"/>
    <mergeCell ref="E173:E174"/>
    <mergeCell ref="E175:E176"/>
    <mergeCell ref="E181:E182"/>
    <mergeCell ref="E183:E186"/>
    <mergeCell ref="E213:E214"/>
    <mergeCell ref="C116:C117"/>
    <mergeCell ref="C118:C119"/>
    <mergeCell ref="C120:C121"/>
    <mergeCell ref="C122:C124"/>
    <mergeCell ref="C125:C126"/>
    <mergeCell ref="C127:C129"/>
    <mergeCell ref="D215:F215"/>
    <mergeCell ref="D217:F217"/>
    <mergeCell ref="D219:F219"/>
    <mergeCell ref="D157:F157"/>
    <mergeCell ref="D159:F159"/>
    <mergeCell ref="D161:F161"/>
    <mergeCell ref="D162:D163"/>
    <mergeCell ref="D164:F164"/>
    <mergeCell ref="D166:F166"/>
    <mergeCell ref="D129:F129"/>
    <mergeCell ref="D131:F131"/>
    <mergeCell ref="D132:D137"/>
    <mergeCell ref="D138:F138"/>
    <mergeCell ref="D139:D142"/>
    <mergeCell ref="D143:F143"/>
    <mergeCell ref="D124:F124"/>
    <mergeCell ref="D126:F126"/>
    <mergeCell ref="D127:D128"/>
    <mergeCell ref="C130:C131"/>
    <mergeCell ref="C132:C138"/>
    <mergeCell ref="C139:C143"/>
    <mergeCell ref="C144:C145"/>
    <mergeCell ref="C146:C147"/>
    <mergeCell ref="C148:C152"/>
    <mergeCell ref="C153:C154"/>
    <mergeCell ref="C155:C157"/>
    <mergeCell ref="C158:C159"/>
    <mergeCell ref="A5:A66"/>
    <mergeCell ref="A67:A126"/>
    <mergeCell ref="A127:A172"/>
    <mergeCell ref="A173:A205"/>
    <mergeCell ref="A206:A223"/>
    <mergeCell ref="A224:A233"/>
    <mergeCell ref="A234:F234"/>
    <mergeCell ref="B5:B66"/>
    <mergeCell ref="B67:B126"/>
    <mergeCell ref="B127:B172"/>
    <mergeCell ref="B173:B205"/>
    <mergeCell ref="B206:B223"/>
    <mergeCell ref="B224:B233"/>
    <mergeCell ref="C5:C24"/>
    <mergeCell ref="C25:C42"/>
    <mergeCell ref="C43:C44"/>
    <mergeCell ref="C45:C49"/>
    <mergeCell ref="C50:C51"/>
    <mergeCell ref="C52:C58"/>
    <mergeCell ref="C59:C61"/>
    <mergeCell ref="C62:C64"/>
    <mergeCell ref="C65:C66"/>
    <mergeCell ref="D107:F107"/>
    <mergeCell ref="D109:F109"/>
    <mergeCell ref="C67:C72"/>
    <mergeCell ref="C73:C76"/>
    <mergeCell ref="C77:C87"/>
    <mergeCell ref="C88:C99"/>
    <mergeCell ref="C100:C104"/>
    <mergeCell ref="C105:C107"/>
    <mergeCell ref="C108:C109"/>
    <mergeCell ref="C110:C111"/>
    <mergeCell ref="C112:C115"/>
    <mergeCell ref="C216:C217"/>
    <mergeCell ref="C218:C219"/>
    <mergeCell ref="C220:C221"/>
    <mergeCell ref="C222:C223"/>
    <mergeCell ref="C224:C229"/>
    <mergeCell ref="C230:C231"/>
    <mergeCell ref="C232:C233"/>
    <mergeCell ref="D5:D23"/>
    <mergeCell ref="D24:F24"/>
    <mergeCell ref="D25:D41"/>
    <mergeCell ref="D42:F42"/>
    <mergeCell ref="D44:F44"/>
    <mergeCell ref="D45:D48"/>
    <mergeCell ref="D49:F49"/>
    <mergeCell ref="D51:F51"/>
    <mergeCell ref="D52:D57"/>
    <mergeCell ref="D58:F58"/>
    <mergeCell ref="D59:D60"/>
    <mergeCell ref="D61:F61"/>
    <mergeCell ref="D62:D63"/>
    <mergeCell ref="D64:F64"/>
    <mergeCell ref="D66:F66"/>
    <mergeCell ref="D67:D71"/>
    <mergeCell ref="D72:F72"/>
    <mergeCell ref="D73:D75"/>
    <mergeCell ref="D76:F76"/>
    <mergeCell ref="D77:D86"/>
    <mergeCell ref="D87:F87"/>
    <mergeCell ref="D88:D98"/>
    <mergeCell ref="D99:F99"/>
    <mergeCell ref="D100:D103"/>
    <mergeCell ref="D104:F104"/>
    <mergeCell ref="D105:D106"/>
    <mergeCell ref="E226:E227"/>
    <mergeCell ref="D223:F223"/>
    <mergeCell ref="D224:D228"/>
    <mergeCell ref="D229:F229"/>
    <mergeCell ref="D111:F111"/>
    <mergeCell ref="D112:D114"/>
    <mergeCell ref="D115:F115"/>
    <mergeCell ref="D117:F117"/>
    <mergeCell ref="D119:F119"/>
    <mergeCell ref="D121:F121"/>
    <mergeCell ref="D122:D123"/>
    <mergeCell ref="E149:E150"/>
    <mergeCell ref="E162:E163"/>
    <mergeCell ref="D221:F221"/>
    <mergeCell ref="D170:F170"/>
    <mergeCell ref="D172:F172"/>
    <mergeCell ref="D173:D188"/>
    <mergeCell ref="D231:F231"/>
    <mergeCell ref="D233:F233"/>
    <mergeCell ref="E8:E12"/>
    <mergeCell ref="E15:E21"/>
    <mergeCell ref="E25:E27"/>
    <mergeCell ref="E28:E29"/>
    <mergeCell ref="E30:E32"/>
    <mergeCell ref="E33:E34"/>
    <mergeCell ref="E35:E36"/>
    <mergeCell ref="E54:E56"/>
    <mergeCell ref="E67:E68"/>
    <mergeCell ref="E69:E70"/>
    <mergeCell ref="E78:E80"/>
    <mergeCell ref="E88:E89"/>
    <mergeCell ref="E93:E94"/>
    <mergeCell ref="E100:E101"/>
    <mergeCell ref="E105:E106"/>
    <mergeCell ref="E122:E123"/>
    <mergeCell ref="E127:E128"/>
    <mergeCell ref="D189:F189"/>
    <mergeCell ref="D190:D201"/>
    <mergeCell ref="D202:F202"/>
    <mergeCell ref="D203:D204"/>
    <mergeCell ref="E224:E225"/>
  </mergeCells>
  <conditionalFormatting sqref="A3:J4 A5:F236 J108:J236 A237:J257">
    <cfRule type="containsText" dxfId="68" priority="11" operator="containsText" text="(празно)">
      <formula>NOT(ISERROR(SEARCH("(празно)",A3)))</formula>
    </cfRule>
  </conditionalFormatting>
  <conditionalFormatting sqref="K4:L5 L6:L233 K24:K234 M197:M234 N234:X234">
    <cfRule type="containsText" dxfId="67" priority="7" operator="containsText" text="(празно)">
      <formula>NOT(ISERROR(SEARCH("(празно)",K4)))</formula>
    </cfRule>
  </conditionalFormatting>
  <conditionalFormatting sqref="M2:N4">
    <cfRule type="containsText" dxfId="66" priority="6" operator="containsText" text="(празно)">
      <formula>NOT(ISERROR(SEARCH("(празно)",M2)))</formula>
    </cfRule>
  </conditionalFormatting>
  <conditionalFormatting sqref="O4:Q4">
    <cfRule type="containsText" dxfId="65" priority="2" operator="containsText" text="(празно)">
      <formula>NOT(ISERROR(SEARCH("(празно)",O4)))</formula>
    </cfRule>
  </conditionalFormatting>
  <conditionalFormatting sqref="S4:T4">
    <cfRule type="containsText" dxfId="64" priority="1" operator="containsText" text="(празно)">
      <formula>NOT(ISERROR(SEARCH("(празно)",S4)))</formula>
    </cfRule>
  </conditionalFormatting>
  <conditionalFormatting sqref="W4:W233">
    <cfRule type="containsText" dxfId="63" priority="3" operator="containsText" text="(празно)">
      <formula>NOT(ISERROR(SEARCH("(празно)",W4)))</formula>
    </cfRule>
  </conditionalFormatting>
  <pageMargins left="0.31496062992125984" right="0.31496062992125984" top="0.35433070866141736" bottom="0.35433070866141736" header="0.31496062992125984" footer="0.31496062992125984"/>
  <pageSetup paperSize="9" scale="27" fitToHeight="0" orientation="portrait" verticalDpi="0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D160"/>
  <sheetViews>
    <sheetView workbookViewId="0">
      <pane xSplit="4" ySplit="2" topLeftCell="E3" activePane="bottomRight" state="frozen"/>
      <selection pane="topRight" activeCell="E1" sqref="E1"/>
      <selection pane="bottomLeft" activeCell="A3" sqref="A3"/>
      <selection pane="bottomRight" sqref="A1:D1"/>
    </sheetView>
  </sheetViews>
  <sheetFormatPr baseColWidth="10" defaultColWidth="9.109375" defaultRowHeight="14.4" x14ac:dyDescent="0.3"/>
  <cols>
    <col min="1" max="1" width="22.88671875" style="4" customWidth="1"/>
    <col min="2" max="2" width="26.109375" style="65" customWidth="1"/>
    <col min="3" max="3" width="33.88671875" style="65" customWidth="1"/>
    <col min="4" max="4" width="12.6640625" style="65" bestFit="1" customWidth="1"/>
    <col min="5" max="16384" width="9.109375" style="65"/>
  </cols>
  <sheetData>
    <row r="1" spans="1:4" ht="18" x14ac:dyDescent="0.3">
      <c r="A1" s="328" t="s">
        <v>1150</v>
      </c>
      <c r="B1" s="328"/>
      <c r="C1" s="328"/>
      <c r="D1" s="328"/>
    </row>
    <row r="3" spans="1:4" x14ac:dyDescent="0.3">
      <c r="A3" s="329" t="s">
        <v>1163</v>
      </c>
      <c r="B3" s="329"/>
      <c r="C3" s="329"/>
      <c r="D3" s="329"/>
    </row>
    <row r="4" spans="1:4" x14ac:dyDescent="0.3">
      <c r="A4" s="82" t="s">
        <v>1356</v>
      </c>
      <c r="B4" s="82" t="s">
        <v>1014</v>
      </c>
      <c r="C4" s="82" t="s">
        <v>1015</v>
      </c>
      <c r="D4" s="82" t="s">
        <v>1357</v>
      </c>
    </row>
    <row r="5" spans="1:4" ht="28.8" x14ac:dyDescent="0.3">
      <c r="A5" s="325" t="s">
        <v>190</v>
      </c>
      <c r="B5" s="78" t="s">
        <v>1092</v>
      </c>
      <c r="C5" s="78" t="s">
        <v>1093</v>
      </c>
      <c r="D5" s="63">
        <v>1</v>
      </c>
    </row>
    <row r="6" spans="1:4" ht="28.8" x14ac:dyDescent="0.3">
      <c r="A6" s="326"/>
      <c r="B6" s="307" t="s">
        <v>6</v>
      </c>
      <c r="C6" s="78" t="s">
        <v>1072</v>
      </c>
      <c r="D6" s="63">
        <v>4</v>
      </c>
    </row>
    <row r="7" spans="1:4" ht="28.8" x14ac:dyDescent="0.3">
      <c r="A7" s="326"/>
      <c r="B7" s="308"/>
      <c r="C7" s="78" t="s">
        <v>1050</v>
      </c>
      <c r="D7" s="63">
        <v>3</v>
      </c>
    </row>
    <row r="8" spans="1:4" x14ac:dyDescent="0.3">
      <c r="A8" s="326"/>
      <c r="B8" s="307"/>
      <c r="C8" s="78" t="s">
        <v>1048</v>
      </c>
      <c r="D8" s="63">
        <v>4</v>
      </c>
    </row>
    <row r="9" spans="1:4" x14ac:dyDescent="0.3">
      <c r="A9" s="326"/>
      <c r="B9" s="308"/>
      <c r="C9" s="78" t="s">
        <v>1091</v>
      </c>
      <c r="D9" s="63">
        <v>1</v>
      </c>
    </row>
    <row r="10" spans="1:4" x14ac:dyDescent="0.3">
      <c r="A10" s="326"/>
      <c r="B10" s="308"/>
      <c r="C10" s="78" t="s">
        <v>1049</v>
      </c>
      <c r="D10" s="63">
        <v>9</v>
      </c>
    </row>
    <row r="11" spans="1:4" x14ac:dyDescent="0.3">
      <c r="A11" s="326"/>
      <c r="B11" s="308"/>
      <c r="C11" s="78" t="s">
        <v>1106</v>
      </c>
      <c r="D11" s="63">
        <v>4</v>
      </c>
    </row>
    <row r="12" spans="1:4" x14ac:dyDescent="0.3">
      <c r="A12" s="326"/>
      <c r="B12" s="308"/>
      <c r="C12" s="78" t="s">
        <v>1097</v>
      </c>
      <c r="D12" s="63">
        <v>2</v>
      </c>
    </row>
    <row r="13" spans="1:4" x14ac:dyDescent="0.3">
      <c r="A13" s="326"/>
      <c r="B13" s="308"/>
      <c r="C13" s="78"/>
      <c r="D13" s="63">
        <v>115</v>
      </c>
    </row>
    <row r="14" spans="1:4" ht="28.8" x14ac:dyDescent="0.3">
      <c r="A14" s="326"/>
      <c r="B14" s="78" t="s">
        <v>1209</v>
      </c>
      <c r="C14" s="78" t="s">
        <v>1049</v>
      </c>
      <c r="D14" s="63">
        <v>2</v>
      </c>
    </row>
    <row r="15" spans="1:4" x14ac:dyDescent="0.3">
      <c r="A15" s="323" t="s">
        <v>1243</v>
      </c>
      <c r="B15" s="324"/>
      <c r="C15" s="324"/>
      <c r="D15" s="80">
        <f>SUBTOTAL(9,D5:D14)</f>
        <v>145</v>
      </c>
    </row>
    <row r="16" spans="1:4" x14ac:dyDescent="0.3">
      <c r="A16" s="325" t="s">
        <v>191</v>
      </c>
      <c r="B16" s="307" t="s">
        <v>1102</v>
      </c>
      <c r="C16" s="78" t="s">
        <v>1083</v>
      </c>
      <c r="D16" s="63">
        <v>4</v>
      </c>
    </row>
    <row r="17" spans="1:4" x14ac:dyDescent="0.3">
      <c r="A17" s="326"/>
      <c r="B17" s="308"/>
      <c r="C17" s="78" t="s">
        <v>1212</v>
      </c>
      <c r="D17" s="63">
        <v>2</v>
      </c>
    </row>
    <row r="18" spans="1:4" x14ac:dyDescent="0.3">
      <c r="A18" s="326"/>
      <c r="B18" s="307" t="s">
        <v>1100</v>
      </c>
      <c r="C18" s="78" t="s">
        <v>1074</v>
      </c>
      <c r="D18" s="63">
        <v>1</v>
      </c>
    </row>
    <row r="19" spans="1:4" x14ac:dyDescent="0.3">
      <c r="A19" s="326"/>
      <c r="B19" s="308"/>
      <c r="C19" s="78" t="s">
        <v>1083</v>
      </c>
      <c r="D19" s="63">
        <v>5</v>
      </c>
    </row>
    <row r="20" spans="1:4" x14ac:dyDescent="0.3">
      <c r="A20" s="326"/>
      <c r="B20" s="307" t="s">
        <v>1073</v>
      </c>
      <c r="C20" s="78" t="s">
        <v>1096</v>
      </c>
      <c r="D20" s="63">
        <v>1</v>
      </c>
    </row>
    <row r="21" spans="1:4" x14ac:dyDescent="0.3">
      <c r="A21" s="326"/>
      <c r="B21" s="308"/>
      <c r="C21" s="78" t="s">
        <v>1074</v>
      </c>
      <c r="D21" s="63">
        <v>4</v>
      </c>
    </row>
    <row r="22" spans="1:4" x14ac:dyDescent="0.3">
      <c r="A22" s="326"/>
      <c r="B22" s="308"/>
      <c r="C22" s="78" t="s">
        <v>1083</v>
      </c>
      <c r="D22" s="63">
        <v>16</v>
      </c>
    </row>
    <row r="23" spans="1:4" x14ac:dyDescent="0.3">
      <c r="A23" s="326"/>
      <c r="B23" s="307" t="s">
        <v>1113</v>
      </c>
      <c r="C23" s="78" t="s">
        <v>1096</v>
      </c>
      <c r="D23" s="63">
        <v>2</v>
      </c>
    </row>
    <row r="24" spans="1:4" x14ac:dyDescent="0.3">
      <c r="A24" s="326"/>
      <c r="B24" s="308"/>
      <c r="C24" s="78" t="s">
        <v>1074</v>
      </c>
      <c r="D24" s="63">
        <v>1</v>
      </c>
    </row>
    <row r="25" spans="1:4" x14ac:dyDescent="0.3">
      <c r="A25" s="326"/>
      <c r="B25" s="307" t="s">
        <v>1105</v>
      </c>
      <c r="C25" s="78" t="s">
        <v>1074</v>
      </c>
      <c r="D25" s="63">
        <v>3</v>
      </c>
    </row>
    <row r="26" spans="1:4" x14ac:dyDescent="0.3">
      <c r="A26" s="326"/>
      <c r="B26" s="308"/>
      <c r="C26" s="78" t="s">
        <v>1083</v>
      </c>
      <c r="D26" s="63">
        <v>1</v>
      </c>
    </row>
    <row r="27" spans="1:4" x14ac:dyDescent="0.3">
      <c r="A27" s="326"/>
      <c r="B27" s="78" t="s">
        <v>1215</v>
      </c>
      <c r="C27" s="78" t="s">
        <v>1096</v>
      </c>
      <c r="D27" s="63">
        <v>2</v>
      </c>
    </row>
    <row r="28" spans="1:4" ht="28.8" x14ac:dyDescent="0.3">
      <c r="A28" s="326"/>
      <c r="B28" s="78" t="s">
        <v>1213</v>
      </c>
      <c r="C28" s="78" t="s">
        <v>1098</v>
      </c>
      <c r="D28" s="63">
        <v>4</v>
      </c>
    </row>
    <row r="29" spans="1:4" x14ac:dyDescent="0.3">
      <c r="A29" s="323" t="s">
        <v>1244</v>
      </c>
      <c r="B29" s="324"/>
      <c r="C29" s="324"/>
      <c r="D29" s="80">
        <f>SUBTOTAL(9,D16:D28)</f>
        <v>46</v>
      </c>
    </row>
    <row r="30" spans="1:4" x14ac:dyDescent="0.3">
      <c r="A30" s="79" t="s">
        <v>221</v>
      </c>
      <c r="B30" s="78" t="s">
        <v>1144</v>
      </c>
      <c r="C30" s="78"/>
      <c r="D30" s="63">
        <v>1</v>
      </c>
    </row>
    <row r="31" spans="1:4" x14ac:dyDescent="0.3">
      <c r="A31" s="323" t="s">
        <v>1247</v>
      </c>
      <c r="B31" s="324"/>
      <c r="C31" s="324"/>
      <c r="D31" s="80">
        <f>SUBTOTAL(9,D30)</f>
        <v>1</v>
      </c>
    </row>
    <row r="32" spans="1:4" x14ac:dyDescent="0.3">
      <c r="A32" s="325" t="s">
        <v>264</v>
      </c>
      <c r="B32" s="78" t="s">
        <v>1284</v>
      </c>
      <c r="C32" s="78" t="s">
        <v>1101</v>
      </c>
      <c r="D32" s="63">
        <v>1</v>
      </c>
    </row>
    <row r="33" spans="1:4" x14ac:dyDescent="0.3">
      <c r="A33" s="326"/>
      <c r="B33" s="78" t="s">
        <v>1321</v>
      </c>
      <c r="C33" s="78" t="s">
        <v>1322</v>
      </c>
      <c r="D33" s="63">
        <v>1</v>
      </c>
    </row>
    <row r="34" spans="1:4" x14ac:dyDescent="0.3">
      <c r="A34" s="323" t="s">
        <v>1248</v>
      </c>
      <c r="B34" s="324"/>
      <c r="C34" s="324"/>
      <c r="D34" s="80">
        <f>SUBTOTAL(9,D32:D33)</f>
        <v>2</v>
      </c>
    </row>
    <row r="35" spans="1:4" x14ac:dyDescent="0.3">
      <c r="A35" s="327" t="s">
        <v>1151</v>
      </c>
      <c r="B35" s="327"/>
      <c r="C35" s="327"/>
      <c r="D35" s="327"/>
    </row>
    <row r="36" spans="1:4" x14ac:dyDescent="0.3">
      <c r="A36" s="82" t="s">
        <v>1356</v>
      </c>
      <c r="B36" s="82" t="s">
        <v>1014</v>
      </c>
      <c r="C36" s="82" t="s">
        <v>1015</v>
      </c>
      <c r="D36" s="82" t="s">
        <v>1357</v>
      </c>
    </row>
    <row r="37" spans="1:4" x14ac:dyDescent="0.3">
      <c r="A37" s="325" t="s">
        <v>212</v>
      </c>
      <c r="B37" s="307" t="s">
        <v>1217</v>
      </c>
      <c r="C37" s="78"/>
      <c r="D37" s="63">
        <v>4</v>
      </c>
    </row>
    <row r="38" spans="1:4" x14ac:dyDescent="0.3">
      <c r="A38" s="326"/>
      <c r="B38" s="308"/>
      <c r="C38" s="78" t="s">
        <v>1068</v>
      </c>
      <c r="D38" s="63">
        <v>1</v>
      </c>
    </row>
    <row r="39" spans="1:4" x14ac:dyDescent="0.3">
      <c r="A39" s="326"/>
      <c r="B39" s="307" t="s">
        <v>1218</v>
      </c>
      <c r="C39" s="78"/>
      <c r="D39" s="63">
        <v>1</v>
      </c>
    </row>
    <row r="40" spans="1:4" x14ac:dyDescent="0.3">
      <c r="A40" s="326"/>
      <c r="B40" s="308"/>
      <c r="C40" s="78" t="s">
        <v>1068</v>
      </c>
      <c r="D40" s="63">
        <v>3</v>
      </c>
    </row>
    <row r="41" spans="1:4" x14ac:dyDescent="0.3">
      <c r="A41" s="326"/>
      <c r="B41" s="78" t="s">
        <v>1216</v>
      </c>
      <c r="C41" s="78"/>
      <c r="D41" s="63">
        <v>1</v>
      </c>
    </row>
    <row r="42" spans="1:4" x14ac:dyDescent="0.3">
      <c r="A42" s="323" t="s">
        <v>1261</v>
      </c>
      <c r="B42" s="324"/>
      <c r="C42" s="324"/>
      <c r="D42" s="80">
        <f>SUBTOTAL(9,D37:D41)</f>
        <v>10</v>
      </c>
    </row>
    <row r="43" spans="1:4" x14ac:dyDescent="0.3">
      <c r="A43" s="79" t="s">
        <v>115</v>
      </c>
      <c r="B43" s="78"/>
      <c r="C43" s="78"/>
      <c r="D43" s="63">
        <v>6</v>
      </c>
    </row>
    <row r="44" spans="1:4" x14ac:dyDescent="0.3">
      <c r="A44" s="323" t="s">
        <v>1262</v>
      </c>
      <c r="B44" s="324"/>
      <c r="C44" s="324"/>
      <c r="D44" s="80">
        <f>SUBTOTAL(9,D43)</f>
        <v>6</v>
      </c>
    </row>
    <row r="45" spans="1:4" x14ac:dyDescent="0.3">
      <c r="A45" s="325" t="s">
        <v>194</v>
      </c>
      <c r="B45" s="307" t="s">
        <v>1087</v>
      </c>
      <c r="C45" s="78" t="s">
        <v>1115</v>
      </c>
      <c r="D45" s="63">
        <v>2</v>
      </c>
    </row>
    <row r="46" spans="1:4" x14ac:dyDescent="0.3">
      <c r="A46" s="326"/>
      <c r="B46" s="308"/>
      <c r="C46" s="78" t="s">
        <v>1229</v>
      </c>
      <c r="D46" s="63">
        <v>2</v>
      </c>
    </row>
    <row r="47" spans="1:4" x14ac:dyDescent="0.3">
      <c r="A47" s="326"/>
      <c r="B47" s="308"/>
      <c r="C47" s="78" t="s">
        <v>1233</v>
      </c>
      <c r="D47" s="63">
        <v>5</v>
      </c>
    </row>
    <row r="48" spans="1:4" ht="43.2" x14ac:dyDescent="0.3">
      <c r="A48" s="326"/>
      <c r="B48" s="78" t="s">
        <v>1121</v>
      </c>
      <c r="C48" s="78" t="s">
        <v>1115</v>
      </c>
      <c r="D48" s="63">
        <v>3</v>
      </c>
    </row>
    <row r="49" spans="1:4" x14ac:dyDescent="0.3">
      <c r="A49" s="326"/>
      <c r="B49" s="78" t="s">
        <v>1133</v>
      </c>
      <c r="C49" s="78" t="s">
        <v>1088</v>
      </c>
      <c r="D49" s="63">
        <v>3</v>
      </c>
    </row>
    <row r="50" spans="1:4" x14ac:dyDescent="0.3">
      <c r="A50" s="326"/>
      <c r="B50" s="78" t="s">
        <v>1109</v>
      </c>
      <c r="C50" s="78"/>
      <c r="D50" s="63">
        <v>2</v>
      </c>
    </row>
    <row r="51" spans="1:4" x14ac:dyDescent="0.3">
      <c r="A51" s="326"/>
      <c r="B51" s="78" t="s">
        <v>1128</v>
      </c>
      <c r="C51" s="78"/>
      <c r="D51" s="63">
        <v>1</v>
      </c>
    </row>
    <row r="52" spans="1:4" x14ac:dyDescent="0.3">
      <c r="A52" s="326"/>
      <c r="B52" s="78" t="s">
        <v>1094</v>
      </c>
      <c r="C52" s="78" t="s">
        <v>1230</v>
      </c>
      <c r="D52" s="63">
        <v>1</v>
      </c>
    </row>
    <row r="53" spans="1:4" x14ac:dyDescent="0.3">
      <c r="A53" s="326"/>
      <c r="B53" s="78" t="s">
        <v>1232</v>
      </c>
      <c r="C53" s="78" t="s">
        <v>1231</v>
      </c>
      <c r="D53" s="63">
        <v>1</v>
      </c>
    </row>
    <row r="54" spans="1:4" x14ac:dyDescent="0.3">
      <c r="A54" s="323" t="s">
        <v>1263</v>
      </c>
      <c r="B54" s="324"/>
      <c r="C54" s="324"/>
      <c r="D54" s="80">
        <f>SUBTOTAL(9,D45:D53)</f>
        <v>20</v>
      </c>
    </row>
    <row r="55" spans="1:4" x14ac:dyDescent="0.3">
      <c r="A55" s="325" t="s">
        <v>195</v>
      </c>
      <c r="B55" s="78" t="s">
        <v>1062</v>
      </c>
      <c r="C55" s="78" t="s">
        <v>1239</v>
      </c>
      <c r="D55" s="63">
        <v>3</v>
      </c>
    </row>
    <row r="56" spans="1:4" x14ac:dyDescent="0.3">
      <c r="A56" s="326"/>
      <c r="B56" s="78" t="s">
        <v>1114</v>
      </c>
      <c r="C56" s="78" t="s">
        <v>1239</v>
      </c>
      <c r="D56" s="63">
        <v>1</v>
      </c>
    </row>
    <row r="57" spans="1:4" x14ac:dyDescent="0.3">
      <c r="A57" s="326"/>
      <c r="B57" s="78" t="s">
        <v>1078</v>
      </c>
      <c r="C57" s="78" t="s">
        <v>1239</v>
      </c>
      <c r="D57" s="63">
        <v>7</v>
      </c>
    </row>
    <row r="58" spans="1:4" x14ac:dyDescent="0.3">
      <c r="A58" s="326"/>
      <c r="B58" s="78" t="s">
        <v>1143</v>
      </c>
      <c r="C58" s="78" t="s">
        <v>1239</v>
      </c>
      <c r="D58" s="63">
        <v>1</v>
      </c>
    </row>
    <row r="59" spans="1:4" x14ac:dyDescent="0.3">
      <c r="A59" s="326"/>
      <c r="B59" s="78" t="s">
        <v>1235</v>
      </c>
      <c r="C59" s="78" t="s">
        <v>1236</v>
      </c>
      <c r="D59" s="63">
        <v>1</v>
      </c>
    </row>
    <row r="60" spans="1:4" x14ac:dyDescent="0.3">
      <c r="A60" s="326"/>
      <c r="B60" s="78" t="s">
        <v>1234</v>
      </c>
      <c r="C60" s="78" t="s">
        <v>1236</v>
      </c>
      <c r="D60" s="63">
        <v>1</v>
      </c>
    </row>
    <row r="61" spans="1:4" x14ac:dyDescent="0.3">
      <c r="A61" s="323" t="s">
        <v>1264</v>
      </c>
      <c r="B61" s="324"/>
      <c r="C61" s="324"/>
      <c r="D61" s="80">
        <f>SUBTOTAL(9,D55:D60)</f>
        <v>14</v>
      </c>
    </row>
    <row r="62" spans="1:4" x14ac:dyDescent="0.3">
      <c r="A62" s="325" t="s">
        <v>43</v>
      </c>
      <c r="B62" s="307" t="s">
        <v>1064</v>
      </c>
      <c r="C62" s="78" t="s">
        <v>1085</v>
      </c>
      <c r="D62" s="63">
        <v>4</v>
      </c>
    </row>
    <row r="63" spans="1:4" x14ac:dyDescent="0.3">
      <c r="A63" s="326"/>
      <c r="B63" s="308"/>
      <c r="C63" s="78" t="s">
        <v>1065</v>
      </c>
      <c r="D63" s="63">
        <v>1</v>
      </c>
    </row>
    <row r="64" spans="1:4" x14ac:dyDescent="0.3">
      <c r="A64" s="326"/>
      <c r="B64" s="78" t="s">
        <v>1119</v>
      </c>
      <c r="C64" s="78" t="s">
        <v>1085</v>
      </c>
      <c r="D64" s="63">
        <v>1</v>
      </c>
    </row>
    <row r="65" spans="1:4" x14ac:dyDescent="0.3">
      <c r="A65" s="323" t="s">
        <v>1265</v>
      </c>
      <c r="B65" s="324"/>
      <c r="C65" s="324"/>
      <c r="D65" s="80">
        <f>SUBTOTAL(9,D62:D64)</f>
        <v>6</v>
      </c>
    </row>
    <row r="66" spans="1:4" x14ac:dyDescent="0.3">
      <c r="A66" s="325" t="s">
        <v>197</v>
      </c>
      <c r="B66" s="307"/>
      <c r="C66" s="78" t="s">
        <v>1134</v>
      </c>
      <c r="D66" s="63">
        <v>1</v>
      </c>
    </row>
    <row r="67" spans="1:4" x14ac:dyDescent="0.3">
      <c r="A67" s="326"/>
      <c r="B67" s="308"/>
      <c r="C67" s="78" t="s">
        <v>1082</v>
      </c>
      <c r="D67" s="63">
        <v>3</v>
      </c>
    </row>
    <row r="68" spans="1:4" x14ac:dyDescent="0.3">
      <c r="A68" s="323" t="s">
        <v>1266</v>
      </c>
      <c r="B68" s="324"/>
      <c r="C68" s="324"/>
      <c r="D68" s="80">
        <f>SUBTOTAL(9,D66:D67)</f>
        <v>4</v>
      </c>
    </row>
    <row r="69" spans="1:4" ht="28.8" x14ac:dyDescent="0.3">
      <c r="A69" s="79" t="s">
        <v>200</v>
      </c>
      <c r="B69" s="78"/>
      <c r="C69" s="78"/>
      <c r="D69" s="63">
        <v>2</v>
      </c>
    </row>
    <row r="70" spans="1:4" x14ac:dyDescent="0.3">
      <c r="A70" s="323" t="s">
        <v>1267</v>
      </c>
      <c r="B70" s="324"/>
      <c r="C70" s="324"/>
      <c r="D70" s="80">
        <f>SUBTOTAL(9,D69)</f>
        <v>2</v>
      </c>
    </row>
    <row r="71" spans="1:4" x14ac:dyDescent="0.3">
      <c r="A71" s="79" t="s">
        <v>204</v>
      </c>
      <c r="B71" s="78"/>
      <c r="C71" s="78"/>
      <c r="D71" s="63">
        <v>4</v>
      </c>
    </row>
    <row r="72" spans="1:4" x14ac:dyDescent="0.3">
      <c r="A72" s="323" t="s">
        <v>1269</v>
      </c>
      <c r="B72" s="324"/>
      <c r="C72" s="324"/>
      <c r="D72" s="80">
        <f>SUBTOTAL(9,D71)</f>
        <v>4</v>
      </c>
    </row>
    <row r="73" spans="1:4" x14ac:dyDescent="0.3">
      <c r="A73" s="79" t="s">
        <v>209</v>
      </c>
      <c r="B73" s="78" t="s">
        <v>1326</v>
      </c>
      <c r="C73" s="78"/>
      <c r="D73" s="63">
        <v>1</v>
      </c>
    </row>
    <row r="74" spans="1:4" x14ac:dyDescent="0.3">
      <c r="A74" s="323" t="s">
        <v>1270</v>
      </c>
      <c r="B74" s="324"/>
      <c r="C74" s="324"/>
      <c r="D74" s="80">
        <f>SUBTOTAL(9,D73)</f>
        <v>1</v>
      </c>
    </row>
    <row r="75" spans="1:4" x14ac:dyDescent="0.3">
      <c r="A75" s="325" t="s">
        <v>233</v>
      </c>
      <c r="B75" s="307" t="s">
        <v>1323</v>
      </c>
      <c r="C75" s="78" t="s">
        <v>1126</v>
      </c>
      <c r="D75" s="63">
        <v>7</v>
      </c>
    </row>
    <row r="76" spans="1:4" x14ac:dyDescent="0.3">
      <c r="A76" s="326"/>
      <c r="B76" s="308"/>
      <c r="C76" s="78" t="s">
        <v>1236</v>
      </c>
      <c r="D76" s="63">
        <v>1</v>
      </c>
    </row>
    <row r="77" spans="1:4" x14ac:dyDescent="0.3">
      <c r="A77" s="323" t="s">
        <v>1271</v>
      </c>
      <c r="B77" s="324"/>
      <c r="C77" s="324"/>
      <c r="D77" s="80">
        <f>SUBTOTAL(9,D75:D76)</f>
        <v>8</v>
      </c>
    </row>
    <row r="78" spans="1:4" ht="28.8" x14ac:dyDescent="0.3">
      <c r="A78" s="79" t="s">
        <v>588</v>
      </c>
      <c r="B78" s="78"/>
      <c r="C78" s="78"/>
      <c r="D78" s="63">
        <v>1</v>
      </c>
    </row>
    <row r="79" spans="1:4" x14ac:dyDescent="0.3">
      <c r="A79" s="323" t="s">
        <v>1272</v>
      </c>
      <c r="B79" s="324"/>
      <c r="C79" s="324"/>
      <c r="D79" s="80">
        <f>SUBTOTAL(9,D78)</f>
        <v>1</v>
      </c>
    </row>
    <row r="80" spans="1:4" x14ac:dyDescent="0.3">
      <c r="A80" s="327" t="s">
        <v>1058</v>
      </c>
      <c r="B80" s="327"/>
      <c r="C80" s="327"/>
      <c r="D80" s="327"/>
    </row>
    <row r="81" spans="1:4" x14ac:dyDescent="0.3">
      <c r="A81" s="82" t="s">
        <v>1356</v>
      </c>
      <c r="B81" s="82" t="s">
        <v>1014</v>
      </c>
      <c r="C81" s="82" t="s">
        <v>1015</v>
      </c>
      <c r="D81" s="82" t="s">
        <v>1357</v>
      </c>
    </row>
    <row r="82" spans="1:4" ht="28.8" x14ac:dyDescent="0.3">
      <c r="A82" s="79" t="s">
        <v>192</v>
      </c>
      <c r="B82" s="78"/>
      <c r="C82" s="78"/>
      <c r="D82" s="63">
        <v>6</v>
      </c>
    </row>
    <row r="83" spans="1:4" x14ac:dyDescent="0.3">
      <c r="A83" s="323" t="s">
        <v>1249</v>
      </c>
      <c r="B83" s="324"/>
      <c r="C83" s="324"/>
      <c r="D83" s="80">
        <f>SUBTOTAL(9,D82)</f>
        <v>6</v>
      </c>
    </row>
    <row r="84" spans="1:4" x14ac:dyDescent="0.3">
      <c r="A84" s="79" t="s">
        <v>213</v>
      </c>
      <c r="B84" s="78" t="s">
        <v>1068</v>
      </c>
      <c r="C84" s="78"/>
      <c r="D84" s="63">
        <v>4</v>
      </c>
    </row>
    <row r="85" spans="1:4" x14ac:dyDescent="0.3">
      <c r="A85" s="323" t="s">
        <v>1250</v>
      </c>
      <c r="B85" s="324"/>
      <c r="C85" s="324"/>
      <c r="D85" s="80">
        <f>SUBTOTAL(9,D84)</f>
        <v>4</v>
      </c>
    </row>
    <row r="86" spans="1:4" ht="28.8" x14ac:dyDescent="0.3">
      <c r="A86" s="325" t="s">
        <v>193</v>
      </c>
      <c r="B86" s="78" t="s">
        <v>1108</v>
      </c>
      <c r="C86" s="78" t="s">
        <v>1095</v>
      </c>
      <c r="D86" s="63">
        <v>3</v>
      </c>
    </row>
    <row r="87" spans="1:4" ht="28.8" x14ac:dyDescent="0.3">
      <c r="A87" s="326"/>
      <c r="B87" s="78" t="s">
        <v>1227</v>
      </c>
      <c r="C87" s="78" t="s">
        <v>1228</v>
      </c>
      <c r="D87" s="63">
        <v>1</v>
      </c>
    </row>
    <row r="88" spans="1:4" x14ac:dyDescent="0.3">
      <c r="A88" s="323" t="s">
        <v>1251</v>
      </c>
      <c r="B88" s="324"/>
      <c r="C88" s="324"/>
      <c r="D88" s="80">
        <f>SUBTOTAL(9,D86:D87)</f>
        <v>4</v>
      </c>
    </row>
    <row r="89" spans="1:4" x14ac:dyDescent="0.3">
      <c r="A89" s="325" t="s">
        <v>196</v>
      </c>
      <c r="B89" s="78"/>
      <c r="C89" s="78"/>
      <c r="D89" s="63">
        <v>1</v>
      </c>
    </row>
    <row r="90" spans="1:4" ht="28.8" x14ac:dyDescent="0.3">
      <c r="A90" s="326"/>
      <c r="B90" s="78" t="s">
        <v>1241</v>
      </c>
      <c r="C90" s="78"/>
      <c r="D90" s="63">
        <v>2</v>
      </c>
    </row>
    <row r="91" spans="1:4" x14ac:dyDescent="0.3">
      <c r="A91" s="326"/>
      <c r="B91" s="78" t="s">
        <v>1127</v>
      </c>
      <c r="C91" s="78"/>
      <c r="D91" s="63">
        <v>3</v>
      </c>
    </row>
    <row r="92" spans="1:4" x14ac:dyDescent="0.3">
      <c r="A92" s="323" t="s">
        <v>1252</v>
      </c>
      <c r="B92" s="324"/>
      <c r="C92" s="324"/>
      <c r="D92" s="80">
        <f>SUBTOTAL(9,D89:D91)</f>
        <v>6</v>
      </c>
    </row>
    <row r="93" spans="1:4" ht="28.8" x14ac:dyDescent="0.3">
      <c r="A93" s="79" t="s">
        <v>214</v>
      </c>
      <c r="B93" s="78"/>
      <c r="C93" s="78"/>
      <c r="D93" s="63">
        <v>1</v>
      </c>
    </row>
    <row r="94" spans="1:4" x14ac:dyDescent="0.3">
      <c r="A94" s="323" t="s">
        <v>1253</v>
      </c>
      <c r="B94" s="324"/>
      <c r="C94" s="324"/>
      <c r="D94" s="80">
        <f>SUBTOTAL(9,D93)</f>
        <v>1</v>
      </c>
    </row>
    <row r="95" spans="1:4" x14ac:dyDescent="0.3">
      <c r="A95" s="325" t="s">
        <v>205</v>
      </c>
      <c r="B95" s="78" t="s">
        <v>1347</v>
      </c>
      <c r="C95" s="78" t="s">
        <v>1301</v>
      </c>
      <c r="D95" s="63">
        <v>2</v>
      </c>
    </row>
    <row r="96" spans="1:4" x14ac:dyDescent="0.3">
      <c r="A96" s="326"/>
      <c r="B96" s="307" t="s">
        <v>1346</v>
      </c>
      <c r="C96" s="78" t="s">
        <v>1301</v>
      </c>
      <c r="D96" s="63">
        <v>1</v>
      </c>
    </row>
    <row r="97" spans="1:4" x14ac:dyDescent="0.3">
      <c r="A97" s="326"/>
      <c r="B97" s="308"/>
      <c r="C97" s="78" t="s">
        <v>1300</v>
      </c>
      <c r="D97" s="63">
        <v>2</v>
      </c>
    </row>
    <row r="98" spans="1:4" x14ac:dyDescent="0.3">
      <c r="A98" s="323" t="s">
        <v>1254</v>
      </c>
      <c r="B98" s="324"/>
      <c r="C98" s="324"/>
      <c r="D98" s="80">
        <f>SUBTOTAL(9,D95:D97)</f>
        <v>5</v>
      </c>
    </row>
    <row r="99" spans="1:4" ht="28.8" x14ac:dyDescent="0.3">
      <c r="A99" s="79" t="s">
        <v>206</v>
      </c>
      <c r="B99" s="78"/>
      <c r="C99" s="78"/>
      <c r="D99" s="63">
        <v>2</v>
      </c>
    </row>
    <row r="100" spans="1:4" x14ac:dyDescent="0.3">
      <c r="A100" s="323" t="s">
        <v>1255</v>
      </c>
      <c r="B100" s="324"/>
      <c r="C100" s="324"/>
      <c r="D100" s="80">
        <f>SUBTOTAL(9,D99)</f>
        <v>2</v>
      </c>
    </row>
    <row r="101" spans="1:4" x14ac:dyDescent="0.3">
      <c r="A101" s="325" t="s">
        <v>207</v>
      </c>
      <c r="B101" s="78"/>
      <c r="C101" s="78"/>
      <c r="D101" s="63">
        <v>1</v>
      </c>
    </row>
    <row r="102" spans="1:4" x14ac:dyDescent="0.3">
      <c r="A102" s="326"/>
      <c r="B102" s="78" t="s">
        <v>1309</v>
      </c>
      <c r="C102" s="78"/>
      <c r="D102" s="63">
        <v>3</v>
      </c>
    </row>
    <row r="103" spans="1:4" x14ac:dyDescent="0.3">
      <c r="A103" s="323" t="s">
        <v>1256</v>
      </c>
      <c r="B103" s="324"/>
      <c r="C103" s="324"/>
      <c r="D103" s="80">
        <f>SUBTOTAL(9,D101:D102)</f>
        <v>4</v>
      </c>
    </row>
    <row r="104" spans="1:4" ht="28.8" x14ac:dyDescent="0.3">
      <c r="A104" s="79" t="s">
        <v>208</v>
      </c>
      <c r="B104" s="78"/>
      <c r="C104" s="78"/>
      <c r="D104" s="63">
        <v>1</v>
      </c>
    </row>
    <row r="105" spans="1:4" x14ac:dyDescent="0.3">
      <c r="A105" s="323" t="s">
        <v>1257</v>
      </c>
      <c r="B105" s="324"/>
      <c r="C105" s="324"/>
      <c r="D105" s="80">
        <f>SUBTOTAL(9,D104)</f>
        <v>1</v>
      </c>
    </row>
    <row r="106" spans="1:4" ht="28.8" x14ac:dyDescent="0.3">
      <c r="A106" s="79" t="s">
        <v>243</v>
      </c>
      <c r="B106" s="78"/>
      <c r="C106" s="78"/>
      <c r="D106" s="63">
        <v>2</v>
      </c>
    </row>
    <row r="107" spans="1:4" x14ac:dyDescent="0.3">
      <c r="A107" s="323" t="s">
        <v>1258</v>
      </c>
      <c r="B107" s="324"/>
      <c r="C107" s="324"/>
      <c r="D107" s="80">
        <f>SUBTOTAL(9,D106)</f>
        <v>2</v>
      </c>
    </row>
    <row r="108" spans="1:4" ht="28.8" x14ac:dyDescent="0.3">
      <c r="A108" s="79" t="s">
        <v>230</v>
      </c>
      <c r="B108" s="78"/>
      <c r="C108" s="78"/>
      <c r="D108" s="63">
        <v>1</v>
      </c>
    </row>
    <row r="109" spans="1:4" x14ac:dyDescent="0.3">
      <c r="A109" s="323" t="s">
        <v>1259</v>
      </c>
      <c r="B109" s="324"/>
      <c r="C109" s="324"/>
      <c r="D109" s="80">
        <f>SUBTOTAL(9,D108)</f>
        <v>1</v>
      </c>
    </row>
    <row r="110" spans="1:4" ht="28.8" x14ac:dyDescent="0.3">
      <c r="A110" s="79" t="s">
        <v>621</v>
      </c>
      <c r="B110" s="78"/>
      <c r="C110" s="78"/>
      <c r="D110" s="63">
        <v>1</v>
      </c>
    </row>
    <row r="111" spans="1:4" x14ac:dyDescent="0.3">
      <c r="A111" s="323" t="s">
        <v>1260</v>
      </c>
      <c r="B111" s="324"/>
      <c r="C111" s="324"/>
      <c r="D111" s="80">
        <f>SUBTOTAL(9,D110)</f>
        <v>1</v>
      </c>
    </row>
    <row r="112" spans="1:4" x14ac:dyDescent="0.3">
      <c r="A112" s="327" t="s">
        <v>1353</v>
      </c>
      <c r="B112" s="327"/>
      <c r="C112" s="327"/>
      <c r="D112" s="327"/>
    </row>
    <row r="113" spans="1:4" x14ac:dyDescent="0.3">
      <c r="A113" s="82" t="s">
        <v>1356</v>
      </c>
      <c r="B113" s="82" t="s">
        <v>1014</v>
      </c>
      <c r="C113" s="82" t="s">
        <v>1015</v>
      </c>
      <c r="D113" s="82" t="s">
        <v>1357</v>
      </c>
    </row>
    <row r="114" spans="1:4" x14ac:dyDescent="0.3">
      <c r="A114" s="325" t="s">
        <v>201</v>
      </c>
      <c r="B114" s="78" t="s">
        <v>1103</v>
      </c>
      <c r="C114" s="78" t="s">
        <v>1136</v>
      </c>
      <c r="D114" s="63">
        <v>2</v>
      </c>
    </row>
    <row r="115" spans="1:4" x14ac:dyDescent="0.3">
      <c r="A115" s="326"/>
      <c r="B115" s="307" t="s">
        <v>1060</v>
      </c>
      <c r="C115" s="78" t="s">
        <v>1176</v>
      </c>
      <c r="D115" s="63">
        <v>7</v>
      </c>
    </row>
    <row r="116" spans="1:4" x14ac:dyDescent="0.3">
      <c r="A116" s="326"/>
      <c r="B116" s="308"/>
      <c r="C116" s="78" t="s">
        <v>1196</v>
      </c>
      <c r="D116" s="63">
        <v>18</v>
      </c>
    </row>
    <row r="117" spans="1:4" ht="28.8" x14ac:dyDescent="0.3">
      <c r="A117" s="326"/>
      <c r="B117" s="78" t="s">
        <v>1081</v>
      </c>
      <c r="C117" s="78"/>
      <c r="D117" s="63">
        <v>1</v>
      </c>
    </row>
    <row r="118" spans="1:4" x14ac:dyDescent="0.3">
      <c r="A118" s="326"/>
      <c r="B118" s="78" t="s">
        <v>1135</v>
      </c>
      <c r="C118" s="78"/>
      <c r="D118" s="63">
        <v>3</v>
      </c>
    </row>
    <row r="119" spans="1:4" x14ac:dyDescent="0.3">
      <c r="A119" s="326"/>
      <c r="B119" s="78" t="s">
        <v>1086</v>
      </c>
      <c r="C119" s="78"/>
      <c r="D119" s="63">
        <v>1</v>
      </c>
    </row>
    <row r="120" spans="1:4" x14ac:dyDescent="0.3">
      <c r="A120" s="326"/>
      <c r="B120" s="78"/>
      <c r="C120" s="78" t="s">
        <v>1076</v>
      </c>
      <c r="D120" s="63">
        <v>7</v>
      </c>
    </row>
    <row r="121" spans="1:4" x14ac:dyDescent="0.3">
      <c r="A121" s="326"/>
      <c r="B121" s="307" t="s">
        <v>1171</v>
      </c>
      <c r="C121" s="78" t="s">
        <v>1076</v>
      </c>
      <c r="D121" s="63">
        <v>1</v>
      </c>
    </row>
    <row r="122" spans="1:4" x14ac:dyDescent="0.3">
      <c r="A122" s="326"/>
      <c r="B122" s="308"/>
      <c r="C122" s="78" t="s">
        <v>1176</v>
      </c>
      <c r="D122" s="63">
        <v>10</v>
      </c>
    </row>
    <row r="123" spans="1:4" x14ac:dyDescent="0.3">
      <c r="A123" s="326"/>
      <c r="B123" s="308"/>
      <c r="C123" s="78" t="s">
        <v>1196</v>
      </c>
      <c r="D123" s="63">
        <v>2</v>
      </c>
    </row>
    <row r="124" spans="1:4" x14ac:dyDescent="0.3">
      <c r="A124" s="326"/>
      <c r="B124" s="308"/>
      <c r="C124" s="78" t="s">
        <v>1197</v>
      </c>
      <c r="D124" s="63">
        <v>3</v>
      </c>
    </row>
    <row r="125" spans="1:4" x14ac:dyDescent="0.3">
      <c r="A125" s="326"/>
      <c r="B125" s="78" t="s">
        <v>1195</v>
      </c>
      <c r="C125" s="78"/>
      <c r="D125" s="63">
        <v>9</v>
      </c>
    </row>
    <row r="126" spans="1:4" x14ac:dyDescent="0.3">
      <c r="A126" s="323" t="s">
        <v>1245</v>
      </c>
      <c r="B126" s="324"/>
      <c r="C126" s="324"/>
      <c r="D126" s="80">
        <f>SUBTOTAL(9,D114:D125)</f>
        <v>64</v>
      </c>
    </row>
    <row r="127" spans="1:4" x14ac:dyDescent="0.3">
      <c r="A127" s="325" t="s">
        <v>202</v>
      </c>
      <c r="B127" s="78" t="s">
        <v>1080</v>
      </c>
      <c r="C127" s="78"/>
      <c r="D127" s="63">
        <v>1</v>
      </c>
    </row>
    <row r="128" spans="1:4" x14ac:dyDescent="0.3">
      <c r="A128" s="326"/>
      <c r="B128" s="78" t="s">
        <v>1171</v>
      </c>
      <c r="C128" s="78"/>
      <c r="D128" s="63">
        <v>3</v>
      </c>
    </row>
    <row r="129" spans="1:4" x14ac:dyDescent="0.3">
      <c r="A129" s="326"/>
      <c r="B129" s="78" t="s">
        <v>1286</v>
      </c>
      <c r="C129" s="78"/>
      <c r="D129" s="63">
        <v>1</v>
      </c>
    </row>
    <row r="130" spans="1:4" x14ac:dyDescent="0.3">
      <c r="A130" s="326"/>
      <c r="B130" s="78" t="s">
        <v>1282</v>
      </c>
      <c r="C130" s="78"/>
      <c r="D130" s="63">
        <v>1</v>
      </c>
    </row>
    <row r="131" spans="1:4" x14ac:dyDescent="0.3">
      <c r="A131" s="326"/>
      <c r="B131" s="78" t="s">
        <v>1283</v>
      </c>
      <c r="C131" s="78"/>
      <c r="D131" s="63">
        <v>2</v>
      </c>
    </row>
    <row r="132" spans="1:4" x14ac:dyDescent="0.3">
      <c r="A132" s="326"/>
      <c r="B132" s="78" t="s">
        <v>1285</v>
      </c>
      <c r="C132" s="78"/>
      <c r="D132" s="63">
        <v>1</v>
      </c>
    </row>
    <row r="133" spans="1:4" x14ac:dyDescent="0.3">
      <c r="A133" s="326"/>
      <c r="B133" s="78" t="s">
        <v>1284</v>
      </c>
      <c r="C133" s="78"/>
      <c r="D133" s="63">
        <v>1</v>
      </c>
    </row>
    <row r="134" spans="1:4" x14ac:dyDescent="0.3">
      <c r="A134" s="326"/>
      <c r="B134" s="78" t="s">
        <v>1279</v>
      </c>
      <c r="C134" s="78"/>
      <c r="D134" s="63">
        <v>2</v>
      </c>
    </row>
    <row r="135" spans="1:4" x14ac:dyDescent="0.3">
      <c r="A135" s="326"/>
      <c r="B135" s="78" t="s">
        <v>1280</v>
      </c>
      <c r="C135" s="78"/>
      <c r="D135" s="63">
        <v>2</v>
      </c>
    </row>
    <row r="136" spans="1:4" x14ac:dyDescent="0.3">
      <c r="A136" s="326"/>
      <c r="B136" s="78" t="s">
        <v>1281</v>
      </c>
      <c r="C136" s="78"/>
      <c r="D136" s="63">
        <v>3</v>
      </c>
    </row>
    <row r="137" spans="1:4" x14ac:dyDescent="0.3">
      <c r="A137" s="326"/>
      <c r="B137" s="78" t="s">
        <v>1325</v>
      </c>
      <c r="C137" s="78"/>
      <c r="D137" s="63">
        <v>2</v>
      </c>
    </row>
    <row r="138" spans="1:4" x14ac:dyDescent="0.3">
      <c r="A138" s="323" t="s">
        <v>1268</v>
      </c>
      <c r="B138" s="324"/>
      <c r="C138" s="324"/>
      <c r="D138" s="80">
        <f>SUBTOTAL(9,D127:D137)</f>
        <v>19</v>
      </c>
    </row>
    <row r="139" spans="1:4" x14ac:dyDescent="0.3">
      <c r="A139" s="325" t="s">
        <v>1157</v>
      </c>
      <c r="B139" s="78" t="s">
        <v>1168</v>
      </c>
      <c r="C139" s="78"/>
      <c r="D139" s="63">
        <v>7</v>
      </c>
    </row>
    <row r="140" spans="1:4" x14ac:dyDescent="0.3">
      <c r="A140" s="326"/>
      <c r="B140" s="78" t="s">
        <v>1167</v>
      </c>
      <c r="C140" s="78"/>
      <c r="D140" s="63">
        <v>4</v>
      </c>
    </row>
    <row r="141" spans="1:4" x14ac:dyDescent="0.3">
      <c r="A141" s="323" t="s">
        <v>1246</v>
      </c>
      <c r="B141" s="324"/>
      <c r="C141" s="324"/>
      <c r="D141" s="80">
        <f>SUBTOTAL(9,D139:D140)</f>
        <v>11</v>
      </c>
    </row>
    <row r="142" spans="1:4" x14ac:dyDescent="0.3">
      <c r="A142" s="327" t="s">
        <v>1152</v>
      </c>
      <c r="B142" s="327"/>
      <c r="C142" s="327"/>
      <c r="D142" s="327"/>
    </row>
    <row r="143" spans="1:4" x14ac:dyDescent="0.3">
      <c r="A143" s="82" t="s">
        <v>1356</v>
      </c>
      <c r="B143" s="82" t="s">
        <v>1014</v>
      </c>
      <c r="C143" s="82" t="s">
        <v>1015</v>
      </c>
      <c r="D143" s="82" t="s">
        <v>1357</v>
      </c>
    </row>
    <row r="144" spans="1:4" x14ac:dyDescent="0.3">
      <c r="A144" s="79" t="s">
        <v>211</v>
      </c>
      <c r="B144" s="78"/>
      <c r="C144" s="78"/>
      <c r="D144" s="63">
        <v>1</v>
      </c>
    </row>
    <row r="145" spans="1:4" x14ac:dyDescent="0.3">
      <c r="A145" s="323" t="s">
        <v>1273</v>
      </c>
      <c r="B145" s="324"/>
      <c r="C145" s="324"/>
      <c r="D145" s="80">
        <f>SUBTOTAL(9,D144)</f>
        <v>1</v>
      </c>
    </row>
    <row r="146" spans="1:4" ht="28.8" x14ac:dyDescent="0.3">
      <c r="A146" s="79" t="s">
        <v>587</v>
      </c>
      <c r="B146" s="78"/>
      <c r="C146" s="78"/>
      <c r="D146" s="63">
        <v>2</v>
      </c>
    </row>
    <row r="147" spans="1:4" x14ac:dyDescent="0.3">
      <c r="A147" s="323" t="s">
        <v>1274</v>
      </c>
      <c r="B147" s="324"/>
      <c r="C147" s="324"/>
      <c r="D147" s="80">
        <f>SUBTOTAL(9,D146)</f>
        <v>2</v>
      </c>
    </row>
    <row r="148" spans="1:4" x14ac:dyDescent="0.3">
      <c r="A148" s="79" t="s">
        <v>618</v>
      </c>
      <c r="B148" s="78"/>
      <c r="C148" s="78"/>
      <c r="D148" s="63">
        <v>1</v>
      </c>
    </row>
    <row r="149" spans="1:4" x14ac:dyDescent="0.3">
      <c r="A149" s="323" t="s">
        <v>1275</v>
      </c>
      <c r="B149" s="324"/>
      <c r="C149" s="324"/>
      <c r="D149" s="80">
        <f>SUBTOTAL(9,D148)</f>
        <v>1</v>
      </c>
    </row>
    <row r="150" spans="1:4" x14ac:dyDescent="0.3">
      <c r="A150" s="327" t="s">
        <v>1158</v>
      </c>
      <c r="B150" s="327"/>
      <c r="C150" s="327"/>
      <c r="D150" s="327"/>
    </row>
    <row r="151" spans="1:4" x14ac:dyDescent="0.3">
      <c r="A151" s="82" t="s">
        <v>1356</v>
      </c>
      <c r="B151" s="82" t="s">
        <v>1014</v>
      </c>
      <c r="C151" s="82" t="s">
        <v>1015</v>
      </c>
      <c r="D151" s="82" t="s">
        <v>1357</v>
      </c>
    </row>
    <row r="152" spans="1:4" x14ac:dyDescent="0.3">
      <c r="A152" s="325" t="s">
        <v>1053</v>
      </c>
      <c r="B152" s="78" t="s">
        <v>1311</v>
      </c>
      <c r="C152" s="78" t="s">
        <v>1313</v>
      </c>
      <c r="D152" s="63">
        <v>2</v>
      </c>
    </row>
    <row r="153" spans="1:4" x14ac:dyDescent="0.3">
      <c r="A153" s="326"/>
      <c r="B153" s="78" t="s">
        <v>1316</v>
      </c>
      <c r="C153" s="78" t="s">
        <v>1318</v>
      </c>
      <c r="D153" s="63">
        <v>2</v>
      </c>
    </row>
    <row r="154" spans="1:4" x14ac:dyDescent="0.3">
      <c r="A154" s="326"/>
      <c r="B154" s="78" t="s">
        <v>1319</v>
      </c>
      <c r="C154" s="78"/>
      <c r="D154" s="63">
        <v>2</v>
      </c>
    </row>
    <row r="155" spans="1:4" x14ac:dyDescent="0.3">
      <c r="A155" s="323" t="s">
        <v>1276</v>
      </c>
      <c r="B155" s="324"/>
      <c r="C155" s="324"/>
      <c r="D155" s="80">
        <f>SUBTOTAL(9,D152:D154)</f>
        <v>6</v>
      </c>
    </row>
    <row r="156" spans="1:4" x14ac:dyDescent="0.3">
      <c r="A156" s="79" t="s">
        <v>210</v>
      </c>
      <c r="B156" s="78"/>
      <c r="C156" s="78"/>
      <c r="D156" s="63">
        <v>2</v>
      </c>
    </row>
    <row r="157" spans="1:4" x14ac:dyDescent="0.3">
      <c r="A157" s="323" t="s">
        <v>1277</v>
      </c>
      <c r="B157" s="324"/>
      <c r="C157" s="324"/>
      <c r="D157" s="80">
        <f>SUBTOTAL(9,D156)</f>
        <v>2</v>
      </c>
    </row>
    <row r="158" spans="1:4" ht="28.8" x14ac:dyDescent="0.3">
      <c r="A158" s="79" t="s">
        <v>1156</v>
      </c>
      <c r="B158" s="78"/>
      <c r="C158" s="78"/>
      <c r="D158" s="63">
        <v>1</v>
      </c>
    </row>
    <row r="159" spans="1:4" x14ac:dyDescent="0.3">
      <c r="A159" s="323" t="s">
        <v>1278</v>
      </c>
      <c r="B159" s="324"/>
      <c r="C159" s="324"/>
      <c r="D159" s="80">
        <f>SUBTOTAL(9,D158)</f>
        <v>1</v>
      </c>
    </row>
    <row r="160" spans="1:4" x14ac:dyDescent="0.3">
      <c r="A160" s="330" t="s">
        <v>1324</v>
      </c>
      <c r="B160" s="331"/>
      <c r="C160" s="332"/>
      <c r="D160" s="81">
        <f>SUBTOTAL(9,D5:D159)</f>
        <v>414</v>
      </c>
    </row>
  </sheetData>
  <mergeCells count="77">
    <mergeCell ref="A1:D1"/>
    <mergeCell ref="A3:D3"/>
    <mergeCell ref="A35:D35"/>
    <mergeCell ref="A160:C160"/>
    <mergeCell ref="A159:C159"/>
    <mergeCell ref="A112:D112"/>
    <mergeCell ref="A80:D80"/>
    <mergeCell ref="A42:C42"/>
    <mergeCell ref="A44:C44"/>
    <mergeCell ref="A5:A14"/>
    <mergeCell ref="B6:B7"/>
    <mergeCell ref="B8:B13"/>
    <mergeCell ref="A15:C15"/>
    <mergeCell ref="A16:A28"/>
    <mergeCell ref="B16:B17"/>
    <mergeCell ref="B18:B19"/>
    <mergeCell ref="B20:B22"/>
    <mergeCell ref="B23:B24"/>
    <mergeCell ref="A62:A64"/>
    <mergeCell ref="B62:B63"/>
    <mergeCell ref="B25:B26"/>
    <mergeCell ref="A29:C29"/>
    <mergeCell ref="A31:C31"/>
    <mergeCell ref="A32:A33"/>
    <mergeCell ref="A34:C34"/>
    <mergeCell ref="A37:A41"/>
    <mergeCell ref="B37:B38"/>
    <mergeCell ref="B39:B40"/>
    <mergeCell ref="A45:A53"/>
    <mergeCell ref="B45:B47"/>
    <mergeCell ref="A54:C54"/>
    <mergeCell ref="A55:A60"/>
    <mergeCell ref="A61:C61"/>
    <mergeCell ref="A83:C83"/>
    <mergeCell ref="A65:C65"/>
    <mergeCell ref="A66:A67"/>
    <mergeCell ref="B66:B67"/>
    <mergeCell ref="A68:C68"/>
    <mergeCell ref="A70:C70"/>
    <mergeCell ref="A72:C72"/>
    <mergeCell ref="A74:C74"/>
    <mergeCell ref="A75:A76"/>
    <mergeCell ref="B75:B76"/>
    <mergeCell ref="A77:C77"/>
    <mergeCell ref="A79:C79"/>
    <mergeCell ref="A103:C103"/>
    <mergeCell ref="A85:C85"/>
    <mergeCell ref="A86:A87"/>
    <mergeCell ref="A88:C88"/>
    <mergeCell ref="A89:A91"/>
    <mergeCell ref="A92:C92"/>
    <mergeCell ref="A94:C94"/>
    <mergeCell ref="A95:A97"/>
    <mergeCell ref="B96:B97"/>
    <mergeCell ref="A98:C98"/>
    <mergeCell ref="A100:C100"/>
    <mergeCell ref="A101:A102"/>
    <mergeCell ref="A105:C105"/>
    <mergeCell ref="A107:C107"/>
    <mergeCell ref="A109:C109"/>
    <mergeCell ref="A111:C111"/>
    <mergeCell ref="A114:A125"/>
    <mergeCell ref="B115:B116"/>
    <mergeCell ref="B121:B124"/>
    <mergeCell ref="A157:C157"/>
    <mergeCell ref="A126:C126"/>
    <mergeCell ref="A127:A137"/>
    <mergeCell ref="A138:C138"/>
    <mergeCell ref="A139:A140"/>
    <mergeCell ref="A141:C141"/>
    <mergeCell ref="A142:D142"/>
    <mergeCell ref="A150:D150"/>
    <mergeCell ref="A145:C145"/>
    <mergeCell ref="A147:C147"/>
    <mergeCell ref="A149:C149"/>
    <mergeCell ref="A152:A154"/>
    <mergeCell ref="A155:C155"/>
  </mergeCells>
  <conditionalFormatting sqref="A160">
    <cfRule type="containsText" dxfId="62" priority="26" operator="containsText" text="(празно)">
      <formula>NOT(ISERROR(SEARCH("(празно)",A160)))</formula>
    </cfRule>
  </conditionalFormatting>
  <conditionalFormatting sqref="A5:C34">
    <cfRule type="containsText" dxfId="61" priority="13" operator="containsText" text="(празно)">
      <formula>NOT(ISERROR(SEARCH("(празно)",A5)))</formula>
    </cfRule>
  </conditionalFormatting>
  <conditionalFormatting sqref="A37:C79">
    <cfRule type="containsText" dxfId="60" priority="11" operator="containsText" text="(празно)">
      <formula>NOT(ISERROR(SEARCH("(празно)",A37)))</formula>
    </cfRule>
  </conditionalFormatting>
  <conditionalFormatting sqref="A82:C111">
    <cfRule type="containsText" dxfId="59" priority="9" operator="containsText" text="(празно)">
      <formula>NOT(ISERROR(SEARCH("(празно)",A82)))</formula>
    </cfRule>
  </conditionalFormatting>
  <conditionalFormatting sqref="A114:C141">
    <cfRule type="containsText" dxfId="58" priority="7" operator="containsText" text="(празно)">
      <formula>NOT(ISERROR(SEARCH("(празно)",A114)))</formula>
    </cfRule>
  </conditionalFormatting>
  <conditionalFormatting sqref="A144:C149">
    <cfRule type="containsText" dxfId="57" priority="3" operator="containsText" text="(празно)">
      <formula>NOT(ISERROR(SEARCH("(празно)",A144)))</formula>
    </cfRule>
  </conditionalFormatting>
  <conditionalFormatting sqref="A152:C159">
    <cfRule type="containsText" dxfId="56" priority="1" operator="containsText" text="(празно)">
      <formula>NOT(ISERROR(SEARCH("(празно)",A152)))</formula>
    </cfRule>
  </conditionalFormatting>
  <conditionalFormatting sqref="A4:D4 D160">
    <cfRule type="containsText" dxfId="55" priority="27" operator="containsText" text="(празно)">
      <formula>NOT(ISERROR(SEARCH("(празно)",A4)))</formula>
    </cfRule>
  </conditionalFormatting>
  <conditionalFormatting sqref="A36:D36">
    <cfRule type="containsText" dxfId="54" priority="16" operator="containsText" text="(празно)">
      <formula>NOT(ISERROR(SEARCH("(празно)",A36)))</formula>
    </cfRule>
  </conditionalFormatting>
  <conditionalFormatting sqref="A81:D81">
    <cfRule type="containsText" dxfId="53" priority="17" operator="containsText" text="(празно)">
      <formula>NOT(ISERROR(SEARCH("(празно)",A81)))</formula>
    </cfRule>
  </conditionalFormatting>
  <conditionalFormatting sqref="A113:D113">
    <cfRule type="containsText" dxfId="52" priority="25" operator="containsText" text="(празно)">
      <formula>NOT(ISERROR(SEARCH("(празно)",A113)))</formula>
    </cfRule>
  </conditionalFormatting>
  <conditionalFormatting sqref="A143:D143">
    <cfRule type="containsText" dxfId="51" priority="6" operator="containsText" text="(празно)">
      <formula>NOT(ISERROR(SEARCH("(празно)",A143)))</formula>
    </cfRule>
  </conditionalFormatting>
  <conditionalFormatting sqref="A151:D151">
    <cfRule type="containsText" dxfId="50" priority="20" operator="containsText" text="(празно)">
      <formula>NOT(ISERROR(SEARCH("(празно)",A151)))</formula>
    </cfRule>
  </conditionalFormatting>
  <printOptions horizontalCentered="1"/>
  <pageMargins left="0.70866141732283472" right="0.23622047244094491" top="0.47244094488188981" bottom="0.51181102362204722" header="0.31496062992125984" footer="0.19685039370078741"/>
  <pageSetup paperSize="9" scale="97" fitToHeight="0" orientation="portrait" r:id="rId1"/>
  <headerFooter>
    <oddFooter>&amp;C&amp;A&amp;Rстр.&amp;P от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6630990-ef4a-4d26-a524-9e6793789c1f" xsi:nil="true"/>
    <lcf76f155ced4ddcb4097134ff3c332f xmlns="74673014-8d08-4404-bf8f-3cc0e645e0ab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D6D93590F94B4AA4C8FBA9309CBA3A" ma:contentTypeVersion="18" ma:contentTypeDescription="Create a new document." ma:contentTypeScope="" ma:versionID="b20a94aa6e5c0d8e0d71051e90131820">
  <xsd:schema xmlns:xsd="http://www.w3.org/2001/XMLSchema" xmlns:xs="http://www.w3.org/2001/XMLSchema" xmlns:p="http://schemas.microsoft.com/office/2006/metadata/properties" xmlns:ns2="74673014-8d08-4404-bf8f-3cc0e645e0ab" xmlns:ns3="96630990-ef4a-4d26-a524-9e6793789c1f" targetNamespace="http://schemas.microsoft.com/office/2006/metadata/properties" ma:root="true" ma:fieldsID="ea10b1656f389ed8cb8b38ad6704d948" ns2:_="" ns3:_="">
    <xsd:import namespace="74673014-8d08-4404-bf8f-3cc0e645e0ab"/>
    <xsd:import namespace="96630990-ef4a-4d26-a524-9e6793789c1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73014-8d08-4404-bf8f-3cc0e645e0a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26062a37-6e72-4710-89e6-3ecd1748943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630990-ef4a-4d26-a524-9e6793789c1f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9274dd9-d9f4-4d95-9ca6-e7d4adeabfeb}" ma:internalName="TaxCatchAll" ma:showField="CatchAllData" ma:web="96630990-ef4a-4d26-a524-9e6793789c1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E9C81A2-0802-485F-8ED7-A7C984419C8F}">
  <ds:schemaRefs>
    <ds:schemaRef ds:uri="http://schemas.microsoft.com/office/2006/metadata/properties"/>
    <ds:schemaRef ds:uri="http://schemas.microsoft.com/office/infopath/2007/PartnerControls"/>
    <ds:schemaRef ds:uri="96630990-ef4a-4d26-a524-9e6793789c1f"/>
    <ds:schemaRef ds:uri="74673014-8d08-4404-bf8f-3cc0e645e0ab"/>
  </ds:schemaRefs>
</ds:datastoreItem>
</file>

<file path=customXml/itemProps2.xml><?xml version="1.0" encoding="utf-8"?>
<ds:datastoreItem xmlns:ds="http://schemas.openxmlformats.org/officeDocument/2006/customXml" ds:itemID="{097930E9-8167-4315-B222-A9B1F3BC657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0058EB9-25FB-4208-86A4-D4E2D49717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673014-8d08-4404-bf8f-3cc0e645e0ab"/>
    <ds:schemaRef ds:uri="96630990-ef4a-4d26-a524-9e6793789c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14</vt:i4>
      </vt:variant>
      <vt:variant>
        <vt:lpstr>Benannte Bereiche</vt:lpstr>
      </vt:variant>
      <vt:variant>
        <vt:i4>10</vt:i4>
      </vt:variant>
    </vt:vector>
  </HeadingPairs>
  <TitlesOfParts>
    <vt:vector size="24" baseType="lpstr">
      <vt:lpstr>Апарати</vt:lpstr>
      <vt:lpstr>апарати Мострена бригада</vt:lpstr>
      <vt:lpstr>Обобщен </vt:lpstr>
      <vt:lpstr>Machine park -  BTB 24.04.26</vt:lpstr>
      <vt:lpstr>List of Attachments &amp; Devices</vt:lpstr>
      <vt:lpstr>List of Major Assets</vt:lpstr>
      <vt:lpstr> машинен парк - България Общо</vt:lpstr>
      <vt:lpstr>Обобщено машинен парк + ст-сти</vt:lpstr>
      <vt:lpstr>Пр-во Русе обобщен</vt:lpstr>
      <vt:lpstr>KУ Русе обобщен</vt:lpstr>
      <vt:lpstr>Мостр. бригада обобщен</vt:lpstr>
      <vt:lpstr>Входящ контрол</vt:lpstr>
      <vt:lpstr>Техн. подготовка</vt:lpstr>
      <vt:lpstr>Пр-во Руйно обобщен</vt:lpstr>
      <vt:lpstr>' машинен парк - България Общо'!Druckbereich</vt:lpstr>
      <vt:lpstr>'Machine park -  BTB 24.04.26'!Druckbereich</vt:lpstr>
      <vt:lpstr>' машинен парк - България Общо'!Drucktitel</vt:lpstr>
      <vt:lpstr>'KУ Русе обобщен'!Drucktitel</vt:lpstr>
      <vt:lpstr>'Machine park -  BTB 24.04.26'!Drucktitel</vt:lpstr>
      <vt:lpstr>'Входящ контрол'!Drucktitel</vt:lpstr>
      <vt:lpstr>'Мостр. бригада обобщен'!Drucktitel</vt:lpstr>
      <vt:lpstr>'Пр-во Руйно обобщен'!Drucktitel</vt:lpstr>
      <vt:lpstr>'Пр-во Русе обобщен'!Drucktitel</vt:lpstr>
      <vt:lpstr>'Техн. подготовка'!Drucktitel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Peev</dc:creator>
  <cp:lastModifiedBy>Samuel W.-Tourier</cp:lastModifiedBy>
  <cp:lastPrinted>2026-03-23T09:05:51Z</cp:lastPrinted>
  <dcterms:created xsi:type="dcterms:W3CDTF">2018-06-08T08:26:47Z</dcterms:created>
  <dcterms:modified xsi:type="dcterms:W3CDTF">2026-05-05T10:26:02Z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0x01010045D6D93590F94B4AA4C8FBA9309CBA3A</vt:lpwstr>
  </property>
  <property fmtid="{D5CDD505-2E9C-101B-9397-08002B2CF9AE}" pid="3" name="MediaServiceImageTags">
    <vt:lpwstr/>
  </property>
</Properties>
</file>